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drawings/drawing39.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drawings/drawing4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tables/table107.xml" ContentType="application/vnd.openxmlformats-officedocument.spreadsheetml.table+xml"/>
  <Override PartName="/xl/drawings/drawing4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tables/table112.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tables/table113.xml" ContentType="application/vnd.openxmlformats-officedocument.spreadsheetml.table+xml"/>
  <Override PartName="/xl/drawings/drawing44.xml" ContentType="application/vnd.openxmlformats-officedocument.drawing+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tables/table114.xml" ContentType="application/vnd.openxmlformats-officedocument.spreadsheetml.table+xml"/>
  <Override PartName="/xl/drawings/drawing45.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tables/table115.xml" ContentType="application/vnd.openxmlformats-officedocument.spreadsheetml.table+xml"/>
  <Override PartName="/xl/drawings/drawing46.xml" ContentType="application/vnd.openxmlformats-officedocument.drawing+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tables/table116.xml" ContentType="application/vnd.openxmlformats-officedocument.spreadsheetml.table+xml"/>
  <Override PartName="/xl/drawings/drawing47.xml" ContentType="application/vnd.openxmlformats-officedocument.drawing+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tables/table117.xml" ContentType="application/vnd.openxmlformats-officedocument.spreadsheetml.table+xml"/>
  <Override PartName="/xl/drawings/drawing48.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tables/table118.xml" ContentType="application/vnd.openxmlformats-officedocument.spreadsheetml.table+xml"/>
  <Override PartName="/xl/drawings/drawing4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tables/table119.xml" ContentType="application/vnd.openxmlformats-officedocument.spreadsheetml.table+xml"/>
  <Override PartName="/xl/tables/table120.xml" ContentType="application/vnd.openxmlformats-officedocument.spreadsheetml.table+xml"/>
  <Override PartName="/xl/drawings/drawing50.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tables/table1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esktop\"/>
    </mc:Choice>
  </mc:AlternateContent>
  <xr:revisionPtr revIDLastSave="0" documentId="8_{722BD1B6-E167-4BDC-AFA1-F250F4DBE4A0}" xr6:coauthVersionLast="47" xr6:coauthVersionMax="47" xr10:uidLastSave="{00000000-0000-0000-0000-000000000000}"/>
  <workbookProtection workbookAlgorithmName="SHA-512" workbookHashValue="D5qlvOIijTPsAfDO9oufdA0gks7VxSl+55FoXBFKBSB2aYt9ufdd6R63osEkoBud9XOQ+8xvndhK1/LTUgmu4A==" workbookSaltValue="nTAhxvkmt/c2MxLZ7tLk4w==" workbookSpinCount="100000" lockStructure="1"/>
  <bookViews>
    <workbookView xWindow="-120" yWindow="-120" windowWidth="29040" windowHeight="15720" tabRatio="717" firstSheet="2" activeTab="2"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state="veryHidden" r:id="rId14"/>
    <sheet name="Sheet_PhaiThu" sheetId="46" state="veryHidden" r:id="rId15"/>
    <sheet name="Sheet_PhaiTra" sheetId="47" state="veryHidden"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state="veryHidden" r:id="rId22"/>
    <sheet name="Sheet_ChamCong" sheetId="61" state="veryHidden" r:id="rId23"/>
    <sheet name="Sheet_KPIBanHang" sheetId="52" state="veryHidden" r:id="rId24"/>
    <sheet name="Sheet_KhauHao" sheetId="63" state="veryHidden" r:id="rId25"/>
    <sheet name="Sheet_NopNS" sheetId="54" state="veryHidden" r:id="rId26"/>
    <sheet name="Sheet_LaiVay" sheetId="64" state="veryHidden" r:id="rId27"/>
    <sheet name="Sheet_PhaiThuDauTu" sheetId="65" state="veryHidden" r:id="rId28"/>
    <sheet name="Sheet_Main" sheetId="29" state="veryHidden" r:id="rId29"/>
    <sheet name="Sheet_DonMua" sheetId="10" state="veryHidden" r:id="rId30"/>
    <sheet name="Sheet_DonBan" sheetId="6" state="veryHidden" r:id="rId31"/>
    <sheet name="Sheet_VanDon" sheetId="13" state="veryHidden"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state="veryHidden" r:id="rId40"/>
    <sheet name="Code" sheetId="81" r:id="rId41"/>
    <sheet name="Sheet_DoiTac" sheetId="9" state="veryHidden" r:id="rId42"/>
    <sheet name="Sheet_CauTruc" sheetId="55" state="veryHidden" r:id="rId43"/>
    <sheet name="Sheet_TSCD" sheetId="37" state="veryHidden"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0" hidden="1">Dashboard_ThiTruong!$BJ$8:$BJ$10</definedName>
    <definedName name="_xlchart.v1.1" hidden="1">Dashboard_ThiTruong!$BK$8:$BK$10</definedName>
    <definedName name="_xlchart.v1.10" hidden="1">Dashboard_SanPham!$BJ$8:$BJ$9</definedName>
    <definedName name="_xlchart.v1.11" hidden="1">Dashboard_SanPham!$BK$7</definedName>
    <definedName name="_xlchart.v1.12" hidden="1">Dashboard_SanPham!$BL$8:$BL$9</definedName>
    <definedName name="_xlchart.v1.13" hidden="1">Dashboard_KPI!$BH$5:$BH$6</definedName>
    <definedName name="_xlchart.v1.14" hidden="1">Dashboard_KPI!$BJ$5:$BJ$6</definedName>
    <definedName name="_xlchart.v1.15" hidden="1">Dashboard_KPI!$BM$5:$BM$7</definedName>
    <definedName name="_xlchart.v1.16" hidden="1">Dashboard_KPI!$BN$4</definedName>
    <definedName name="_xlchart.v1.17" hidden="1">Dashboard_KPI!$BN$5:$BN$7</definedName>
    <definedName name="_xlchart.v1.18" hidden="1">Dashboard_KPI!$BH$5:$BH$6</definedName>
    <definedName name="_xlchart.v1.19" hidden="1">Dashboard_KPI!$BI$4</definedName>
    <definedName name="_xlchart.v1.20" hidden="1">Dashboard_KPI!$BI$5:$BI$6</definedName>
    <definedName name="_xlchart.v1.21" hidden="1">Dashboard_KPI!$BM$5:$BM$7</definedName>
    <definedName name="_xlchart.v1.22" hidden="1">Dashboard_KPI!$BO$4</definedName>
    <definedName name="_xlchart.v1.23" hidden="1">Dashboard_KPI!$BO$5:$BO$7</definedName>
    <definedName name="_xlchart.v1.24" hidden="1">Dashboard_ChuongTrinh!$BD$6:$BD$6</definedName>
    <definedName name="_xlchart.v1.25" hidden="1">Dashboard_ChuongTrinh!$BF$6:$BF$6</definedName>
    <definedName name="_xlchart.v1.26" hidden="1">Dashboard_ChuongTrinh!$AY$6:$AY$6</definedName>
    <definedName name="_xlchart.v1.27" hidden="1">Dashboard_ChuongTrinh!$BA$6:$BA$6</definedName>
    <definedName name="_xlchart.v5.2" hidden="1">Dashboard_ThiTruong!$BF$7</definedName>
    <definedName name="_xlchart.v5.3" hidden="1">Dashboard_ThiTruong!$BF$8:$BF$14</definedName>
    <definedName name="_xlchart.v5.4" hidden="1">Dashboard_ThiTruong!$BG$8:$BG$14</definedName>
    <definedName name="_xlchart.v5.5" hidden="1">Dashboard_ThiTruong!$H$37</definedName>
    <definedName name="_xlchart.v5.6" hidden="1">Dashboard_SanPham!$BF$7</definedName>
    <definedName name="_xlchart.v5.7" hidden="1">Dashboard_SanPham!$BF$8:$BF$14</definedName>
    <definedName name="_xlchart.v5.8" hidden="1">Dashboard_SanPham!$BG$8:$BG$14</definedName>
    <definedName name="_xlchart.v5.9" hidden="1">Dashboard_SanPham!$H$37</definedName>
    <definedName name="_xlcn.WorksheetConnection_Dashboard.xlsxRef_Dates" hidden="1">Ref_Dates[]</definedName>
    <definedName name="_xlcn.WorksheetConnection_Dashboard.xlsxRef_Periods" hidden="1">Ref_Periods[]</definedName>
    <definedName name="_xlcn.WorksheetConnection_Dashboard.xlsxTable_ChuongTrinh" hidden="1">Table_ChuongTrinh[]</definedName>
    <definedName name="_xlcn.WorksheetConnection_Dashboard.xlsxTable_Datafeed" hidden="1">Table_Datafeed[]</definedName>
    <definedName name="_xlcn.WorksheetConnection_Dashboard.xlsxTable_DonBan" hidden="1">Table_DonBan[]</definedName>
    <definedName name="_xlcn.WorksheetConnection_Dashboard.xlsxTable_Kenh" hidden="1">Table_Kenh[]</definedName>
    <definedName name="_xlcn.WorksheetConnection_Dashboard.xlsxTable_KhachHang" hidden="1">Table_KhachHang[]</definedName>
    <definedName name="_xlcn.WorksheetConnection_Dashboard.xlsxTable_KPI" hidden="1">Table_KPI[]</definedName>
    <definedName name="_xlcn.WorksheetConnection_Dashboard.xlsxTable_Main" hidden="1">Table_Main[]</definedName>
    <definedName name="_xlcn.WorksheetConnection_Dashboard.xlsxTable_NhanVien" hidden="1">Table_NhanVien[]</definedName>
    <definedName name="_xlcn.WorksheetConnection_Dashboard.xlsxTable_SKU"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SUM"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0" r:id="rId53"/>
    <pivotCache cacheId="1" r:id="rId54"/>
    <pivotCache cacheId="2" r:id="rId55"/>
    <pivotCache cacheId="3" r:id="rId56"/>
    <pivotCache cacheId="4" r:id="rId57"/>
    <pivotCache cacheId="5" r:id="rId58"/>
    <pivotCache cacheId="6" r:id="rId59"/>
    <pivotCache cacheId="7" r:id="rId60"/>
    <pivotCache cacheId="8" r:id="rId61"/>
    <pivotCache cacheId="9" r:id="rId62"/>
    <pivotCache cacheId="10" r:id="rId63"/>
    <pivotCache cacheId="11" r:id="rId64"/>
    <pivotCache cacheId="12" r:id="rId65"/>
    <pivotCache cacheId="13" r:id="rId66"/>
    <pivotCache cacheId="14" r:id="rId67"/>
    <pivotCache cacheId="15" r:id="rId68"/>
  </pivotCaches>
  <extLst>
    <ext xmlns:x14="http://schemas.microsoft.com/office/spreadsheetml/2009/9/main" uri="{876F7934-8845-4945-9796-88D515C7AA90}">
      <x14:pivotCaches>
        <pivotCache cacheId="16"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7" r:id="rId74"/>
        <pivotCache cacheId="18" r:id="rId75"/>
        <pivotCache cacheId="19"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0" i="68" l="1" a="1"/>
  <c r="S50" i="68" s="1"/>
  <c r="O3" i="52" l="1" a="1"/>
  <c r="O3" i="52" s="1"/>
  <c r="O5" i="52" a="1"/>
  <c r="O5" i="52" s="1"/>
  <c r="AF3" i="29"/>
  <c r="AF5" i="29"/>
  <c r="AF7" i="29"/>
  <c r="AF8" i="29"/>
  <c r="AF9" i="29"/>
  <c r="AF10" i="29"/>
  <c r="AF11" i="29"/>
  <c r="AF12" i="29"/>
  <c r="AF13" i="29"/>
  <c r="AF14" i="29"/>
  <c r="AF15" i="29"/>
  <c r="AF19" i="29"/>
  <c r="AF20" i="29"/>
  <c r="AF21" i="29"/>
  <c r="AF25" i="29"/>
  <c r="AF26" i="29"/>
  <c r="AF28" i="29"/>
  <c r="AF29" i="29"/>
  <c r="AF32" i="29"/>
  <c r="AF34" i="29"/>
  <c r="AF35" i="29"/>
  <c r="AF36" i="29"/>
  <c r="AF37" i="29"/>
  <c r="AF38" i="29"/>
  <c r="AF40" i="29"/>
  <c r="AF41" i="29"/>
  <c r="AF45" i="29"/>
  <c r="AF46" i="29"/>
  <c r="AF49" i="29"/>
  <c r="AF51" i="29"/>
  <c r="AF52" i="29"/>
  <c r="AF53" i="29"/>
  <c r="AF54" i="29"/>
  <c r="AF57" i="29"/>
  <c r="AF59" i="29"/>
  <c r="AF60" i="29"/>
  <c r="AF62" i="29"/>
  <c r="AF65" i="29"/>
  <c r="AF66" i="29"/>
  <c r="AF67" i="29"/>
  <c r="AF68" i="29"/>
  <c r="AF69" i="29"/>
  <c r="AF71" i="29"/>
  <c r="AF72" i="29"/>
  <c r="AF73" i="29"/>
  <c r="AF74" i="29"/>
  <c r="AF75" i="29"/>
  <c r="AF76" i="29"/>
  <c r="AF77" i="29"/>
  <c r="AF78" i="29"/>
  <c r="AF79" i="29"/>
  <c r="AF80" i="29"/>
  <c r="AF81" i="29"/>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s="1"/>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s="1"/>
  <c r="F23" i="29" a="1"/>
  <c r="F23" i="29" s="1"/>
  <c r="F24" i="29" a="1"/>
  <c r="F24" i="29" s="1"/>
  <c r="F25" i="29" a="1"/>
  <c r="F25" i="29" s="1"/>
  <c r="F26" i="29" a="1"/>
  <c r="F26" i="29" s="1"/>
  <c r="F27" i="29" a="1"/>
  <c r="F27" i="29" s="1"/>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c r="F47" i="29" a="1"/>
  <c r="F47" i="29" s="1"/>
  <c r="F48" i="29" a="1"/>
  <c r="F48" i="29" s="1"/>
  <c r="F49" i="29" a="1"/>
  <c r="F49" i="29" s="1"/>
  <c r="F50" i="29" a="1"/>
  <c r="F50" i="29" s="1"/>
  <c r="F51" i="29" a="1"/>
  <c r="F51" i="29" s="1"/>
  <c r="F52" i="29" a="1"/>
  <c r="F52" i="29" s="1"/>
  <c r="F53" i="29" a="1"/>
  <c r="F53" i="29" s="1"/>
  <c r="F54" i="29" a="1"/>
  <c r="F54" i="29" s="1"/>
  <c r="F55" i="29" a="1"/>
  <c r="F55" i="29"/>
  <c r="F56" i="29" a="1"/>
  <c r="F56" i="29" s="1"/>
  <c r="F57" i="29" a="1"/>
  <c r="F57" i="29" s="1"/>
  <c r="F58" i="29" a="1"/>
  <c r="F58" i="29" s="1"/>
  <c r="F59" i="29" a="1"/>
  <c r="F59" i="29" s="1"/>
  <c r="F60" i="29" a="1"/>
  <c r="F60" i="29" s="1"/>
  <c r="F61" i="29" a="1"/>
  <c r="F61" i="29" s="1"/>
  <c r="F62" i="29" a="1"/>
  <c r="F62" i="29"/>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c r="E8" i="29" a="1"/>
  <c r="E8" i="29" s="1"/>
  <c r="E9" i="29" a="1"/>
  <c r="E9" i="29" s="1"/>
  <c r="E10" i="29" a="1"/>
  <c r="E10" i="29" s="1"/>
  <c r="E11" i="29" a="1"/>
  <c r="E11" i="29" s="1"/>
  <c r="E12" i="29" a="1"/>
  <c r="E12" i="29"/>
  <c r="E13" i="29" a="1"/>
  <c r="E13" i="29" s="1"/>
  <c r="E14" i="29" a="1"/>
  <c r="E14" i="29" s="1"/>
  <c r="E15" i="29" a="1"/>
  <c r="E15" i="29" s="1"/>
  <c r="E16" i="29" a="1"/>
  <c r="E16" i="29" s="1"/>
  <c r="E17" i="29" a="1"/>
  <c r="E17" i="29" s="1"/>
  <c r="E18" i="29" a="1"/>
  <c r="E18" i="29" s="1"/>
  <c r="E19" i="29" a="1"/>
  <c r="E19" i="29"/>
  <c r="E20" i="29" a="1"/>
  <c r="E20" i="29" s="1"/>
  <c r="E21" i="29" a="1"/>
  <c r="E21" i="29" s="1"/>
  <c r="E22" i="29" a="1"/>
  <c r="E22" i="29" s="1"/>
  <c r="E23" i="29" a="1"/>
  <c r="E23" i="29" s="1"/>
  <c r="E24" i="29" a="1"/>
  <c r="E24" i="29" s="1"/>
  <c r="E25" i="29" a="1"/>
  <c r="E25" i="29" s="1"/>
  <c r="E26" i="29" a="1"/>
  <c r="E26" i="29" s="1"/>
  <c r="E27" i="29" a="1"/>
  <c r="E27" i="29"/>
  <c r="E28" i="29" a="1"/>
  <c r="E28" i="29" s="1"/>
  <c r="E29" i="29" a="1"/>
  <c r="E29" i="29" s="1"/>
  <c r="E30" i="29" a="1"/>
  <c r="E30" i="29" s="1"/>
  <c r="E31" i="29" a="1"/>
  <c r="E31" i="29" s="1"/>
  <c r="E32" i="29" a="1"/>
  <c r="E32" i="29" s="1"/>
  <c r="E33" i="29" a="1"/>
  <c r="E33" i="29" s="1"/>
  <c r="E34" i="29" a="1"/>
  <c r="E34" i="29"/>
  <c r="E35" i="29" a="1"/>
  <c r="E35" i="29" s="1"/>
  <c r="E36" i="29" a="1"/>
  <c r="E36" i="29" s="1"/>
  <c r="E37" i="29" a="1"/>
  <c r="E37" i="29" s="1"/>
  <c r="E38" i="29" a="1"/>
  <c r="E38" i="29" s="1"/>
  <c r="E39" i="29" a="1"/>
  <c r="E39" i="29" s="1"/>
  <c r="E40" i="29" a="1"/>
  <c r="E40" i="29" s="1"/>
  <c r="E41" i="29" a="1"/>
  <c r="E41" i="29" s="1"/>
  <c r="E42" i="29" a="1"/>
  <c r="E42" i="29" s="1"/>
  <c r="E43" i="29" a="1"/>
  <c r="E43" i="29" s="1"/>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c r="E56" i="29" a="1"/>
  <c r="E56" i="29" s="1"/>
  <c r="E57" i="29" a="1"/>
  <c r="E57" i="29"/>
  <c r="E58" i="29" a="1"/>
  <c r="E58" i="29" s="1"/>
  <c r="E59" i="29" a="1"/>
  <c r="E59" i="29" s="1"/>
  <c r="E60" i="29" a="1"/>
  <c r="E60" i="29" s="1"/>
  <c r="E61" i="29" a="1"/>
  <c r="E61" i="29" s="1"/>
  <c r="E62" i="29" a="1"/>
  <c r="E62" i="29" s="1"/>
  <c r="E63" i="29" a="1"/>
  <c r="E63" i="29"/>
  <c r="E64" i="29" a="1"/>
  <c r="E64" i="29" s="1"/>
  <c r="E65" i="29" a="1"/>
  <c r="E65" i="29" s="1"/>
  <c r="E66" i="29" a="1"/>
  <c r="E66" i="29" s="1"/>
  <c r="E67" i="29" a="1"/>
  <c r="E67" i="29" s="1"/>
  <c r="E68" i="29" a="1"/>
  <c r="E68" i="29" s="1"/>
  <c r="E69" i="29" a="1"/>
  <c r="E69" i="29" s="1"/>
  <c r="E70" i="29" a="1"/>
  <c r="E70" i="29" s="1"/>
  <c r="E71" i="29" a="1"/>
  <c r="E71" i="29" s="1"/>
  <c r="E72" i="29" a="1"/>
  <c r="E72" i="29" s="1"/>
  <c r="E73" i="29" a="1"/>
  <c r="E73" i="29" s="1"/>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N49" i="6"/>
  <c r="AN48" i="6"/>
  <c r="AN53" i="6"/>
  <c r="AN52" i="6"/>
  <c r="U55" i="6"/>
  <c r="U56" i="6"/>
  <c r="AN57" i="6"/>
  <c r="U58" i="6"/>
  <c r="AN61" i="6"/>
  <c r="U64" i="6"/>
  <c r="AN65" i="6"/>
  <c r="U67" i="6"/>
  <c r="U68" i="6"/>
  <c r="AN69" i="6"/>
  <c r="U70" i="6"/>
  <c r="U48" i="6"/>
  <c r="AE48" i="6"/>
  <c r="AQ48" i="6"/>
  <c r="AR48" i="6"/>
  <c r="AS48" i="6"/>
  <c r="AT48" i="6"/>
  <c r="AU48" i="6"/>
  <c r="AV48" i="6"/>
  <c r="U49" i="6"/>
  <c r="AE49" i="6"/>
  <c r="AQ49" i="6"/>
  <c r="AR49" i="6"/>
  <c r="AS49" i="6"/>
  <c r="AT49" i="6"/>
  <c r="AU49" i="6"/>
  <c r="AV49" i="6"/>
  <c r="U50" i="6"/>
  <c r="AE50" i="6"/>
  <c r="AN50" i="6"/>
  <c r="AQ50" i="6"/>
  <c r="AR50" i="6"/>
  <c r="AS50" i="6"/>
  <c r="AT50" i="6"/>
  <c r="AU50" i="6"/>
  <c r="AV50" i="6"/>
  <c r="U51" i="6"/>
  <c r="AE51" i="6"/>
  <c r="AQ51" i="6"/>
  <c r="AR51" i="6"/>
  <c r="AS51" i="6"/>
  <c r="AT51" i="6"/>
  <c r="AU51" i="6"/>
  <c r="AV51" i="6"/>
  <c r="U52" i="6"/>
  <c r="AE52" i="6"/>
  <c r="AQ52" i="6"/>
  <c r="AR52" i="6"/>
  <c r="AS52" i="6"/>
  <c r="AT52" i="6"/>
  <c r="AU52" i="6"/>
  <c r="AV52" i="6"/>
  <c r="U53" i="6"/>
  <c r="AE53" i="6"/>
  <c r="AQ53" i="6"/>
  <c r="AR53" i="6"/>
  <c r="AS53" i="6"/>
  <c r="AT53" i="6"/>
  <c r="AU53" i="6"/>
  <c r="AV53" i="6"/>
  <c r="U54" i="6"/>
  <c r="AE54" i="6"/>
  <c r="AQ54" i="6"/>
  <c r="AR54" i="6"/>
  <c r="AS54" i="6"/>
  <c r="AT54" i="6"/>
  <c r="AU54" i="6"/>
  <c r="AV54" i="6"/>
  <c r="AE55" i="6"/>
  <c r="AQ55" i="6"/>
  <c r="AR55" i="6"/>
  <c r="AS55" i="6"/>
  <c r="AT55" i="6"/>
  <c r="AU55" i="6"/>
  <c r="AV55" i="6"/>
  <c r="AE56" i="6"/>
  <c r="AQ56" i="6"/>
  <c r="AR56" i="6"/>
  <c r="AS56" i="6"/>
  <c r="AT56" i="6"/>
  <c r="AU56" i="6"/>
  <c r="AV56" i="6"/>
  <c r="U57" i="6"/>
  <c r="AE57" i="6"/>
  <c r="AQ57" i="6"/>
  <c r="AR57" i="6"/>
  <c r="AS57" i="6"/>
  <c r="AT57" i="6"/>
  <c r="AU57" i="6"/>
  <c r="AV57" i="6"/>
  <c r="AE58" i="6"/>
  <c r="AQ58" i="6"/>
  <c r="AR58" i="6"/>
  <c r="AS58" i="6"/>
  <c r="AT58" i="6"/>
  <c r="AU58" i="6"/>
  <c r="AV58" i="6"/>
  <c r="U59" i="6"/>
  <c r="AE59" i="6"/>
  <c r="AQ59" i="6"/>
  <c r="AR59" i="6"/>
  <c r="AS59" i="6"/>
  <c r="AT59" i="6"/>
  <c r="AU59" i="6"/>
  <c r="AV59" i="6"/>
  <c r="U60" i="6"/>
  <c r="AE60" i="6"/>
  <c r="AQ60" i="6"/>
  <c r="AR60" i="6"/>
  <c r="AS60" i="6"/>
  <c r="AT60" i="6"/>
  <c r="AU60" i="6"/>
  <c r="AV60" i="6"/>
  <c r="U61" i="6"/>
  <c r="AE61" i="6"/>
  <c r="AQ61" i="6"/>
  <c r="AR61" i="6"/>
  <c r="AS61" i="6"/>
  <c r="AT61" i="6"/>
  <c r="AU61" i="6"/>
  <c r="AV61" i="6"/>
  <c r="U62" i="6"/>
  <c r="AE62" i="6"/>
  <c r="AQ62" i="6"/>
  <c r="AR62" i="6"/>
  <c r="AS62" i="6"/>
  <c r="AT62" i="6"/>
  <c r="AU62" i="6"/>
  <c r="AV62" i="6"/>
  <c r="U63" i="6"/>
  <c r="AE63" i="6"/>
  <c r="AQ63" i="6"/>
  <c r="AR63" i="6"/>
  <c r="AS63" i="6"/>
  <c r="AT63" i="6"/>
  <c r="AU63" i="6"/>
  <c r="AV63" i="6"/>
  <c r="AE64" i="6"/>
  <c r="AQ64" i="6"/>
  <c r="AR64" i="6"/>
  <c r="AS64" i="6"/>
  <c r="AT64" i="6"/>
  <c r="AU64" i="6"/>
  <c r="AV64" i="6"/>
  <c r="U65" i="6"/>
  <c r="AE65" i="6"/>
  <c r="AQ65" i="6"/>
  <c r="AR65" i="6"/>
  <c r="AS65" i="6"/>
  <c r="AT65" i="6"/>
  <c r="AU65" i="6"/>
  <c r="AV65" i="6"/>
  <c r="U66" i="6"/>
  <c r="AE66" i="6"/>
  <c r="AQ66" i="6"/>
  <c r="AR66" i="6"/>
  <c r="AS66" i="6"/>
  <c r="AT66" i="6"/>
  <c r="AU66" i="6"/>
  <c r="AV66" i="6"/>
  <c r="AE67" i="6"/>
  <c r="AQ67" i="6"/>
  <c r="AR67" i="6"/>
  <c r="AS67" i="6"/>
  <c r="AT67" i="6"/>
  <c r="AU67" i="6"/>
  <c r="AV67" i="6"/>
  <c r="AE68" i="6"/>
  <c r="AQ68" i="6"/>
  <c r="AR68" i="6"/>
  <c r="AS68" i="6"/>
  <c r="AT68" i="6"/>
  <c r="AU68" i="6"/>
  <c r="AV68" i="6"/>
  <c r="U69" i="6"/>
  <c r="AE69" i="6"/>
  <c r="AQ69" i="6"/>
  <c r="AR69" i="6"/>
  <c r="AS69" i="6"/>
  <c r="AT69" i="6"/>
  <c r="AU69" i="6"/>
  <c r="AV69" i="6"/>
  <c r="AE70" i="6"/>
  <c r="AQ70" i="6"/>
  <c r="AR70" i="6"/>
  <c r="AS70" i="6"/>
  <c r="AT70" i="6"/>
  <c r="AU70" i="6"/>
  <c r="AV70" i="6"/>
  <c r="U71" i="6"/>
  <c r="AE71" i="6"/>
  <c r="AQ71" i="6"/>
  <c r="AR71" i="6"/>
  <c r="AS71" i="6"/>
  <c r="AT71" i="6"/>
  <c r="AU71" i="6"/>
  <c r="AN71" i="6"/>
  <c r="AV71" i="6"/>
  <c r="H6" i="13"/>
  <c r="AJ9" i="29" l="1"/>
  <c r="AJ21" i="29"/>
  <c r="AJ33" i="29"/>
  <c r="AJ45" i="29"/>
  <c r="AJ57" i="29"/>
  <c r="AJ69" i="29"/>
  <c r="AJ81" i="29"/>
  <c r="AG15" i="29"/>
  <c r="AG27" i="29"/>
  <c r="AG39" i="29"/>
  <c r="AG51" i="29"/>
  <c r="AG63" i="29"/>
  <c r="AG75" i="29"/>
  <c r="Y16" i="29"/>
  <c r="Y28" i="29"/>
  <c r="Y40" i="29"/>
  <c r="Y52" i="29"/>
  <c r="Y64" i="29"/>
  <c r="Y76" i="29"/>
  <c r="AJ10" i="29"/>
  <c r="AJ22" i="29"/>
  <c r="AJ34" i="29"/>
  <c r="AJ46" i="29"/>
  <c r="AJ58" i="29"/>
  <c r="AJ70" i="29"/>
  <c r="AG3" i="29"/>
  <c r="AG16" i="29"/>
  <c r="AG28" i="29"/>
  <c r="AG40" i="29"/>
  <c r="AG52" i="29"/>
  <c r="AG64" i="29"/>
  <c r="AG76" i="29"/>
  <c r="Y5" i="29"/>
  <c r="Y17" i="29"/>
  <c r="Y29" i="29"/>
  <c r="Y41" i="29"/>
  <c r="Y53" i="29"/>
  <c r="Y65" i="29"/>
  <c r="Y77" i="29"/>
  <c r="AJ11" i="29"/>
  <c r="AJ23" i="29"/>
  <c r="AJ35" i="29"/>
  <c r="AJ47" i="29"/>
  <c r="AJ59" i="29"/>
  <c r="AJ71" i="29"/>
  <c r="AG5" i="29"/>
  <c r="AG17" i="29"/>
  <c r="AG29" i="29"/>
  <c r="AG41" i="29"/>
  <c r="AG53" i="29"/>
  <c r="AG65" i="29"/>
  <c r="AG77" i="29"/>
  <c r="Y6" i="29"/>
  <c r="Y18" i="29"/>
  <c r="Y30" i="29"/>
  <c r="Y42" i="29"/>
  <c r="Y54" i="29"/>
  <c r="Y66" i="29"/>
  <c r="Y78" i="29"/>
  <c r="AJ12" i="29"/>
  <c r="AJ24" i="29"/>
  <c r="AJ36" i="29"/>
  <c r="AJ48" i="29"/>
  <c r="AJ60" i="29"/>
  <c r="AJ72" i="29"/>
  <c r="AG6" i="29"/>
  <c r="AG18" i="29"/>
  <c r="AG30" i="29"/>
  <c r="AG42" i="29"/>
  <c r="AG54" i="29"/>
  <c r="AG66" i="29"/>
  <c r="AG78" i="29"/>
  <c r="Y7" i="29"/>
  <c r="Y19" i="29"/>
  <c r="Y31" i="29"/>
  <c r="Y43" i="29"/>
  <c r="Y55" i="29"/>
  <c r="Y67" i="29"/>
  <c r="Y79" i="29"/>
  <c r="AJ13" i="29"/>
  <c r="AJ25" i="29"/>
  <c r="AJ37" i="29"/>
  <c r="AJ49" i="29"/>
  <c r="AJ61" i="29"/>
  <c r="AJ73" i="29"/>
  <c r="AG7" i="29"/>
  <c r="AG19" i="29"/>
  <c r="AG31" i="29"/>
  <c r="AG43" i="29"/>
  <c r="AG55" i="29"/>
  <c r="AG67" i="29"/>
  <c r="AG79" i="29"/>
  <c r="Y8" i="29"/>
  <c r="Y20" i="29"/>
  <c r="Y32" i="29"/>
  <c r="Y44" i="29"/>
  <c r="Y56" i="29"/>
  <c r="Y68" i="29"/>
  <c r="Y80" i="29"/>
  <c r="AJ14" i="29"/>
  <c r="AJ26" i="29"/>
  <c r="AJ38" i="29"/>
  <c r="AJ50" i="29"/>
  <c r="AJ62" i="29"/>
  <c r="AJ74" i="29"/>
  <c r="AG8" i="29"/>
  <c r="AG20" i="29"/>
  <c r="AG32" i="29"/>
  <c r="AG44" i="29"/>
  <c r="AG56" i="29"/>
  <c r="AG68" i="29"/>
  <c r="AG80" i="29"/>
  <c r="Y9" i="29"/>
  <c r="Y21" i="29"/>
  <c r="Y33" i="29"/>
  <c r="Y45" i="29"/>
  <c r="Y57" i="29"/>
  <c r="Y69" i="29"/>
  <c r="Y81" i="29"/>
  <c r="AJ15" i="29"/>
  <c r="AJ27" i="29"/>
  <c r="AJ39" i="29"/>
  <c r="AJ51" i="29"/>
  <c r="AJ63" i="29"/>
  <c r="AJ75" i="29"/>
  <c r="AG9" i="29"/>
  <c r="AG21" i="29"/>
  <c r="AG33" i="29"/>
  <c r="AG45" i="29"/>
  <c r="AG57" i="29"/>
  <c r="AG69" i="29"/>
  <c r="AG81" i="29"/>
  <c r="Y10" i="29"/>
  <c r="Y22" i="29"/>
  <c r="Y34" i="29"/>
  <c r="Y46" i="29"/>
  <c r="Y58" i="29"/>
  <c r="Y70" i="29"/>
  <c r="AJ3" i="29"/>
  <c r="AJ16" i="29"/>
  <c r="AJ28" i="29"/>
  <c r="AJ40" i="29"/>
  <c r="AJ52" i="29"/>
  <c r="AJ64" i="29"/>
  <c r="AJ76" i="29"/>
  <c r="AG10" i="29"/>
  <c r="AG22" i="29"/>
  <c r="AG34" i="29"/>
  <c r="AG46" i="29"/>
  <c r="AG58" i="29"/>
  <c r="AG70" i="29"/>
  <c r="Y3" i="29"/>
  <c r="Y11" i="29"/>
  <c r="Y23" i="29"/>
  <c r="Y35" i="29"/>
  <c r="Y47" i="29"/>
  <c r="Y59" i="29"/>
  <c r="Y71" i="29"/>
  <c r="AJ5" i="29"/>
  <c r="AJ17" i="29"/>
  <c r="AJ29" i="29"/>
  <c r="AJ41" i="29"/>
  <c r="AJ53" i="29"/>
  <c r="AJ65" i="29"/>
  <c r="AJ77" i="29"/>
  <c r="AG11" i="29"/>
  <c r="AG23" i="29"/>
  <c r="AG35" i="29"/>
  <c r="AG47" i="29"/>
  <c r="AG59" i="29"/>
  <c r="AG71" i="29"/>
  <c r="Y12" i="29"/>
  <c r="Y24" i="29"/>
  <c r="Y36" i="29"/>
  <c r="Y48" i="29"/>
  <c r="Y60" i="29"/>
  <c r="Y72" i="29"/>
  <c r="AJ6" i="29"/>
  <c r="AJ18" i="29"/>
  <c r="AJ30" i="29"/>
  <c r="AJ42" i="29"/>
  <c r="AJ54" i="29"/>
  <c r="AJ66" i="29"/>
  <c r="AJ78" i="29"/>
  <c r="AG12" i="29"/>
  <c r="AG24" i="29"/>
  <c r="AG36" i="29"/>
  <c r="AG48" i="29"/>
  <c r="AG60" i="29"/>
  <c r="AG72" i="29"/>
  <c r="Y13" i="29"/>
  <c r="Y25" i="29"/>
  <c r="Y37" i="29"/>
  <c r="Y49" i="29"/>
  <c r="Y61" i="29"/>
  <c r="Y73" i="29"/>
  <c r="AJ7" i="29"/>
  <c r="AJ19" i="29"/>
  <c r="AJ31" i="29"/>
  <c r="AJ43" i="29"/>
  <c r="AJ55" i="29"/>
  <c r="AJ67" i="29"/>
  <c r="AJ79" i="29"/>
  <c r="AG13" i="29"/>
  <c r="AG25" i="29"/>
  <c r="AG37" i="29"/>
  <c r="AG49" i="29"/>
  <c r="AG61" i="29"/>
  <c r="AG73" i="29"/>
  <c r="Y14" i="29"/>
  <c r="Y26" i="29"/>
  <c r="Y38" i="29"/>
  <c r="Y50" i="29"/>
  <c r="Y62" i="29"/>
  <c r="Y74" i="29"/>
  <c r="AJ8" i="29"/>
  <c r="AJ20" i="29"/>
  <c r="AJ32" i="29"/>
  <c r="AJ44" i="29"/>
  <c r="AJ56" i="29"/>
  <c r="AJ68" i="29"/>
  <c r="AJ80" i="29"/>
  <c r="AG14" i="29"/>
  <c r="AG26" i="29"/>
  <c r="AG38" i="29"/>
  <c r="AG50" i="29"/>
  <c r="AG62" i="29"/>
  <c r="AG74" i="29"/>
  <c r="Y15" i="29"/>
  <c r="Y27" i="29"/>
  <c r="Y39" i="29"/>
  <c r="Y51" i="29"/>
  <c r="Y63" i="29"/>
  <c r="Y75" i="29"/>
  <c r="AN70" i="6"/>
  <c r="AN66" i="6"/>
  <c r="AN62" i="6"/>
  <c r="AN58" i="6"/>
  <c r="AN54" i="6"/>
  <c r="AN51" i="6"/>
  <c r="AN67" i="6"/>
  <c r="AN63" i="6"/>
  <c r="AN59" i="6"/>
  <c r="AN55" i="6"/>
  <c r="AN68" i="6"/>
  <c r="AN64" i="6"/>
  <c r="AN60" i="6"/>
  <c r="AN56" i="6"/>
  <c r="AP48" i="6"/>
  <c r="AP49" i="6"/>
  <c r="AP50" i="6"/>
  <c r="AP51" i="6"/>
  <c r="AP52" i="6"/>
  <c r="AP53" i="6"/>
  <c r="AP54" i="6"/>
  <c r="AP55" i="6"/>
  <c r="AP56" i="6"/>
  <c r="AP57" i="6"/>
  <c r="AP58" i="6"/>
  <c r="AP59" i="6"/>
  <c r="AP60" i="6"/>
  <c r="AP61" i="6"/>
  <c r="AP62" i="6"/>
  <c r="AP63" i="6"/>
  <c r="AP64" i="6"/>
  <c r="AP65" i="6"/>
  <c r="AP66" i="6"/>
  <c r="AP67" i="6"/>
  <c r="AP68" i="6"/>
  <c r="AP69" i="6"/>
  <c r="AP70" i="6"/>
  <c r="AP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7" i="29"/>
  <c r="L19" i="29"/>
  <c r="L31" i="29"/>
  <c r="L43" i="29"/>
  <c r="L55" i="29"/>
  <c r="L67" i="29"/>
  <c r="L79" i="29"/>
  <c r="L8" i="29"/>
  <c r="L20" i="29"/>
  <c r="L32" i="29"/>
  <c r="L44" i="29"/>
  <c r="L56" i="29"/>
  <c r="L68" i="29"/>
  <c r="L80" i="29"/>
  <c r="L9" i="29"/>
  <c r="L21" i="29"/>
  <c r="L33" i="29"/>
  <c r="L45" i="29"/>
  <c r="L57" i="29"/>
  <c r="L69" i="29"/>
  <c r="L81" i="29"/>
  <c r="L10" i="29"/>
  <c r="L22" i="29"/>
  <c r="L34" i="29"/>
  <c r="L46" i="29"/>
  <c r="L58" i="29"/>
  <c r="L70" i="29"/>
  <c r="L11" i="29"/>
  <c r="L23" i="29"/>
  <c r="L35" i="29"/>
  <c r="L47" i="29"/>
  <c r="L59" i="29"/>
  <c r="L71" i="29"/>
  <c r="L12" i="29"/>
  <c r="L24" i="29"/>
  <c r="L36" i="29"/>
  <c r="L48" i="29"/>
  <c r="L60" i="29"/>
  <c r="L72" i="29"/>
  <c r="L13" i="29"/>
  <c r="L25" i="29"/>
  <c r="L37" i="29"/>
  <c r="L49" i="29"/>
  <c r="L61" i="29"/>
  <c r="L73" i="29"/>
  <c r="L14" i="29"/>
  <c r="L26" i="29"/>
  <c r="L38" i="29"/>
  <c r="L50" i="29"/>
  <c r="L62" i="29"/>
  <c r="L74" i="29"/>
  <c r="L15" i="29"/>
  <c r="L27" i="29"/>
  <c r="L39" i="29"/>
  <c r="L51" i="29"/>
  <c r="L63" i="29"/>
  <c r="L7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C99" i="40" l="1" a="1"/>
  <c r="C99" i="40" s="1"/>
  <c r="C74" i="40" a="1"/>
  <c r="C74" i="40" s="1"/>
  <c r="BE27" i="34"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H7" i="29"/>
  <c r="AK7" i="29"/>
  <c r="AP7" i="29"/>
  <c r="AQ7" i="29"/>
  <c r="AR7" i="29"/>
  <c r="AS7" i="29"/>
  <c r="AT7" i="29"/>
  <c r="AU7" i="29"/>
  <c r="W9" i="29"/>
  <c r="AA9" i="29"/>
  <c r="AD9" i="29" s="1"/>
  <c r="AE9" i="29"/>
  <c r="AH9" i="29"/>
  <c r="AK9" i="29"/>
  <c r="AP9" i="29"/>
  <c r="AQ9" i="29"/>
  <c r="AR9" i="29"/>
  <c r="AS9" i="29"/>
  <c r="AT9" i="29"/>
  <c r="AU9" i="29"/>
  <c r="AA10" i="29"/>
  <c r="AD10" i="29" s="1"/>
  <c r="AE10" i="29"/>
  <c r="AH10" i="29"/>
  <c r="AK10" i="29"/>
  <c r="AP10" i="29"/>
  <c r="AQ10" i="29"/>
  <c r="AR10" i="29"/>
  <c r="AS10" i="29"/>
  <c r="AT10" i="29"/>
  <c r="AU10" i="29"/>
  <c r="W12" i="29"/>
  <c r="AA12" i="29"/>
  <c r="AD12" i="29" s="1"/>
  <c r="AE12" i="29"/>
  <c r="AH12" i="29"/>
  <c r="AK12" i="29"/>
  <c r="AP12" i="29"/>
  <c r="AQ12" i="29"/>
  <c r="AR12" i="29"/>
  <c r="AS12" i="29"/>
  <c r="AT12" i="29"/>
  <c r="AU12" i="29"/>
  <c r="AA14" i="29"/>
  <c r="AD14" i="29" s="1"/>
  <c r="AE14" i="29"/>
  <c r="AH14" i="29"/>
  <c r="AK14" i="29"/>
  <c r="AP14" i="29"/>
  <c r="AQ14" i="29"/>
  <c r="AR14" i="29"/>
  <c r="AS14" i="29"/>
  <c r="AT14" i="29"/>
  <c r="AU14" i="29"/>
  <c r="AA15" i="29"/>
  <c r="AD15" i="29" s="1"/>
  <c r="AE15" i="29"/>
  <c r="AH15" i="29"/>
  <c r="AK15" i="29"/>
  <c r="AP15" i="29"/>
  <c r="AQ15" i="29"/>
  <c r="AR15" i="29"/>
  <c r="AS15" i="29"/>
  <c r="AT15" i="29"/>
  <c r="AU15" i="29"/>
  <c r="W20" i="29"/>
  <c r="AA20" i="29"/>
  <c r="AD20" i="29" s="1"/>
  <c r="AE20" i="29"/>
  <c r="AH20" i="29"/>
  <c r="AK20" i="29"/>
  <c r="AP20" i="29"/>
  <c r="AQ20" i="29"/>
  <c r="AR20" i="29"/>
  <c r="AS20" i="29"/>
  <c r="AT20" i="29"/>
  <c r="AU20" i="29"/>
  <c r="AA21" i="29"/>
  <c r="AD21" i="29" s="1"/>
  <c r="AE21" i="29"/>
  <c r="AH21" i="29"/>
  <c r="AK21" i="29"/>
  <c r="AP21" i="29"/>
  <c r="AQ21" i="29"/>
  <c r="AR21" i="29"/>
  <c r="AS21" i="29"/>
  <c r="AT21" i="29"/>
  <c r="AU21" i="29"/>
  <c r="AA29" i="29"/>
  <c r="AD29" i="29" s="1"/>
  <c r="AE29" i="29"/>
  <c r="AH29" i="29"/>
  <c r="AK29" i="29"/>
  <c r="AP29" i="29"/>
  <c r="AQ29" i="29"/>
  <c r="AR29" i="29"/>
  <c r="AS29" i="29"/>
  <c r="AT29" i="29"/>
  <c r="AU29" i="29"/>
  <c r="AA32" i="29"/>
  <c r="AD32" i="29" s="1"/>
  <c r="AE32" i="29"/>
  <c r="AH32" i="29"/>
  <c r="AK32" i="29"/>
  <c r="AP32" i="29"/>
  <c r="AQ32" i="29"/>
  <c r="AR32" i="29"/>
  <c r="AS32" i="29"/>
  <c r="AT32" i="29"/>
  <c r="AU32" i="29"/>
  <c r="W34" i="29"/>
  <c r="AA34" i="29"/>
  <c r="AD34" i="29" s="1"/>
  <c r="AE34" i="29"/>
  <c r="AH34" i="29"/>
  <c r="AK34" i="29"/>
  <c r="AP34" i="29"/>
  <c r="AQ34" i="29"/>
  <c r="AR34" i="29"/>
  <c r="AS34" i="29"/>
  <c r="AT34" i="29"/>
  <c r="AU34" i="29"/>
  <c r="W37" i="29"/>
  <c r="AA37" i="29"/>
  <c r="AD37" i="29" s="1"/>
  <c r="AE37" i="29"/>
  <c r="AH37" i="29"/>
  <c r="AK37" i="29"/>
  <c r="AP37" i="29"/>
  <c r="AQ37" i="29"/>
  <c r="AR37" i="29"/>
  <c r="AS37" i="29"/>
  <c r="AT37" i="29"/>
  <c r="AU37" i="29"/>
  <c r="AA38" i="29"/>
  <c r="AD38" i="29" s="1"/>
  <c r="AE38" i="29"/>
  <c r="AH38" i="29"/>
  <c r="AK38" i="29"/>
  <c r="AP38" i="29"/>
  <c r="AQ38" i="29"/>
  <c r="AR38" i="29"/>
  <c r="AS38" i="29"/>
  <c r="AT38" i="29"/>
  <c r="AU38" i="29"/>
  <c r="AA40" i="29"/>
  <c r="AD40" i="29" s="1"/>
  <c r="AE40" i="29"/>
  <c r="AH40" i="29"/>
  <c r="AK40" i="29"/>
  <c r="AP40" i="29"/>
  <c r="AQ40" i="29"/>
  <c r="AR40" i="29"/>
  <c r="AS40" i="29"/>
  <c r="AT40" i="29"/>
  <c r="AU40" i="29"/>
  <c r="W45" i="29"/>
  <c r="AA45" i="29"/>
  <c r="AD45" i="29" s="1"/>
  <c r="AE45" i="29"/>
  <c r="AH45" i="29"/>
  <c r="AK45" i="29"/>
  <c r="AP45" i="29"/>
  <c r="AQ45" i="29"/>
  <c r="AR45" i="29"/>
  <c r="AS45" i="29"/>
  <c r="AT45" i="29"/>
  <c r="AU45" i="29"/>
  <c r="W51" i="29"/>
  <c r="AA51" i="29"/>
  <c r="AD51" i="29" s="1"/>
  <c r="AE51" i="29"/>
  <c r="AH51" i="29"/>
  <c r="AK51" i="29"/>
  <c r="AP51" i="29"/>
  <c r="AQ51" i="29"/>
  <c r="AR51" i="29"/>
  <c r="AS51" i="29"/>
  <c r="AT51" i="29"/>
  <c r="AU51" i="29"/>
  <c r="W54" i="29"/>
  <c r="AA54" i="29"/>
  <c r="AD54" i="29" s="1"/>
  <c r="AE54" i="29"/>
  <c r="AH54" i="29"/>
  <c r="AK54" i="29"/>
  <c r="AP54" i="29"/>
  <c r="AQ54" i="29"/>
  <c r="AR54" i="29"/>
  <c r="AS54" i="29"/>
  <c r="AT54" i="29"/>
  <c r="AU54" i="29"/>
  <c r="AA57" i="29"/>
  <c r="AD57" i="29" s="1"/>
  <c r="AE57" i="29"/>
  <c r="AH57" i="29"/>
  <c r="AK57" i="29"/>
  <c r="AP57" i="29"/>
  <c r="AQ57" i="29"/>
  <c r="AR57" i="29"/>
  <c r="AS57" i="29"/>
  <c r="AT57" i="29"/>
  <c r="AU57" i="29"/>
  <c r="AA62" i="29"/>
  <c r="AD62" i="29" s="1"/>
  <c r="AE62" i="29"/>
  <c r="AH62" i="29"/>
  <c r="AK62" i="29"/>
  <c r="AP62" i="29"/>
  <c r="AQ62" i="29"/>
  <c r="AR62" i="29"/>
  <c r="AS62" i="29"/>
  <c r="AT62" i="29"/>
  <c r="AU62" i="29"/>
  <c r="W68" i="29"/>
  <c r="AA68" i="29"/>
  <c r="AD68" i="29" s="1"/>
  <c r="AE68" i="29"/>
  <c r="AH68" i="29"/>
  <c r="AK68" i="29"/>
  <c r="AP68" i="29"/>
  <c r="AQ68" i="29"/>
  <c r="AR68" i="29"/>
  <c r="AS68" i="29"/>
  <c r="AT68" i="29"/>
  <c r="AU68" i="29"/>
  <c r="AA69" i="29"/>
  <c r="AD69" i="29" s="1"/>
  <c r="AE69" i="29"/>
  <c r="AH69" i="29"/>
  <c r="AK69" i="29"/>
  <c r="AP69" i="29"/>
  <c r="AQ69" i="29"/>
  <c r="AR69" i="29"/>
  <c r="AS69" i="29"/>
  <c r="AT69" i="29"/>
  <c r="AU69" i="29"/>
  <c r="W72" i="29"/>
  <c r="AA72" i="29"/>
  <c r="AD72" i="29" s="1"/>
  <c r="AE72" i="29"/>
  <c r="AH72" i="29"/>
  <c r="AK72" i="29"/>
  <c r="AP72" i="29"/>
  <c r="AQ72" i="29"/>
  <c r="AR72" i="29"/>
  <c r="AS72" i="29"/>
  <c r="AT72" i="29"/>
  <c r="AU72" i="29"/>
  <c r="AA73" i="29"/>
  <c r="AD73" i="29" s="1"/>
  <c r="AE73" i="29"/>
  <c r="AH73" i="29"/>
  <c r="AK73" i="29"/>
  <c r="AP73" i="29"/>
  <c r="AQ73" i="29"/>
  <c r="AR73" i="29"/>
  <c r="AS73" i="29"/>
  <c r="AT73" i="29"/>
  <c r="AU73" i="29"/>
  <c r="W76" i="29"/>
  <c r="AA76" i="29"/>
  <c r="AD76" i="29" s="1"/>
  <c r="AE76" i="29"/>
  <c r="AH76" i="29"/>
  <c r="AK76" i="29"/>
  <c r="AP76" i="29"/>
  <c r="AQ76" i="29"/>
  <c r="AR76" i="29"/>
  <c r="AS76" i="29"/>
  <c r="AT76" i="29"/>
  <c r="AU76" i="29"/>
  <c r="W77" i="29"/>
  <c r="AA77" i="29"/>
  <c r="AD77" i="29" s="1"/>
  <c r="AE77" i="29"/>
  <c r="AH77" i="29"/>
  <c r="AK77" i="29"/>
  <c r="AP77" i="29"/>
  <c r="AQ77" i="29"/>
  <c r="AR77" i="29"/>
  <c r="AS77" i="29"/>
  <c r="AT77" i="29"/>
  <c r="AU77" i="29"/>
  <c r="AA79" i="29"/>
  <c r="AD79" i="29" s="1"/>
  <c r="AE79" i="29"/>
  <c r="AH79" i="29"/>
  <c r="AK79" i="29"/>
  <c r="AP79" i="29"/>
  <c r="AQ79" i="29"/>
  <c r="AR79" i="29"/>
  <c r="AS79" i="29"/>
  <c r="AT79" i="29"/>
  <c r="AU79" i="29"/>
  <c r="AA80" i="29"/>
  <c r="AD80" i="29" s="1"/>
  <c r="AE80" i="29"/>
  <c r="AH80" i="29"/>
  <c r="AK80" i="29"/>
  <c r="AP80" i="29"/>
  <c r="AQ80" i="29"/>
  <c r="AR80" i="29"/>
  <c r="AS80" i="29"/>
  <c r="AT80" i="29"/>
  <c r="AU80" i="29"/>
  <c r="W63" i="29"/>
  <c r="AP63" i="29"/>
  <c r="AQ63" i="29"/>
  <c r="AR63" i="29"/>
  <c r="AS63" i="29"/>
  <c r="AT63" i="29"/>
  <c r="AU63" i="29"/>
  <c r="W17" i="29"/>
  <c r="AP17" i="29"/>
  <c r="AQ17" i="29"/>
  <c r="AR17" i="29"/>
  <c r="AS17" i="29"/>
  <c r="AT17" i="29"/>
  <c r="AU17" i="29"/>
  <c r="W44" i="29"/>
  <c r="AP44" i="29"/>
  <c r="AQ44" i="29"/>
  <c r="AR44" i="29"/>
  <c r="AS44" i="29"/>
  <c r="AT44" i="29"/>
  <c r="AU44" i="29"/>
  <c r="W70" i="29"/>
  <c r="AP70" i="29"/>
  <c r="AQ70" i="29"/>
  <c r="AR70" i="29"/>
  <c r="AS70" i="29"/>
  <c r="AT70" i="29"/>
  <c r="AU70" i="29"/>
  <c r="W47" i="29"/>
  <c r="AP47" i="29"/>
  <c r="AQ47" i="29"/>
  <c r="AR47" i="29"/>
  <c r="AS47" i="29"/>
  <c r="AT47" i="29"/>
  <c r="AU47" i="29"/>
  <c r="AA13" i="29"/>
  <c r="AD13" i="29" s="1"/>
  <c r="AE13" i="29"/>
  <c r="AH13" i="29"/>
  <c r="AK13" i="29"/>
  <c r="AP13" i="29"/>
  <c r="AQ13" i="29"/>
  <c r="AR13" i="29"/>
  <c r="AS13" i="29"/>
  <c r="AT13" i="29"/>
  <c r="AU13" i="29"/>
  <c r="AA41" i="29"/>
  <c r="AD41" i="29" s="1"/>
  <c r="AE41" i="29"/>
  <c r="AH41" i="29"/>
  <c r="AK41" i="29"/>
  <c r="AP41" i="29"/>
  <c r="AQ41" i="29"/>
  <c r="AR41" i="29"/>
  <c r="AS41" i="29"/>
  <c r="AT41" i="29"/>
  <c r="AU41" i="29"/>
  <c r="W50" i="29"/>
  <c r="AP50" i="29"/>
  <c r="AQ50" i="29"/>
  <c r="AR50" i="29"/>
  <c r="AS50" i="29"/>
  <c r="AT50" i="29"/>
  <c r="AU50" i="29"/>
  <c r="AA25" i="29"/>
  <c r="AD25" i="29" s="1"/>
  <c r="AE25" i="29"/>
  <c r="AH25" i="29"/>
  <c r="AK25" i="29"/>
  <c r="AP25" i="29"/>
  <c r="AQ25" i="29"/>
  <c r="AR25" i="29"/>
  <c r="AS25" i="29"/>
  <c r="AT25" i="29"/>
  <c r="AU25" i="29"/>
  <c r="AA11" i="29"/>
  <c r="AD11" i="29" s="1"/>
  <c r="AE11" i="29"/>
  <c r="AH11" i="29"/>
  <c r="AK11" i="29"/>
  <c r="AP11" i="29"/>
  <c r="AQ11" i="29"/>
  <c r="AR11" i="29"/>
  <c r="AS11" i="29"/>
  <c r="AT11" i="29"/>
  <c r="AU11" i="29"/>
  <c r="W18" i="29"/>
  <c r="AP18" i="29"/>
  <c r="AQ18" i="29"/>
  <c r="AR18" i="29"/>
  <c r="AS18" i="29"/>
  <c r="AT18" i="29"/>
  <c r="AU18" i="29"/>
  <c r="AA67" i="29"/>
  <c r="AD67" i="29" s="1"/>
  <c r="AE67" i="29"/>
  <c r="AH67" i="29"/>
  <c r="AK67" i="29"/>
  <c r="AP67" i="29"/>
  <c r="AQ67" i="29"/>
  <c r="AR67" i="29"/>
  <c r="AS67" i="29"/>
  <c r="AT67" i="29"/>
  <c r="AU67" i="29"/>
  <c r="W42" i="29"/>
  <c r="AP42" i="29"/>
  <c r="AQ42" i="29"/>
  <c r="AR42" i="29"/>
  <c r="AS42" i="29"/>
  <c r="AT42" i="29"/>
  <c r="AU42" i="29"/>
  <c r="W61" i="29"/>
  <c r="AP61" i="29"/>
  <c r="AQ61" i="29"/>
  <c r="AR61" i="29"/>
  <c r="AS61" i="29"/>
  <c r="AT61" i="29"/>
  <c r="AU61" i="29"/>
  <c r="W5" i="29"/>
  <c r="AA5" i="29"/>
  <c r="AD5" i="29" s="1"/>
  <c r="AE5" i="29"/>
  <c r="AH5" i="29"/>
  <c r="AK5" i="29"/>
  <c r="AP5" i="29"/>
  <c r="AQ5" i="29"/>
  <c r="AR5" i="29"/>
  <c r="AS5" i="29"/>
  <c r="AT5" i="29"/>
  <c r="AU5" i="29"/>
  <c r="W6" i="29"/>
  <c r="AP6" i="29"/>
  <c r="AQ6" i="29"/>
  <c r="AR6" i="29"/>
  <c r="AS6" i="29"/>
  <c r="AT6" i="29"/>
  <c r="AU6" i="29"/>
  <c r="W8" i="29"/>
  <c r="AA8" i="29"/>
  <c r="AD8" i="29" s="1"/>
  <c r="AE8" i="29"/>
  <c r="AH8" i="29"/>
  <c r="AK8" i="29"/>
  <c r="AP8" i="29"/>
  <c r="AQ8" i="29"/>
  <c r="AR8" i="29"/>
  <c r="AS8" i="29"/>
  <c r="AT8" i="29"/>
  <c r="AU8" i="29"/>
  <c r="W16" i="29"/>
  <c r="AP16" i="29"/>
  <c r="AQ16" i="29"/>
  <c r="AR16" i="29"/>
  <c r="AS16" i="29"/>
  <c r="AT16" i="29"/>
  <c r="AU16" i="29"/>
  <c r="W19" i="29"/>
  <c r="AA19" i="29"/>
  <c r="AD19" i="29" s="1"/>
  <c r="AE19" i="29"/>
  <c r="AH19" i="29"/>
  <c r="AK19" i="29"/>
  <c r="AP19" i="29"/>
  <c r="AQ19" i="29"/>
  <c r="AR19" i="29"/>
  <c r="AS19" i="29"/>
  <c r="AT19" i="29"/>
  <c r="AU19" i="29"/>
  <c r="W22" i="29"/>
  <c r="AP22" i="29"/>
  <c r="AQ22" i="29"/>
  <c r="AR22" i="29"/>
  <c r="AS22" i="29"/>
  <c r="AT22" i="29"/>
  <c r="AU22" i="29"/>
  <c r="W23" i="29"/>
  <c r="AP23" i="29"/>
  <c r="AQ23" i="29"/>
  <c r="AR23" i="29"/>
  <c r="AS23" i="29"/>
  <c r="AT23" i="29"/>
  <c r="AU23" i="29"/>
  <c r="W24" i="29"/>
  <c r="AP24" i="29"/>
  <c r="AQ24" i="29"/>
  <c r="AR24" i="29"/>
  <c r="AS24" i="29"/>
  <c r="AT24" i="29"/>
  <c r="AU24" i="29"/>
  <c r="W26" i="29"/>
  <c r="AA26" i="29"/>
  <c r="AD26" i="29" s="1"/>
  <c r="AE26" i="29"/>
  <c r="AH26" i="29"/>
  <c r="AK26" i="29"/>
  <c r="AP26" i="29"/>
  <c r="AQ26" i="29"/>
  <c r="AR26" i="29"/>
  <c r="AS26" i="29"/>
  <c r="AT26" i="29"/>
  <c r="AU26" i="29"/>
  <c r="W27" i="29"/>
  <c r="AP27" i="29"/>
  <c r="AQ27" i="29"/>
  <c r="AR27" i="29"/>
  <c r="AS27" i="29"/>
  <c r="AT27" i="29"/>
  <c r="AU27" i="29"/>
  <c r="W28" i="29"/>
  <c r="AA28" i="29"/>
  <c r="AD28" i="29" s="1"/>
  <c r="AE28" i="29"/>
  <c r="AH28" i="29"/>
  <c r="AK28" i="29"/>
  <c r="AP28" i="29"/>
  <c r="AQ28" i="29"/>
  <c r="AR28" i="29"/>
  <c r="AS28" i="29"/>
  <c r="AT28" i="29"/>
  <c r="AU28" i="29"/>
  <c r="W30" i="29"/>
  <c r="AP30" i="29"/>
  <c r="AQ30" i="29"/>
  <c r="AR30" i="29"/>
  <c r="AS30" i="29"/>
  <c r="AT30" i="29"/>
  <c r="AU30" i="29"/>
  <c r="W31" i="29"/>
  <c r="AP31" i="29"/>
  <c r="AQ31" i="29"/>
  <c r="AR31" i="29"/>
  <c r="AS31" i="29"/>
  <c r="AT31" i="29"/>
  <c r="AU31" i="29"/>
  <c r="W33" i="29"/>
  <c r="AP33" i="29"/>
  <c r="AQ33" i="29"/>
  <c r="AR33" i="29"/>
  <c r="AS33" i="29"/>
  <c r="AT33" i="29"/>
  <c r="AU33" i="29"/>
  <c r="W35" i="29"/>
  <c r="AA35" i="29"/>
  <c r="AD35" i="29" s="1"/>
  <c r="AE35" i="29"/>
  <c r="AH35" i="29"/>
  <c r="AK35" i="29"/>
  <c r="AP35" i="29"/>
  <c r="AQ35" i="29"/>
  <c r="AR35" i="29"/>
  <c r="AS35" i="29"/>
  <c r="AT35" i="29"/>
  <c r="AU35" i="29"/>
  <c r="W36" i="29"/>
  <c r="AA36" i="29"/>
  <c r="AD36" i="29" s="1"/>
  <c r="AE36" i="29"/>
  <c r="AH36" i="29"/>
  <c r="AK36" i="29"/>
  <c r="AP36" i="29"/>
  <c r="AQ36" i="29"/>
  <c r="AR36" i="29"/>
  <c r="AS36" i="29"/>
  <c r="AT36" i="29"/>
  <c r="AU36" i="29"/>
  <c r="W39" i="29"/>
  <c r="AP39" i="29"/>
  <c r="AQ39" i="29"/>
  <c r="AR39" i="29"/>
  <c r="AS39" i="29"/>
  <c r="AT39" i="29"/>
  <c r="AU39" i="29"/>
  <c r="W43" i="29"/>
  <c r="AP43" i="29"/>
  <c r="AQ43" i="29"/>
  <c r="AR43" i="29"/>
  <c r="AS43" i="29"/>
  <c r="AT43" i="29"/>
  <c r="AU43" i="29"/>
  <c r="W46" i="29"/>
  <c r="AA46" i="29"/>
  <c r="AD46" i="29" s="1"/>
  <c r="AE46" i="29"/>
  <c r="AH46" i="29"/>
  <c r="AK46" i="29"/>
  <c r="AP46" i="29"/>
  <c r="AQ46" i="29"/>
  <c r="AR46" i="29"/>
  <c r="AS46" i="29"/>
  <c r="AT46" i="29"/>
  <c r="AU46" i="29"/>
  <c r="W48" i="29"/>
  <c r="AP48" i="29"/>
  <c r="AQ48" i="29"/>
  <c r="AR48" i="29"/>
  <c r="AS48" i="29"/>
  <c r="AT48" i="29"/>
  <c r="AU48" i="29"/>
  <c r="W49" i="29"/>
  <c r="AA49" i="29"/>
  <c r="AD49" i="29" s="1"/>
  <c r="AE49" i="29"/>
  <c r="AH49" i="29"/>
  <c r="AK49" i="29"/>
  <c r="AP49" i="29"/>
  <c r="AQ49" i="29"/>
  <c r="AR49" i="29"/>
  <c r="AS49" i="29"/>
  <c r="AT49" i="29"/>
  <c r="AU49" i="29"/>
  <c r="W52" i="29"/>
  <c r="AA52" i="29"/>
  <c r="AD52" i="29" s="1"/>
  <c r="AE52" i="29"/>
  <c r="AH52" i="29"/>
  <c r="AK52" i="29"/>
  <c r="AP52" i="29"/>
  <c r="AQ52" i="29"/>
  <c r="AR52" i="29"/>
  <c r="AS52" i="29"/>
  <c r="AT52" i="29"/>
  <c r="AU52" i="29"/>
  <c r="W53" i="29"/>
  <c r="AA53" i="29"/>
  <c r="AD53" i="29" s="1"/>
  <c r="AE53" i="29"/>
  <c r="AH53" i="29"/>
  <c r="AK53" i="29"/>
  <c r="AP53" i="29"/>
  <c r="AQ53" i="29"/>
  <c r="AR53" i="29"/>
  <c r="AS53" i="29"/>
  <c r="AT53" i="29"/>
  <c r="AU53" i="29"/>
  <c r="W55" i="29"/>
  <c r="AP55" i="29"/>
  <c r="AQ55" i="29"/>
  <c r="AR55" i="29"/>
  <c r="AS55" i="29"/>
  <c r="AT55" i="29"/>
  <c r="AU55" i="29"/>
  <c r="W56" i="29"/>
  <c r="AP56" i="29"/>
  <c r="AQ56" i="29"/>
  <c r="AR56" i="29"/>
  <c r="AS56" i="29"/>
  <c r="AT56" i="29"/>
  <c r="AU56" i="29"/>
  <c r="W58" i="29"/>
  <c r="AP58" i="29"/>
  <c r="AQ58" i="29"/>
  <c r="AR58" i="29"/>
  <c r="AS58" i="29"/>
  <c r="AT58" i="29"/>
  <c r="AU58" i="29"/>
  <c r="W59" i="29"/>
  <c r="AA59" i="29"/>
  <c r="AD59" i="29" s="1"/>
  <c r="AE59" i="29"/>
  <c r="AH59" i="29"/>
  <c r="AK59" i="29"/>
  <c r="AP59" i="29"/>
  <c r="AQ59" i="29"/>
  <c r="AR59" i="29"/>
  <c r="AS59" i="29"/>
  <c r="AT59" i="29"/>
  <c r="AU59" i="29"/>
  <c r="W60" i="29"/>
  <c r="AA60" i="29"/>
  <c r="AD60" i="29" s="1"/>
  <c r="AE60" i="29"/>
  <c r="AH60" i="29"/>
  <c r="AK60" i="29"/>
  <c r="AP60" i="29"/>
  <c r="AQ60" i="29"/>
  <c r="AR60" i="29"/>
  <c r="AS60" i="29"/>
  <c r="AT60" i="29"/>
  <c r="AU60" i="29"/>
  <c r="W64" i="29"/>
  <c r="AP64" i="29"/>
  <c r="AQ64" i="29"/>
  <c r="AR64" i="29"/>
  <c r="AS64" i="29"/>
  <c r="AT64" i="29"/>
  <c r="AU64" i="29"/>
  <c r="W65" i="29"/>
  <c r="AA65" i="29"/>
  <c r="AD65" i="29" s="1"/>
  <c r="AE65" i="29"/>
  <c r="AH65" i="29"/>
  <c r="AK65" i="29"/>
  <c r="AP65" i="29"/>
  <c r="AQ65" i="29"/>
  <c r="AR65" i="29"/>
  <c r="AS65" i="29"/>
  <c r="AT65" i="29"/>
  <c r="AU65" i="29"/>
  <c r="W66" i="29"/>
  <c r="AA66" i="29"/>
  <c r="AD66" i="29" s="1"/>
  <c r="AE66" i="29"/>
  <c r="AH66" i="29"/>
  <c r="AK66" i="29"/>
  <c r="AP66" i="29"/>
  <c r="AQ66" i="29"/>
  <c r="AR66" i="29"/>
  <c r="AS66" i="29"/>
  <c r="AT66" i="29"/>
  <c r="AU66" i="29"/>
  <c r="W71" i="29"/>
  <c r="AA71" i="29"/>
  <c r="AD71" i="29" s="1"/>
  <c r="AE71" i="29"/>
  <c r="AH71" i="29"/>
  <c r="AK71" i="29"/>
  <c r="AP71" i="29"/>
  <c r="AQ71" i="29"/>
  <c r="AR71" i="29"/>
  <c r="AS71" i="29"/>
  <c r="AT71" i="29"/>
  <c r="AU71" i="29"/>
  <c r="W74" i="29"/>
  <c r="AA74" i="29"/>
  <c r="AD74" i="29" s="1"/>
  <c r="AE74" i="29"/>
  <c r="AH74" i="29"/>
  <c r="AK74" i="29"/>
  <c r="AP74" i="29"/>
  <c r="AQ74" i="29"/>
  <c r="AR74" i="29"/>
  <c r="AS74" i="29"/>
  <c r="AT74" i="29"/>
  <c r="AU74" i="29"/>
  <c r="W75" i="29"/>
  <c r="AA75" i="29"/>
  <c r="AD75" i="29" s="1"/>
  <c r="AE75" i="29"/>
  <c r="AH75" i="29"/>
  <c r="AK75" i="29"/>
  <c r="AP75" i="29"/>
  <c r="AQ75" i="29"/>
  <c r="AR75" i="29"/>
  <c r="AS75" i="29"/>
  <c r="AT75" i="29"/>
  <c r="AU75" i="29"/>
  <c r="AA78" i="29"/>
  <c r="AD78" i="29" s="1"/>
  <c r="AE78" i="29"/>
  <c r="AH78" i="29"/>
  <c r="AK78" i="29"/>
  <c r="AP78" i="29"/>
  <c r="AQ78" i="29"/>
  <c r="AR78" i="29"/>
  <c r="AS78" i="29"/>
  <c r="AT78" i="29"/>
  <c r="AU78" i="29"/>
  <c r="AU81" i="29"/>
  <c r="AI9" i="29" l="1"/>
  <c r="BP27" i="34" a="1"/>
  <c r="BP27" i="34" s="1"/>
  <c r="BQ27" i="34" s="1" a="1"/>
  <c r="BQ27" i="34" s="1"/>
  <c r="AI7" i="29"/>
  <c r="BP28" i="34" a="1"/>
  <c r="BP28" i="34" s="1"/>
  <c r="BQ28" i="34" s="1" a="1"/>
  <c r="BQ28" i="34" s="1"/>
  <c r="BP33" i="34" a="1"/>
  <c r="BP33" i="34" s="1"/>
  <c r="BQ33" i="34" s="1" a="1"/>
  <c r="BQ33" i="34" s="1"/>
  <c r="BP23" i="34" a="1"/>
  <c r="BP23" i="34" s="1"/>
  <c r="BQ23" i="34" s="1" a="1"/>
  <c r="BQ23" i="34" s="1"/>
  <c r="BP32" i="34" a="1"/>
  <c r="BP32" i="34" s="1"/>
  <c r="BQ32" i="34" s="1" a="1"/>
  <c r="BQ32" i="34" s="1"/>
  <c r="AL7" i="29"/>
  <c r="AL9" i="29"/>
  <c r="AI14" i="29"/>
  <c r="AO7" i="29"/>
  <c r="AO9" i="29"/>
  <c r="AL10" i="29"/>
  <c r="AO10" i="29"/>
  <c r="AI10" i="29"/>
  <c r="AI12" i="29"/>
  <c r="AO12" i="29"/>
  <c r="AL12" i="29"/>
  <c r="AL14" i="29"/>
  <c r="AO14" i="29"/>
  <c r="AL15" i="29"/>
  <c r="AO15" i="29"/>
  <c r="AI15" i="29"/>
  <c r="AL20" i="29"/>
  <c r="AO20" i="29"/>
  <c r="AI20" i="29"/>
  <c r="AI21" i="29"/>
  <c r="AO21" i="29"/>
  <c r="AL21" i="29"/>
  <c r="AI29" i="29"/>
  <c r="AO29" i="29"/>
  <c r="AL29" i="29"/>
  <c r="AL34" i="29"/>
  <c r="AI32" i="29"/>
  <c r="AO32" i="29"/>
  <c r="AL32" i="29"/>
  <c r="AI34" i="29"/>
  <c r="AO34" i="29"/>
  <c r="AI38" i="29"/>
  <c r="AI37" i="29"/>
  <c r="AL37" i="29"/>
  <c r="AO37" i="29"/>
  <c r="AL38" i="29"/>
  <c r="AO38" i="29"/>
  <c r="AI40" i="29"/>
  <c r="AO40" i="29"/>
  <c r="AL40" i="29"/>
  <c r="AI51" i="29"/>
  <c r="AO45" i="29"/>
  <c r="AI45" i="29"/>
  <c r="AL45" i="29"/>
  <c r="AL51" i="29"/>
  <c r="AO51" i="29"/>
  <c r="AI54" i="29"/>
  <c r="AI57" i="29"/>
  <c r="AO54" i="29"/>
  <c r="AL54" i="29"/>
  <c r="AL57" i="29"/>
  <c r="AO57" i="29"/>
  <c r="AI62" i="29"/>
  <c r="AL62" i="29"/>
  <c r="AO62" i="29"/>
  <c r="AI68" i="29"/>
  <c r="AI69" i="29"/>
  <c r="AO68" i="29"/>
  <c r="AL68" i="29"/>
  <c r="AI73" i="29"/>
  <c r="AI72" i="29"/>
  <c r="AL69" i="29"/>
  <c r="AO69" i="29"/>
  <c r="AL72" i="29"/>
  <c r="AO72" i="29"/>
  <c r="AL73" i="29"/>
  <c r="I80" i="29"/>
  <c r="U80" i="29" s="1"/>
  <c r="AO73" i="29"/>
  <c r="AI76" i="29"/>
  <c r="AO76" i="29"/>
  <c r="AL76" i="29"/>
  <c r="AI77" i="29"/>
  <c r="AO77" i="29"/>
  <c r="AL77" i="29"/>
  <c r="I79" i="29"/>
  <c r="U79" i="29" s="1"/>
  <c r="AI79" i="29"/>
  <c r="AO79" i="29"/>
  <c r="AL79" i="29"/>
  <c r="AI80" i="29"/>
  <c r="AL80" i="29"/>
  <c r="AO80" i="29"/>
  <c r="AO63" i="29"/>
  <c r="AO17" i="29"/>
  <c r="AO44" i="29"/>
  <c r="AO70" i="29"/>
  <c r="AL13" i="29"/>
  <c r="AO47" i="29"/>
  <c r="AI13" i="29"/>
  <c r="AO13" i="29"/>
  <c r="AI41" i="29"/>
  <c r="AO41" i="29"/>
  <c r="AL41" i="29"/>
  <c r="AO50" i="29"/>
  <c r="AI67" i="29"/>
  <c r="AL25" i="29"/>
  <c r="AO25" i="29"/>
  <c r="AI25" i="29"/>
  <c r="AO11" i="29"/>
  <c r="AI11" i="29"/>
  <c r="AL11" i="29"/>
  <c r="AO18" i="29"/>
  <c r="AL67" i="29"/>
  <c r="AO67" i="29"/>
  <c r="AO42" i="29"/>
  <c r="AO61" i="29"/>
  <c r="AI5" i="29"/>
  <c r="AI8" i="29"/>
  <c r="AO5" i="29"/>
  <c r="AL5" i="29"/>
  <c r="AO6" i="29"/>
  <c r="AL8" i="29"/>
  <c r="AI19" i="29"/>
  <c r="AO8" i="29"/>
  <c r="AO16" i="29"/>
  <c r="AL19" i="29"/>
  <c r="AO19" i="29"/>
  <c r="AO22" i="29"/>
  <c r="AO23" i="29"/>
  <c r="AO24" i="29"/>
  <c r="AI26" i="29"/>
  <c r="AO26" i="29"/>
  <c r="AL26" i="29"/>
  <c r="AO27" i="29"/>
  <c r="AO28" i="29"/>
  <c r="AI28" i="29"/>
  <c r="AL28" i="29"/>
  <c r="AO30" i="29"/>
  <c r="AO31" i="29"/>
  <c r="AO33" i="29"/>
  <c r="AL35" i="29"/>
  <c r="AI35" i="29"/>
  <c r="AO35" i="29"/>
  <c r="AL36" i="29"/>
  <c r="AI36" i="29"/>
  <c r="AO36" i="29"/>
  <c r="AO39" i="29"/>
  <c r="AO43" i="29"/>
  <c r="AI46" i="29"/>
  <c r="AL46" i="29"/>
  <c r="AO46" i="29"/>
  <c r="AO48" i="29"/>
  <c r="AL49" i="29"/>
  <c r="AO49" i="29"/>
  <c r="AI49" i="29"/>
  <c r="AL52" i="29"/>
  <c r="AI52" i="29"/>
  <c r="AO52" i="29"/>
  <c r="AL53" i="29"/>
  <c r="AI53" i="29"/>
  <c r="AO53" i="29"/>
  <c r="AO55" i="29"/>
  <c r="AO56" i="29"/>
  <c r="AO58" i="29"/>
  <c r="AL59" i="29"/>
  <c r="AO59" i="29"/>
  <c r="AI59" i="29"/>
  <c r="AL60" i="29"/>
  <c r="AI60" i="29"/>
  <c r="AO60" i="29"/>
  <c r="AI65" i="29"/>
  <c r="AO64" i="29"/>
  <c r="AO65" i="29"/>
  <c r="AL65" i="29"/>
  <c r="AL66" i="29"/>
  <c r="AO66" i="29"/>
  <c r="AI66" i="29"/>
  <c r="AL71" i="29"/>
  <c r="AI74" i="29"/>
  <c r="AI71" i="29"/>
  <c r="I74" i="29"/>
  <c r="U74" i="29" s="1"/>
  <c r="AO71" i="29"/>
  <c r="I78" i="29"/>
  <c r="U78" i="29" s="1"/>
  <c r="AL74" i="29"/>
  <c r="AO74" i="29"/>
  <c r="AL75" i="29"/>
  <c r="I75" i="29"/>
  <c r="U75" i="29" s="1"/>
  <c r="AO75" i="29"/>
  <c r="AI75" i="29"/>
  <c r="AI78" i="29"/>
  <c r="AL78" i="29"/>
  <c r="AO78" i="29"/>
  <c r="H79" i="29" l="1" a="1"/>
  <c r="H79" i="29" s="1"/>
  <c r="J79" i="29" s="1"/>
  <c r="G66" i="29" a="1"/>
  <c r="G66" i="29" s="1"/>
  <c r="I66" i="29" s="1"/>
  <c r="U66" i="29" s="1"/>
  <c r="H66" i="29" s="1" a="1"/>
  <c r="H66" i="29" s="1"/>
  <c r="H74" i="29" a="1"/>
  <c r="H74" i="29" s="1"/>
  <c r="J74" i="29" s="1"/>
  <c r="H78" i="29" a="1"/>
  <c r="H78" i="29" s="1"/>
  <c r="J78" i="29" s="1"/>
  <c r="G71" i="29" a="1"/>
  <c r="G71" i="29" s="1"/>
  <c r="I71" i="29" s="1"/>
  <c r="U71" i="29" s="1"/>
  <c r="H75" i="29" a="1"/>
  <c r="H75" i="29" s="1"/>
  <c r="J75"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H67" i="29" l="1" a="1"/>
  <c r="H67" i="29" s="1"/>
  <c r="J67" i="29" s="1"/>
  <c r="G69" i="29" a="1"/>
  <c r="G69" i="29" s="1"/>
  <c r="I69" i="29" s="1"/>
  <c r="U69" i="29" s="1"/>
  <c r="H72" i="29" a="1"/>
  <c r="H72" i="29" s="1"/>
  <c r="J72"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0" i="29" l="1" a="1"/>
  <c r="H60" i="29" s="1"/>
  <c r="J60" i="29" s="1"/>
  <c r="G57" i="29" a="1"/>
  <c r="G57" i="29" s="1"/>
  <c r="I57" i="29" s="1"/>
  <c r="U57" i="29" s="1"/>
  <c r="H69" i="29" a="1"/>
  <c r="H69" i="29" s="1"/>
  <c r="J69" i="29" s="1"/>
  <c r="H63" i="29" a="1"/>
  <c r="H63" i="29" s="1"/>
  <c r="J63"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8" i="29"/>
  <c r="I61" i="29"/>
  <c r="U61" i="29" s="1"/>
  <c r="BM32" i="34" l="1" a="1"/>
  <c r="BM32" i="34" s="1"/>
  <c r="H56" i="29" a="1"/>
  <c r="H56" i="29" s="1"/>
  <c r="H57" i="29" a="1"/>
  <c r="H57" i="29" s="1"/>
  <c r="J57" i="29" s="1"/>
  <c r="H58" i="29" a="1"/>
  <c r="H58" i="29" s="1"/>
  <c r="J58" i="29" s="1"/>
  <c r="G50" i="29" a="1"/>
  <c r="G50" i="29" s="1"/>
  <c r="H61" i="29" a="1"/>
  <c r="H61" i="29" s="1"/>
  <c r="J61" i="29" s="1"/>
  <c r="J73" i="29"/>
  <c r="G62" i="29" a="1"/>
  <c r="G62" i="29" s="1"/>
  <c r="I62" i="29" s="1"/>
  <c r="U62" i="29" s="1"/>
  <c r="Q62" i="10"/>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W62" i="10"/>
  <c r="BM34" i="34" a="1"/>
  <c r="BM34" i="34" s="1"/>
  <c r="BK35" i="34" a="1"/>
  <c r="BK35" i="34" s="1"/>
  <c r="BM35" i="34" a="1"/>
  <c r="BM35" i="34" s="1"/>
  <c r="Q58" i="10"/>
  <c r="W61" i="10"/>
  <c r="BK36" i="34" a="1"/>
  <c r="BK36" i="34" s="1"/>
  <c r="BK34" i="34" a="1"/>
  <c r="BK34" i="34" s="1"/>
  <c r="BL34" i="34" s="1" a="1"/>
  <c r="BL34" i="34" s="1"/>
  <c r="J56" i="29"/>
  <c r="BK32" i="34" a="1"/>
  <c r="BK32" i="34" s="1"/>
  <c r="BL32" i="34" s="1" a="1"/>
  <c r="BL32" i="34" s="1"/>
  <c r="I50" i="29"/>
  <c r="U50" i="29" s="1"/>
  <c r="H50" i="29" s="1" a="1"/>
  <c r="H50" i="29"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J30" i="29"/>
  <c r="BP31" i="34" a="1"/>
  <c r="BP31" i="34" s="1"/>
  <c r="W53" i="10"/>
  <c r="BK29" i="34" l="1" a="1"/>
  <c r="BK29" i="34" s="1"/>
  <c r="BL29" i="34" s="1" a="1"/>
  <c r="BL29" i="34" s="1"/>
  <c r="G15" i="29" a="1"/>
  <c r="G15" i="29" s="1"/>
  <c r="I15" i="29" s="1"/>
  <c r="U15" i="29" s="1"/>
  <c r="Q50" i="10" s="1"/>
  <c r="H28" i="29" a="1"/>
  <c r="H28" i="29" s="1"/>
  <c r="J28" i="29" s="1"/>
  <c r="H48" i="29" a="1"/>
  <c r="H48" i="29" s="1"/>
  <c r="J48" i="29" s="1"/>
  <c r="H49" i="29" a="1"/>
  <c r="H49" i="29" s="1"/>
  <c r="J49" i="29" s="1"/>
  <c r="G41" i="29" a="1"/>
  <c r="G41" i="29" s="1"/>
  <c r="I41" i="29" s="1"/>
  <c r="U41" i="29" s="1"/>
  <c r="H41" i="29" s="1" a="1"/>
  <c r="H41" i="29" s="1"/>
  <c r="J41" i="29" s="1"/>
  <c r="J20" i="29"/>
  <c r="J45" i="29"/>
  <c r="G40" i="29" a="1"/>
  <c r="G40" i="29" s="1"/>
  <c r="I40" i="29" s="1"/>
  <c r="U40" i="29" s="1"/>
  <c r="G24" i="29" a="1"/>
  <c r="G24" i="29" s="1"/>
  <c r="I24" i="29" s="1"/>
  <c r="U24" i="29" s="1"/>
  <c r="G43" i="29" a="1"/>
  <c r="G43" i="29" s="1"/>
  <c r="I43" i="29" s="1"/>
  <c r="U43" i="29" s="1"/>
  <c r="H43" i="29" s="1" a="1"/>
  <c r="H43" i="29" s="1"/>
  <c r="BP29" i="34" a="1"/>
  <c r="BP29" i="34" s="1"/>
  <c r="BQ29" i="34" s="1" a="1"/>
  <c r="BQ29" i="34" s="1"/>
  <c r="H15" i="29" l="1" a="1"/>
  <c r="H15" i="29" s="1"/>
  <c r="J15" i="29" s="1"/>
  <c r="G7" i="29" a="1"/>
  <c r="G7" i="29" s="1"/>
  <c r="I7" i="29" s="1"/>
  <c r="U7" i="29" s="1"/>
  <c r="BM25" i="34" s="1" a="1"/>
  <c r="BM25" i="34" s="1"/>
  <c r="J43" i="29"/>
  <c r="Q57" i="10"/>
  <c r="W57" i="10" s="1"/>
  <c r="BM29" i="34" a="1"/>
  <c r="BM29" i="34" s="1"/>
  <c r="G25" i="29" a="1"/>
  <c r="G25" i="29" s="1"/>
  <c r="I25" i="29" s="1"/>
  <c r="U25" i="29" s="1"/>
  <c r="H24" i="29" a="1"/>
  <c r="H24" i="29" s="1"/>
  <c r="J24"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39" i="29" a="1"/>
  <c r="G39" i="29" s="1"/>
  <c r="I39" i="29" s="1"/>
  <c r="U39" i="29" s="1"/>
  <c r="H39" i="29" s="1" a="1"/>
  <c r="H39" i="29" s="1"/>
  <c r="BP25" i="34" a="1"/>
  <c r="BP25" i="34" s="1"/>
  <c r="W50" i="10"/>
  <c r="BK25" i="34" a="1"/>
  <c r="BK25" i="34" s="1"/>
  <c r="H7" i="29" l="1" a="1"/>
  <c r="H7" i="29" s="1"/>
  <c r="J7" i="29" s="1"/>
  <c r="H25" i="29" a="1"/>
  <c r="H25" i="29" s="1"/>
  <c r="J25" i="29" s="1"/>
  <c r="H37" i="29" a="1"/>
  <c r="H37" i="29" s="1"/>
  <c r="J37" i="29" s="1"/>
  <c r="Q52" i="10"/>
  <c r="W52" i="10" s="1"/>
  <c r="AL13" i="83" a="1"/>
  <c r="AL13" i="83" s="1"/>
  <c r="AO13" i="83" s="1"/>
  <c r="G18" i="29" a="1"/>
  <c r="G18" i="29" s="1"/>
  <c r="I18" i="29" s="1"/>
  <c r="U18" i="29" s="1"/>
  <c r="G38" i="29" a="1"/>
  <c r="G38" i="29" s="1"/>
  <c r="I38" i="29" s="1"/>
  <c r="U38" i="29" s="1"/>
  <c r="H38" i="29" s="1" a="1"/>
  <c r="H38" i="29" s="1"/>
  <c r="J38" i="29" s="1"/>
  <c r="J23" i="29"/>
  <c r="G19" i="29" a="1"/>
  <c r="G19" i="29" s="1"/>
  <c r="I19" i="29" s="1"/>
  <c r="U19" i="29" s="1"/>
  <c r="H19" i="29" s="1" a="1"/>
  <c r="H19" i="29" s="1"/>
  <c r="G17" i="29" a="1"/>
  <c r="G17" i="29" s="1"/>
  <c r="I17" i="29" s="1"/>
  <c r="U17" i="29" s="1"/>
  <c r="H17" i="29" s="1" a="1"/>
  <c r="H17" i="29" s="1"/>
  <c r="J39" i="29"/>
  <c r="G36" i="29" a="1"/>
  <c r="G36" i="29" s="1"/>
  <c r="I36" i="29" s="1"/>
  <c r="U36" i="29" s="1"/>
  <c r="H36" i="29" s="1" a="1"/>
  <c r="H36" i="29" s="1"/>
  <c r="H18" i="29" l="1" a="1"/>
  <c r="H18" i="29" s="1"/>
  <c r="J18" i="29" s="1"/>
  <c r="BM31" i="34"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Q51" i="10" l="1"/>
  <c r="W51" i="10" s="1"/>
  <c r="H35" i="29" a="1"/>
  <c r="H35" i="29" s="1"/>
  <c r="J35" i="29" s="1"/>
  <c r="G14" i="29" a="1"/>
  <c r="G14" i="29" s="1"/>
  <c r="I14" i="29" s="1"/>
  <c r="U14" i="29" s="1"/>
  <c r="G12" i="29" s="1" a="1"/>
  <c r="G12" i="29" s="1"/>
  <c r="I12" i="29" s="1"/>
  <c r="U12"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AL11" i="83" l="1" a="1"/>
  <c r="AL11" i="83" s="1"/>
  <c r="AO11" i="83" s="1"/>
  <c r="AJ23" i="59" s="1" a="1"/>
  <c r="AJ23" i="59" s="1"/>
  <c r="AB23" i="59" s="1"/>
  <c r="AC23" i="59" s="1"/>
  <c r="AD23" i="59" s="1"/>
  <c r="H12" i="29" a="1"/>
  <c r="H12" i="29" s="1"/>
  <c r="J12" i="29" s="1"/>
  <c r="H14" i="29" a="1"/>
  <c r="H14" i="29" s="1"/>
  <c r="J14" i="29" s="1"/>
  <c r="Q49" i="10"/>
  <c r="W49" i="10"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6" i="59" l="1"/>
  <c r="AC26" i="59" s="1"/>
  <c r="AD26" i="59" s="1"/>
  <c r="J27" i="29"/>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Z26" i="37"/>
  <c r="Z25" i="37"/>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T47" i="40" a="1"/>
  <c r="T47" i="40" s="1"/>
  <c r="BM23" i="34" l="1" a="1"/>
  <c r="BM23" i="34" s="1"/>
  <c r="BK23" i="34" a="1"/>
  <c r="BK23" i="34" s="1"/>
  <c r="BL23" i="34" s="1" a="1"/>
  <c r="BL23" i="34" s="1"/>
  <c r="U29" i="64"/>
  <c r="U28" i="64"/>
  <c r="V28" i="64" s="1"/>
  <c r="X28" i="64" s="1"/>
  <c r="U24" i="64"/>
  <c r="W24" i="64" s="1"/>
  <c r="T23" i="64"/>
  <c r="W23" i="64" s="1"/>
  <c r="U27" i="64"/>
  <c r="W27" i="64" s="1"/>
  <c r="V22" i="64"/>
  <c r="X22" i="64" s="1"/>
  <c r="T22" i="64"/>
  <c r="W22" i="64" s="1"/>
  <c r="U26" i="64"/>
  <c r="V26" i="64" s="1"/>
  <c r="X26" i="64" s="1"/>
  <c r="U25" i="64"/>
  <c r="W25" i="64" s="1"/>
  <c r="T29" i="64"/>
  <c r="T28" i="64"/>
  <c r="U30" i="64"/>
  <c r="W30" i="64" s="1"/>
  <c r="V29" i="64"/>
  <c r="X29" i="64" s="1"/>
  <c r="U31" i="64"/>
  <c r="B22" i="35"/>
  <c r="W29" i="64" l="1"/>
  <c r="V24" i="64"/>
  <c r="X24" i="64" s="1"/>
  <c r="W28" i="64"/>
  <c r="V27" i="64"/>
  <c r="X27" i="64" s="1"/>
  <c r="V25" i="64"/>
  <c r="X25" i="64" s="1"/>
  <c r="W26" i="64"/>
  <c r="V30" i="64"/>
  <c r="X30" i="64" s="1"/>
  <c r="W31" i="64"/>
  <c r="V31" i="64"/>
  <c r="X31" i="64" s="1"/>
  <c r="C196" i="40"/>
  <c r="O196" i="40"/>
  <c r="O45" i="40" s="1"/>
  <c r="N196" i="40"/>
  <c r="N45" i="40" s="1"/>
  <c r="M196" i="40"/>
  <c r="M45" i="40" s="1"/>
  <c r="L196" i="40"/>
  <c r="L45" i="40" s="1"/>
  <c r="K196" i="40"/>
  <c r="K45" i="40" s="1"/>
  <c r="J196" i="40"/>
  <c r="J45" i="40" s="1"/>
  <c r="I196" i="40"/>
  <c r="I45" i="40" s="1"/>
  <c r="H196" i="40"/>
  <c r="H45" i="40" s="1"/>
  <c r="G196" i="40"/>
  <c r="G45" i="40" s="1"/>
  <c r="F196" i="40"/>
  <c r="F45" i="40" s="1"/>
  <c r="E196" i="40"/>
  <c r="E45" i="40" s="1"/>
  <c r="D196" i="40"/>
  <c r="D45" i="40" s="1"/>
  <c r="C191" i="40"/>
  <c r="D185" i="40" a="1"/>
  <c r="D185" i="40" s="1"/>
  <c r="D186" i="40" s="1"/>
  <c r="D43" i="40" s="1"/>
  <c r="C186" i="40"/>
  <c r="O181" i="40"/>
  <c r="N181" i="40"/>
  <c r="O41" i="40" s="1"/>
  <c r="M181" i="40"/>
  <c r="N41" i="40" s="1"/>
  <c r="L181" i="40"/>
  <c r="M41" i="40" s="1"/>
  <c r="K181" i="40"/>
  <c r="L41" i="40" s="1"/>
  <c r="J181" i="40"/>
  <c r="K41" i="40" s="1"/>
  <c r="I181" i="40"/>
  <c r="J41" i="40" s="1"/>
  <c r="H181" i="40"/>
  <c r="I41" i="40" s="1"/>
  <c r="G181" i="40"/>
  <c r="H41" i="40" s="1"/>
  <c r="F181" i="40"/>
  <c r="G41" i="40" s="1"/>
  <c r="E181" i="40"/>
  <c r="F41" i="40" s="1"/>
  <c r="D181" i="40"/>
  <c r="E41" i="40" s="1"/>
  <c r="C181" i="40"/>
  <c r="D41" i="40" s="1"/>
  <c r="K176" i="40"/>
  <c r="K40" i="40" s="1"/>
  <c r="N176" i="40"/>
  <c r="N40" i="40" s="1"/>
  <c r="M176" i="40"/>
  <c r="M40" i="40" s="1"/>
  <c r="L176" i="40"/>
  <c r="L40" i="40" s="1"/>
  <c r="J176" i="40"/>
  <c r="J40" i="40" s="1"/>
  <c r="I176" i="40"/>
  <c r="I40" i="40" s="1"/>
  <c r="H176" i="40"/>
  <c r="H40" i="40" s="1"/>
  <c r="G176" i="40"/>
  <c r="G40" i="40" s="1"/>
  <c r="F176" i="40"/>
  <c r="F40" i="40" s="1"/>
  <c r="E176" i="40"/>
  <c r="E40" i="40" s="1"/>
  <c r="C176" i="40"/>
  <c r="D149" i="40"/>
  <c r="D28" i="40" s="1"/>
  <c r="E149" i="40"/>
  <c r="E28" i="40" s="1"/>
  <c r="F149" i="40"/>
  <c r="F28" i="40" s="1"/>
  <c r="G149" i="40"/>
  <c r="G28" i="40" s="1"/>
  <c r="H149" i="40"/>
  <c r="H28" i="40" s="1"/>
  <c r="I149" i="40"/>
  <c r="I28" i="40" s="1"/>
  <c r="J149" i="40"/>
  <c r="J28" i="40" s="1"/>
  <c r="K149" i="40"/>
  <c r="K28" i="40" s="1"/>
  <c r="L149" i="40"/>
  <c r="L28" i="40" s="1"/>
  <c r="M149" i="40"/>
  <c r="M28" i="40" s="1"/>
  <c r="N149" i="40"/>
  <c r="N28" i="40" s="1"/>
  <c r="O149" i="40"/>
  <c r="O28" i="40" s="1"/>
  <c r="D143" i="40"/>
  <c r="E143" i="40"/>
  <c r="F143" i="40"/>
  <c r="G143" i="40"/>
  <c r="H143" i="40"/>
  <c r="I143" i="40"/>
  <c r="J143" i="40"/>
  <c r="K143" i="40"/>
  <c r="L143" i="40"/>
  <c r="M143" i="40"/>
  <c r="N143" i="40"/>
  <c r="O143" i="40"/>
  <c r="D136" i="40"/>
  <c r="D18" i="40" s="1"/>
  <c r="E136" i="40"/>
  <c r="E18" i="40" s="1"/>
  <c r="F136" i="40"/>
  <c r="F18" i="40" s="1"/>
  <c r="G136" i="40"/>
  <c r="G18" i="40" s="1"/>
  <c r="H136" i="40"/>
  <c r="H18" i="40" s="1"/>
  <c r="I136" i="40"/>
  <c r="I18" i="40" s="1"/>
  <c r="J136" i="40"/>
  <c r="J18" i="40" s="1"/>
  <c r="K136" i="40"/>
  <c r="K18" i="40" s="1"/>
  <c r="L136" i="40"/>
  <c r="L18" i="40" s="1"/>
  <c r="M136" i="40"/>
  <c r="M18" i="40" s="1"/>
  <c r="N136" i="40"/>
  <c r="N18" i="40" s="1"/>
  <c r="O136" i="40"/>
  <c r="O18" i="40" s="1"/>
  <c r="D95" i="40"/>
  <c r="D25" i="40" s="1"/>
  <c r="E95" i="40"/>
  <c r="E25" i="40" s="1"/>
  <c r="F95" i="40"/>
  <c r="F25" i="40" s="1"/>
  <c r="G95" i="40"/>
  <c r="G25" i="40" s="1"/>
  <c r="H95" i="40"/>
  <c r="H25" i="40" s="1"/>
  <c r="I95" i="40"/>
  <c r="I25" i="40" s="1"/>
  <c r="J95" i="40"/>
  <c r="J25" i="40" s="1"/>
  <c r="K95" i="40"/>
  <c r="K25" i="40" s="1"/>
  <c r="L95" i="40"/>
  <c r="L25" i="40" s="1"/>
  <c r="M95" i="40"/>
  <c r="M25" i="40" s="1"/>
  <c r="N95" i="40"/>
  <c r="N25" i="40" s="1"/>
  <c r="O95" i="40"/>
  <c r="O25" i="40" s="1"/>
  <c r="D89" i="40"/>
  <c r="D16" i="40" s="1"/>
  <c r="E89" i="40"/>
  <c r="E16" i="40" s="1"/>
  <c r="F89" i="40"/>
  <c r="F16" i="40" s="1"/>
  <c r="G89" i="40"/>
  <c r="G16" i="40" s="1"/>
  <c r="H89" i="40"/>
  <c r="H16" i="40" s="1"/>
  <c r="I89" i="40"/>
  <c r="I16" i="40" s="1"/>
  <c r="J89" i="40"/>
  <c r="J16" i="40" s="1"/>
  <c r="K89" i="40"/>
  <c r="K16" i="40" s="1"/>
  <c r="L89" i="40"/>
  <c r="L16" i="40" s="1"/>
  <c r="M89" i="40"/>
  <c r="M16" i="40" s="1"/>
  <c r="N89" i="40"/>
  <c r="N16" i="40" s="1"/>
  <c r="O89" i="40"/>
  <c r="O16" i="40" s="1"/>
  <c r="D84" i="40"/>
  <c r="E84" i="40"/>
  <c r="F84" i="40"/>
  <c r="G84" i="40"/>
  <c r="H84" i="40"/>
  <c r="I84" i="40"/>
  <c r="J84" i="40"/>
  <c r="K84" i="40"/>
  <c r="L84" i="40"/>
  <c r="M84" i="40"/>
  <c r="N84" i="40"/>
  <c r="O84" i="40"/>
  <c r="D191" i="40" l="1"/>
  <c r="D44" i="40" s="1"/>
  <c r="E191" i="40"/>
  <c r="E44" i="40" s="1"/>
  <c r="O176" i="40"/>
  <c r="O40" i="40" s="1"/>
  <c r="D176" i="40"/>
  <c r="D40" i="40" s="1"/>
  <c r="S4"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7" i="40"/>
  <c r="E32" i="40" s="1"/>
  <c r="F167" i="40"/>
  <c r="F32" i="40" s="1"/>
  <c r="G167" i="40"/>
  <c r="G32" i="40" s="1"/>
  <c r="H167" i="40"/>
  <c r="H32" i="40" s="1"/>
  <c r="I167" i="40"/>
  <c r="I32" i="40" s="1"/>
  <c r="J167" i="40"/>
  <c r="J32" i="40" s="1"/>
  <c r="K167" i="40"/>
  <c r="K32" i="40" s="1"/>
  <c r="L167" i="40"/>
  <c r="L32" i="40" s="1"/>
  <c r="M167" i="40"/>
  <c r="M32" i="40" s="1"/>
  <c r="N167" i="40"/>
  <c r="N32" i="40" s="1"/>
  <c r="O167" i="40"/>
  <c r="O32" i="40" s="1"/>
  <c r="D167" i="40"/>
  <c r="G191" i="40" l="1"/>
  <c r="G44" i="40" s="1"/>
  <c r="F191" i="40"/>
  <c r="F44" i="40" s="1"/>
  <c r="S5" i="40"/>
  <c r="D32" i="40"/>
  <c r="AH1" i="59"/>
  <c r="AK25" i="59" s="1"/>
  <c r="AM25" i="59" s="1"/>
  <c r="AK23" i="59" l="1"/>
  <c r="AL23" i="59" s="1" a="1"/>
  <c r="AL23" i="59" s="1"/>
  <c r="AM11" i="83" s="1"/>
  <c r="AK24" i="59"/>
  <c r="AM24" i="59" s="1"/>
  <c r="I191" i="40"/>
  <c r="I44" i="40" s="1"/>
  <c r="H191" i="40"/>
  <c r="H44" i="40" s="1"/>
  <c r="AK22" i="59"/>
  <c r="AM10" i="83" l="1"/>
  <c r="AM23" i="59"/>
  <c r="K191" i="40"/>
  <c r="K44" i="40" s="1"/>
  <c r="J191" i="40"/>
  <c r="J44" i="40" s="1"/>
  <c r="I26" i="58"/>
  <c r="AB22" i="59"/>
  <c r="AA22" i="59"/>
  <c r="AL22" i="59" s="1" a="1"/>
  <c r="AL22" i="59" s="1"/>
  <c r="AM12" i="83" s="1"/>
  <c r="S22" i="59"/>
  <c r="Q22" i="59" a="1"/>
  <c r="Q22" i="59" s="1"/>
  <c r="L191" i="40" l="1"/>
  <c r="L44" i="40" s="1"/>
  <c r="N191" i="40"/>
  <c r="N44" i="40" s="1"/>
  <c r="M191" i="40"/>
  <c r="M44" i="40" s="1"/>
  <c r="O191" i="40"/>
  <c r="O44" i="40" s="1"/>
  <c r="AC22" i="59"/>
  <c r="AB46" i="6" a="1"/>
  <c r="AB46" i="6" s="1"/>
  <c r="AC20" i="59" l="1"/>
  <c r="AD22" i="59"/>
  <c r="L3" i="53"/>
  <c r="L5" i="53"/>
  <c r="K3" i="53"/>
  <c r="K5" i="53"/>
  <c r="J3" i="53"/>
  <c r="J5" i="53"/>
  <c r="Z6" i="61"/>
  <c r="X5" i="61"/>
  <c r="C200" i="40" l="1"/>
  <c r="C201" i="40" s="1"/>
  <c r="C126" i="40"/>
  <c r="P122" i="40"/>
  <c r="E200" i="40" l="1"/>
  <c r="E201" i="40" s="1"/>
  <c r="F200" i="40"/>
  <c r="F201" i="40" s="1"/>
  <c r="G200" i="40"/>
  <c r="G201" i="40" s="1"/>
  <c r="H200" i="40"/>
  <c r="H201" i="40" s="1"/>
  <c r="I200" i="40"/>
  <c r="I201" i="40" s="1"/>
  <c r="J200" i="40"/>
  <c r="J201" i="40" s="1"/>
  <c r="K200" i="40"/>
  <c r="K201" i="40" s="1"/>
  <c r="L200" i="40"/>
  <c r="L201" i="40" s="1"/>
  <c r="M200" i="40"/>
  <c r="M201" i="40" s="1"/>
  <c r="N200" i="40"/>
  <c r="N201" i="40" s="1"/>
  <c r="O200" i="40"/>
  <c r="O201" i="40" s="1"/>
  <c r="D200" i="40"/>
  <c r="D201" i="40" s="1"/>
  <c r="P10" i="55"/>
  <c r="C4" i="55" a="1"/>
  <c r="C4" i="55" s="1"/>
  <c r="W10" i="55"/>
  <c r="X10" i="55" s="1"/>
  <c r="J34" i="64" l="1"/>
  <c r="N34" i="64"/>
  <c r="O34" i="64"/>
  <c r="P34" i="64"/>
  <c r="R34" i="64"/>
  <c r="L8" i="38"/>
  <c r="K8" i="38"/>
  <c r="Q34" i="64" l="1"/>
  <c r="Q33" i="64"/>
  <c r="S33" i="64" s="1"/>
  <c r="Q32" i="64"/>
  <c r="Y32" i="64"/>
  <c r="Y33" i="64"/>
  <c r="Y34" i="64"/>
  <c r="S34" i="64"/>
  <c r="T34" i="64" s="1"/>
  <c r="D108" i="32" a="1"/>
  <c r="D108" i="32" s="1"/>
  <c r="D114" i="32" a="1"/>
  <c r="D114" i="32" s="1"/>
  <c r="BL9" i="61"/>
  <c r="BM9" i="61" s="1"/>
  <c r="BK7" i="61"/>
  <c r="BL7" i="61" s="1"/>
  <c r="U33" i="64" l="1"/>
  <c r="V33" i="64" s="1"/>
  <c r="X33" i="64" s="1"/>
  <c r="T33" i="64"/>
  <c r="S32" i="64"/>
  <c r="T32" i="64" s="1"/>
  <c r="U34" i="64"/>
  <c r="V34" i="64" s="1"/>
  <c r="X34" i="64" s="1"/>
  <c r="BM7" i="61"/>
  <c r="Q65" i="10"/>
  <c r="R65" i="10"/>
  <c r="W33" i="64" l="1"/>
  <c r="U32" i="64"/>
  <c r="V32" i="64" s="1"/>
  <c r="X32" i="64" s="1"/>
  <c r="W34" i="64"/>
  <c r="Z22" i="64" s="1"/>
  <c r="B18" i="10"/>
  <c r="W32" i="64" l="1"/>
  <c r="Z23" i="64"/>
  <c r="Z24" i="64"/>
  <c r="Z25" i="64"/>
  <c r="Z26" i="64"/>
  <c r="Z27" i="64"/>
  <c r="Z28" i="64"/>
  <c r="Z29" i="64"/>
  <c r="Z30" i="64"/>
  <c r="Z31" i="64"/>
  <c r="Z32" i="64"/>
  <c r="Z33" i="64"/>
  <c r="Z34" i="64"/>
  <c r="T43" i="13"/>
  <c r="I32" i="13"/>
  <c r="P98" i="32" l="1" a="1"/>
  <c r="P98" i="32" s="1"/>
  <c r="O98" i="32" a="1"/>
  <c r="O98" i="32" s="1"/>
  <c r="K98" i="32" a="1"/>
  <c r="K98" i="32" s="1"/>
  <c r="J98" i="32" a="1"/>
  <c r="J98" i="32" s="1"/>
  <c r="F98" i="32" a="1"/>
  <c r="F98" i="32" s="1"/>
  <c r="E98" i="32" a="1"/>
  <c r="E98" i="32" s="1"/>
  <c r="D4" i="46"/>
  <c r="D2" i="46"/>
  <c r="D87" i="32" l="1" a="1"/>
  <c r="D87" i="32" s="1"/>
  <c r="W65" i="10"/>
  <c r="Y46" i="10" l="1"/>
  <c r="Y47" i="10"/>
  <c r="Y48" i="10"/>
  <c r="Y49" i="10"/>
  <c r="Y50" i="10"/>
  <c r="Y51" i="10"/>
  <c r="Y52" i="10"/>
  <c r="Y53" i="10"/>
  <c r="Y54" i="10"/>
  <c r="Y55" i="10"/>
  <c r="Y56" i="10"/>
  <c r="Y57" i="10"/>
  <c r="Y58" i="10"/>
  <c r="Y59" i="10"/>
  <c r="Y60" i="10"/>
  <c r="Y61" i="10"/>
  <c r="Y62" i="10"/>
  <c r="Y63" i="10"/>
  <c r="Y64" i="10"/>
  <c r="Y65" i="10"/>
  <c r="O26" i="40" l="1"/>
  <c r="N26" i="40"/>
  <c r="M26" i="40"/>
  <c r="L26" i="40"/>
  <c r="K26" i="40"/>
  <c r="J26" i="40"/>
  <c r="I26" i="40"/>
  <c r="H26" i="40"/>
  <c r="G26" i="40"/>
  <c r="F26" i="40"/>
  <c r="E26" i="40"/>
  <c r="D26" i="40"/>
  <c r="O27" i="40"/>
  <c r="N27" i="40"/>
  <c r="M27" i="40"/>
  <c r="L27" i="40"/>
  <c r="K27" i="40"/>
  <c r="J27" i="40"/>
  <c r="I27" i="40"/>
  <c r="H27" i="40"/>
  <c r="G27" i="40"/>
  <c r="F27" i="40"/>
  <c r="E27" i="40"/>
  <c r="D27" i="40"/>
  <c r="C4" i="81" a="1"/>
  <c r="C26" i="40" l="1"/>
  <c r="C4" i="81"/>
  <c r="AV46" i="6" a="1"/>
  <c r="AV46" i="6" s="1"/>
  <c r="AU46" i="6"/>
  <c r="AT46" i="6"/>
  <c r="AS46" i="6"/>
  <c r="AR46" i="6"/>
  <c r="AQ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U3" i="29" a="1"/>
  <c r="AU3" i="29" s="1"/>
  <c r="AT3" i="29"/>
  <c r="AS3" i="29"/>
  <c r="AR3" i="29"/>
  <c r="AQ3" i="29"/>
  <c r="AP3" i="29"/>
  <c r="AT81" i="29"/>
  <c r="AQ81" i="29"/>
  <c r="AP46" i="6" l="1"/>
  <c r="AO3" i="29"/>
  <c r="AC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5" i="68" l="1" a="1"/>
  <c r="V55" i="68" s="1"/>
  <c r="S55" i="68" a="1"/>
  <c r="S55" i="68" s="1"/>
  <c r="V52" i="68" a="1"/>
  <c r="V52" i="68" s="1"/>
  <c r="S52" i="68" a="1"/>
  <c r="S52" i="68" s="1"/>
  <c r="V51" i="68" a="1"/>
  <c r="V51" i="68" s="1"/>
  <c r="S51" i="68" a="1"/>
  <c r="S51" i="68" s="1"/>
  <c r="C52" i="68" a="1"/>
  <c r="C52" i="68" s="1"/>
  <c r="V50" i="68" a="1"/>
  <c r="V50" i="68" s="1"/>
  <c r="V46" i="68" a="1"/>
  <c r="V46" i="68" s="1"/>
  <c r="S46" i="68" a="1"/>
  <c r="S46" i="68" s="1"/>
  <c r="V45" i="68" a="1"/>
  <c r="V45" i="68" s="1"/>
  <c r="S45" i="68" a="1"/>
  <c r="S45" i="68" s="1"/>
  <c r="V44" i="68" a="1"/>
  <c r="V44" i="68" s="1"/>
  <c r="S44" i="68" a="1"/>
  <c r="S44" i="68" s="1"/>
  <c r="V42" i="68" a="1"/>
  <c r="V42" i="68" s="1"/>
  <c r="S42" i="68" a="1"/>
  <c r="S42" i="68" s="1"/>
  <c r="V40" i="68" a="1"/>
  <c r="V40" i="68" s="1"/>
  <c r="S40" i="68" a="1"/>
  <c r="S40" i="68" s="1"/>
  <c r="V39" i="68" a="1"/>
  <c r="V39" i="68" s="1"/>
  <c r="S39" i="68" a="1"/>
  <c r="S39" i="68" s="1"/>
  <c r="S38" i="68" a="1"/>
  <c r="S38" i="68" s="1"/>
  <c r="V38" i="68" a="1"/>
  <c r="V38" i="68" s="1"/>
  <c r="V35" i="68" a="1"/>
  <c r="V35" i="68" s="1"/>
  <c r="S35" i="68" a="1"/>
  <c r="S35" i="68" s="1"/>
  <c r="C35" i="68" a="1"/>
  <c r="C35" i="68" s="1"/>
  <c r="S34" i="68" a="1"/>
  <c r="S34" i="68" s="1"/>
  <c r="C34" i="68" a="1"/>
  <c r="C34" i="68" s="1"/>
  <c r="S30" i="68" a="1"/>
  <c r="S30" i="68" s="1"/>
  <c r="C30" i="68" a="1"/>
  <c r="C30" i="68" s="1"/>
  <c r="S29" i="68" a="1"/>
  <c r="S29" i="68" s="1"/>
  <c r="C29" i="68" a="1"/>
  <c r="C29" i="68" s="1"/>
  <c r="C26" i="68" a="1"/>
  <c r="C26" i="68" s="1"/>
  <c r="S26" i="68" a="1"/>
  <c r="S26" i="68" s="1"/>
  <c r="S25" i="68" a="1"/>
  <c r="S25" i="68" s="1"/>
  <c r="C25" i="68" a="1"/>
  <c r="C25" i="68" s="1"/>
  <c r="S24" i="68" a="1"/>
  <c r="S24" i="68" s="1"/>
  <c r="C24" i="68" a="1"/>
  <c r="C24" i="68" s="1"/>
  <c r="V18" i="68" a="1"/>
  <c r="V18" i="68" s="1"/>
  <c r="S18" i="68" a="1"/>
  <c r="S18" i="68" s="1"/>
  <c r="S17" i="68" a="1"/>
  <c r="S17" i="68" s="1"/>
  <c r="S14" i="68" a="1"/>
  <c r="S14" i="68" s="1"/>
  <c r="C14" i="68" a="1"/>
  <c r="C14" i="68" s="1"/>
  <c r="J35" i="32" a="1"/>
  <c r="J35" i="32" s="1"/>
  <c r="K35" i="32" a="1"/>
  <c r="K35" i="32" s="1"/>
  <c r="J16" i="32" a="1"/>
  <c r="J16" i="32" s="1"/>
  <c r="K16" i="32" a="1"/>
  <c r="K16" i="32" s="1"/>
  <c r="AP81" i="29"/>
  <c r="AS81" i="29"/>
  <c r="AR81" i="29"/>
  <c r="AE81" i="29"/>
  <c r="AE3" i="29"/>
  <c r="AO81" i="29" l="1"/>
  <c r="V37" i="68"/>
  <c r="S37" i="68"/>
  <c r="O112" i="32"/>
  <c r="O106" i="32" s="1"/>
  <c r="O111" i="32"/>
  <c r="O104" i="32" s="1"/>
  <c r="O110" i="32"/>
  <c r="O103" i="32" s="1"/>
  <c r="O96" i="32" a="1"/>
  <c r="O96" i="32" s="1"/>
  <c r="O94" i="32"/>
  <c r="O83" i="32" s="1"/>
  <c r="O93" i="32"/>
  <c r="O82" i="32" s="1"/>
  <c r="O92" i="32"/>
  <c r="O81" i="32" s="1"/>
  <c r="O73" i="32" a="1"/>
  <c r="O73" i="32" s="1"/>
  <c r="O72" i="32" a="1"/>
  <c r="O72" i="32" s="1"/>
  <c r="O71" i="32" a="1"/>
  <c r="O71" i="32" s="1"/>
  <c r="O70" i="32" a="1"/>
  <c r="O70" i="32" s="1"/>
  <c r="O68" i="32" a="1"/>
  <c r="O68" i="32" s="1"/>
  <c r="O67" i="32" a="1"/>
  <c r="O67" i="32" s="1"/>
  <c r="O66" i="32" a="1"/>
  <c r="O66" i="32" s="1"/>
  <c r="O65" i="32" a="1"/>
  <c r="O65" i="32" s="1"/>
  <c r="O63" i="32" a="1"/>
  <c r="O63" i="32" s="1"/>
  <c r="O62" i="32" a="1"/>
  <c r="O62" i="32" s="1"/>
  <c r="O61" i="32" a="1"/>
  <c r="O61" i="32" s="1"/>
  <c r="O60" i="32" a="1"/>
  <c r="O60" i="32" s="1"/>
  <c r="O59" i="32" a="1"/>
  <c r="O59" i="32" s="1"/>
  <c r="O58" i="32" a="1"/>
  <c r="O58" i="32" s="1"/>
  <c r="O57" i="32" a="1"/>
  <c r="O57" i="32" s="1"/>
  <c r="O56" i="32" a="1"/>
  <c r="O56" i="32" s="1"/>
  <c r="O25" i="32" a="1"/>
  <c r="O25" i="32" s="1"/>
  <c r="J112" i="32"/>
  <c r="J111" i="32"/>
  <c r="J110" i="32"/>
  <c r="J96" i="32" a="1"/>
  <c r="J96" i="32" s="1"/>
  <c r="J94" i="32"/>
  <c r="J93" i="32"/>
  <c r="J92" i="32"/>
  <c r="J73" i="32" a="1"/>
  <c r="J73" i="32" s="1"/>
  <c r="J72" i="32" a="1"/>
  <c r="J72" i="32" s="1"/>
  <c r="J71" i="32" a="1"/>
  <c r="J71" i="32" s="1"/>
  <c r="J70" i="32" a="1"/>
  <c r="J70" i="32" s="1"/>
  <c r="J68" i="32" a="1"/>
  <c r="J68" i="32" s="1"/>
  <c r="J67" i="32" a="1"/>
  <c r="J67" i="32" s="1"/>
  <c r="J66" i="32" a="1"/>
  <c r="J66" i="32" s="1"/>
  <c r="J65" i="32" a="1"/>
  <c r="J65" i="32" s="1"/>
  <c r="J63" i="32" a="1"/>
  <c r="J63" i="32" s="1"/>
  <c r="J62" i="32" a="1"/>
  <c r="J62" i="32" s="1"/>
  <c r="J61" i="32" a="1"/>
  <c r="J61" i="32" s="1"/>
  <c r="J60" i="32" a="1"/>
  <c r="J60" i="32" s="1"/>
  <c r="J59" i="32" a="1"/>
  <c r="J59" i="32" s="1"/>
  <c r="J58" i="32" a="1"/>
  <c r="J58" i="32" s="1"/>
  <c r="J57" i="32" a="1"/>
  <c r="J57" i="32" s="1"/>
  <c r="J56" i="32" a="1"/>
  <c r="J56" i="32" s="1"/>
  <c r="J54" i="32" a="1"/>
  <c r="J54" i="32" s="1"/>
  <c r="J39" i="32" a="1"/>
  <c r="J39" i="32" s="1"/>
  <c r="J38" i="32" a="1"/>
  <c r="J38" i="32" s="1"/>
  <c r="J36" i="32" a="1"/>
  <c r="J36" i="32" s="1"/>
  <c r="J31" i="32" a="1"/>
  <c r="J31" i="32" s="1"/>
  <c r="J29" i="32" a="1"/>
  <c r="J29" i="32" s="1"/>
  <c r="J28" i="32" a="1"/>
  <c r="J28" i="32" s="1"/>
  <c r="J27" i="32" a="1"/>
  <c r="J27" i="32" s="1"/>
  <c r="J25" i="32" a="1"/>
  <c r="J25" i="32" s="1"/>
  <c r="J19" i="32" a="1"/>
  <c r="J19" i="32" s="1"/>
  <c r="J17" i="32" a="1"/>
  <c r="J17" i="32" s="1"/>
  <c r="J9" i="32" a="1"/>
  <c r="J9" i="32" s="1"/>
  <c r="O55" i="32" l="1"/>
  <c r="O69" i="32"/>
  <c r="O91" i="32"/>
  <c r="J91" i="32"/>
  <c r="J69" i="32"/>
  <c r="O64" i="32"/>
  <c r="J64" i="32"/>
  <c r="J55" i="32"/>
  <c r="J53" i="32" s="1"/>
  <c r="K4" i="32"/>
  <c r="P4" i="32"/>
  <c r="P112" i="32"/>
  <c r="K112" i="32"/>
  <c r="P110" i="32"/>
  <c r="K110" i="32"/>
  <c r="P111" i="32"/>
  <c r="K111" i="32"/>
  <c r="K96" i="32" a="1"/>
  <c r="K96" i="32" s="1"/>
  <c r="P96" i="32" a="1"/>
  <c r="P96" i="32" s="1"/>
  <c r="P94" i="32"/>
  <c r="P83" i="32" s="1"/>
  <c r="P93" i="32"/>
  <c r="P82" i="32" s="1"/>
  <c r="K94" i="32"/>
  <c r="K93" i="32"/>
  <c r="K92" i="32"/>
  <c r="P92" i="32"/>
  <c r="P81" i="32" s="1"/>
  <c r="P73" i="32" a="1"/>
  <c r="P73" i="32" s="1"/>
  <c r="P72" i="32" a="1"/>
  <c r="P72" i="32" s="1"/>
  <c r="P71" i="32" a="1"/>
  <c r="P71" i="32" s="1"/>
  <c r="P70" i="32" a="1"/>
  <c r="P70" i="32" s="1"/>
  <c r="P68" i="32" a="1"/>
  <c r="P68" i="32" s="1"/>
  <c r="P67" i="32" a="1"/>
  <c r="P67" i="32" s="1"/>
  <c r="P66" i="32" a="1"/>
  <c r="P66" i="32" s="1"/>
  <c r="P65" i="32" a="1"/>
  <c r="P65" i="32" s="1"/>
  <c r="P63" i="32" a="1"/>
  <c r="P63" i="32" s="1"/>
  <c r="K73" i="32" a="1"/>
  <c r="K73" i="32" s="1"/>
  <c r="K72" i="32" a="1"/>
  <c r="K72" i="32" s="1"/>
  <c r="K71" i="32" a="1"/>
  <c r="K71" i="32" s="1"/>
  <c r="K70" i="32" a="1"/>
  <c r="K70" i="32" s="1"/>
  <c r="K68" i="32" a="1"/>
  <c r="K68" i="32" s="1"/>
  <c r="K67" i="32" a="1"/>
  <c r="K67" i="32" s="1"/>
  <c r="K66" i="32" a="1"/>
  <c r="K66" i="32" s="1"/>
  <c r="K65" i="32" a="1"/>
  <c r="K65" i="32" s="1"/>
  <c r="K63" i="32" a="1"/>
  <c r="K63" i="32" s="1"/>
  <c r="P62" i="32" a="1"/>
  <c r="P62" i="32" s="1"/>
  <c r="P61" i="32" a="1"/>
  <c r="P61" i="32" s="1"/>
  <c r="P60" i="32" a="1"/>
  <c r="P60" i="32" s="1"/>
  <c r="P59" i="32" a="1"/>
  <c r="P59" i="32" s="1"/>
  <c r="P58" i="32" a="1"/>
  <c r="P58" i="32" s="1"/>
  <c r="P57" i="32" a="1"/>
  <c r="P57" i="32" s="1"/>
  <c r="P56" i="32" a="1"/>
  <c r="P56" i="32" s="1"/>
  <c r="K62" i="32" a="1"/>
  <c r="K62" i="32" s="1"/>
  <c r="K61" i="32" a="1"/>
  <c r="K61" i="32" s="1"/>
  <c r="K60" i="32" a="1"/>
  <c r="K60" i="32" s="1"/>
  <c r="K59" i="32" a="1"/>
  <c r="K59" i="32" s="1"/>
  <c r="K58" i="32" a="1"/>
  <c r="K58" i="32" s="1"/>
  <c r="K57" i="32" a="1"/>
  <c r="K57" i="32" s="1"/>
  <c r="K56" i="32" a="1"/>
  <c r="K56" i="32" s="1"/>
  <c r="K54" i="32" a="1"/>
  <c r="K54" i="32" s="1"/>
  <c r="K39" i="32" a="1"/>
  <c r="K39" i="32" s="1"/>
  <c r="K38" i="32" a="1"/>
  <c r="K38" i="32" s="1"/>
  <c r="K36" i="32" a="1"/>
  <c r="K36" i="32" s="1"/>
  <c r="K31" i="32" a="1"/>
  <c r="K31" i="32" s="1"/>
  <c r="K29" i="32" a="1"/>
  <c r="K29" i="32" s="1"/>
  <c r="K28" i="32" a="1"/>
  <c r="K28" i="32" s="1"/>
  <c r="K27" i="32" a="1"/>
  <c r="K27" i="32" s="1"/>
  <c r="P25" i="32" a="1"/>
  <c r="P25" i="32" s="1"/>
  <c r="K25" i="32" a="1"/>
  <c r="K25" i="32" s="1"/>
  <c r="K19" i="32" a="1"/>
  <c r="K19" i="32" s="1"/>
  <c r="K17" i="32" a="1"/>
  <c r="K17" i="32" s="1"/>
  <c r="B5" i="39"/>
  <c r="M5" i="39"/>
  <c r="N5" i="39" s="1"/>
  <c r="K9" i="32" a="1"/>
  <c r="K9" i="32"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4" i="32" l="1" a="1"/>
  <c r="F44" i="32" s="1"/>
  <c r="E44" i="32" a="1"/>
  <c r="E44" i="32" s="1"/>
  <c r="J167" i="32"/>
  <c r="J140" i="32"/>
  <c r="J47" i="32" a="1"/>
  <c r="J47" i="32" s="1"/>
  <c r="J46" i="32" a="1"/>
  <c r="J46" i="32" s="1"/>
  <c r="J44" i="32" a="1"/>
  <c r="J44" i="32" s="1"/>
  <c r="J45" i="32" a="1"/>
  <c r="J45" i="32" s="1"/>
  <c r="J74" i="32"/>
  <c r="J168" i="32" s="1"/>
  <c r="P69" i="32"/>
  <c r="K44" i="32" a="1"/>
  <c r="K44" i="32" s="1"/>
  <c r="K45" i="32" a="1"/>
  <c r="K45" i="32" s="1"/>
  <c r="K46" i="32" a="1"/>
  <c r="K46" i="32" s="1"/>
  <c r="K69" i="32"/>
  <c r="P91" i="32"/>
  <c r="K91" i="32"/>
  <c r="P64" i="32"/>
  <c r="K64" i="32"/>
  <c r="P55" i="32"/>
  <c r="K55" i="32"/>
  <c r="K53" i="32" s="1"/>
  <c r="K140" i="32" l="1"/>
  <c r="K167" i="32"/>
  <c r="K74" i="32"/>
  <c r="K168" i="32" s="1"/>
  <c r="Q24" i="37"/>
  <c r="Z24" i="37" s="1"/>
  <c r="X24" i="37"/>
  <c r="T24" i="37" l="1"/>
  <c r="O97" i="32" a="1"/>
  <c r="O97" i="32" s="1"/>
  <c r="O95" i="32" s="1"/>
  <c r="J97" i="32" a="1"/>
  <c r="J97" i="32" s="1"/>
  <c r="J95" i="32" s="1"/>
  <c r="F97" i="32" a="1"/>
  <c r="F97"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L50" i="63" s="1"/>
  <c r="P50" i="63" s="1"/>
  <c r="N30" i="63"/>
  <c r="N48" i="63"/>
  <c r="N26" i="63"/>
  <c r="N37" i="63"/>
  <c r="N44" i="63"/>
  <c r="M43" i="63"/>
  <c r="M53" i="63"/>
  <c r="M33" i="63"/>
  <c r="K97" i="32" a="1"/>
  <c r="K97" i="32" s="1"/>
  <c r="K95" i="32" s="1"/>
  <c r="P97" i="32" a="1"/>
  <c r="P97" i="32" s="1"/>
  <c r="AA24" i="37"/>
  <c r="AB24" i="37"/>
  <c r="E5" i="62"/>
  <c r="AH81" i="29"/>
  <c r="AK81" i="29"/>
  <c r="AE46" i="6"/>
  <c r="K17" i="45"/>
  <c r="K46" i="7"/>
  <c r="L23" i="63" l="1"/>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4" i="32" a="1"/>
  <c r="O114" i="32" s="1"/>
  <c r="J114" i="32" a="1"/>
  <c r="J114" i="32" s="1"/>
  <c r="E114" i="32" a="1"/>
  <c r="E114" i="32" s="1"/>
  <c r="K114" i="32" a="1"/>
  <c r="K114" i="32" s="1"/>
  <c r="P114" i="32" a="1"/>
  <c r="P114" i="32" s="1"/>
  <c r="F114" i="32" a="1"/>
  <c r="F114" i="32" s="1"/>
  <c r="H5" i="48"/>
  <c r="D79" i="32" l="1" a="1"/>
  <c r="D79" i="32" s="1"/>
  <c r="D99" i="32" a="1"/>
  <c r="D99" i="32" s="1"/>
  <c r="O79" i="32" a="1"/>
  <c r="O79" i="32" s="1"/>
  <c r="O99" i="32" a="1"/>
  <c r="O99" i="32" s="1"/>
  <c r="O90" i="32" s="1"/>
  <c r="J99" i="32" a="1"/>
  <c r="J99" i="32" s="1"/>
  <c r="J90" i="32" s="1"/>
  <c r="J79" i="32" a="1"/>
  <c r="J79" i="32" s="1"/>
  <c r="J109" i="32"/>
  <c r="O109" i="32"/>
  <c r="K99" i="32" a="1"/>
  <c r="K99" i="32" s="1"/>
  <c r="K90" i="32" s="1"/>
  <c r="P99" i="32" a="1"/>
  <c r="P99" i="32" s="1"/>
  <c r="K79" i="32" a="1"/>
  <c r="K79" i="32" s="1"/>
  <c r="P79" i="32" a="1"/>
  <c r="P79" i="32" s="1"/>
  <c r="I5" i="48"/>
  <c r="D78" i="32" l="1"/>
  <c r="F92" i="32"/>
  <c r="F81" i="32" s="1"/>
  <c r="E92" i="32"/>
  <c r="E81" i="32" s="1"/>
  <c r="D92" i="32"/>
  <c r="F93" i="32"/>
  <c r="F82" i="32" s="1"/>
  <c r="E93" i="32"/>
  <c r="E82" i="32" s="1"/>
  <c r="D93" i="32"/>
  <c r="F94" i="32"/>
  <c r="F83" i="32" s="1"/>
  <c r="E94" i="32"/>
  <c r="E83" i="32" s="1"/>
  <c r="D94" i="32"/>
  <c r="D98" i="32" a="1"/>
  <c r="D98" i="32" s="1"/>
  <c r="F100" i="32"/>
  <c r="E100" i="32"/>
  <c r="D110" i="32"/>
  <c r="F110" i="32"/>
  <c r="E110" i="32"/>
  <c r="D111" i="32"/>
  <c r="F111" i="32"/>
  <c r="E111" i="32"/>
  <c r="D112" i="32"/>
  <c r="F112" i="32"/>
  <c r="F106" i="32" s="1"/>
  <c r="E112" i="32"/>
  <c r="E106" i="32" s="1"/>
  <c r="F113" i="32"/>
  <c r="E113" i="32"/>
  <c r="F107" i="32"/>
  <c r="E107" i="32"/>
  <c r="D117" i="32"/>
  <c r="D81" i="32" l="1"/>
  <c r="D103" i="32"/>
  <c r="J117" i="32" a="1"/>
  <c r="J117" i="32" s="1"/>
  <c r="O117" i="32" a="1"/>
  <c r="O117" i="32" s="1"/>
  <c r="D83" i="32"/>
  <c r="P117" i="32" a="1"/>
  <c r="P117" i="32" s="1"/>
  <c r="K117" i="32" a="1"/>
  <c r="K117" i="32" s="1"/>
  <c r="D106" i="32"/>
  <c r="D104" i="32"/>
  <c r="D82" i="32"/>
  <c r="F5" i="62"/>
  <c r="G5" i="62" s="1"/>
  <c r="R3" i="39" a="1"/>
  <c r="M15" i="45" a="1"/>
  <c r="F79" i="32" l="1" a="1"/>
  <c r="F79" i="32" s="1"/>
  <c r="E79" i="32" a="1"/>
  <c r="E79" i="32" s="1"/>
  <c r="F99" i="32" a="1"/>
  <c r="F99" i="32" s="1"/>
  <c r="E99" i="32" a="1"/>
  <c r="E99" i="32" s="1"/>
  <c r="M15" i="45"/>
  <c r="R3" i="39"/>
  <c r="D96" i="32" l="1" a="1"/>
  <c r="D96" i="32" s="1"/>
  <c r="F96" i="32" a="1"/>
  <c r="F96" i="32" s="1"/>
  <c r="E96" i="32" a="1"/>
  <c r="E96" i="32" s="1"/>
  <c r="O3" i="60" l="1" a="1"/>
  <c r="O3" i="60" s="1"/>
  <c r="Y3" i="53"/>
  <c r="Y5" i="53"/>
  <c r="X3" i="53"/>
  <c r="Y22" i="35"/>
  <c r="AK3" i="29" l="1" a="1"/>
  <c r="AK3" i="29" s="1"/>
  <c r="AH3" i="29" a="1"/>
  <c r="AH3" i="29" s="1"/>
  <c r="AF22" i="59" l="1" a="1"/>
  <c r="AF22" i="59" s="1"/>
  <c r="E24" i="58" a="1"/>
  <c r="E24" i="58" s="1"/>
  <c r="A28" i="47" a="1"/>
  <c r="A28" i="47" s="1"/>
  <c r="B24" i="46" a="1"/>
  <c r="B24" i="46" s="1"/>
  <c r="T22" i="60" l="1" a="1"/>
  <c r="T22" i="60" s="1"/>
  <c r="AJ21" i="49"/>
  <c r="AI21" i="49"/>
  <c r="AH21" i="49"/>
  <c r="AA23" i="49" a="1"/>
  <c r="AA23" i="49" s="1"/>
  <c r="T23" i="49" a="1"/>
  <c r="T23" i="49" s="1"/>
  <c r="AG21" i="49" l="1"/>
  <c r="C112" i="40" a="1"/>
  <c r="C112"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2" i="9" a="1"/>
  <c r="E12" i="9" s="1"/>
  <c r="E11" i="9" a="1"/>
  <c r="E11" i="9" s="1"/>
  <c r="E10" i="9" a="1"/>
  <c r="E10" i="9" s="1"/>
  <c r="E9" i="9" a="1"/>
  <c r="E9" i="9" s="1"/>
  <c r="E8" i="9" a="1"/>
  <c r="E8" i="9" s="1"/>
  <c r="E7" i="9" a="1"/>
  <c r="E7"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6" i="32" a="1"/>
  <c r="F56" i="32" s="1"/>
  <c r="L46" i="7"/>
  <c r="P27" i="32" s="1" a="1"/>
  <c r="P27"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Z22" i="35"/>
  <c r="N22" i="35"/>
  <c r="M22" i="35"/>
  <c r="AD20" i="35" a="1"/>
  <c r="AD20" i="35" s="1"/>
  <c r="Y20" i="35"/>
  <c r="Z20" i="35" s="1"/>
  <c r="N20" i="35"/>
  <c r="M20" i="35"/>
  <c r="B20" i="35"/>
  <c r="G2" i="35"/>
  <c r="N1" i="35"/>
  <c r="O1" i="35" s="1"/>
  <c r="P1" i="35" s="1"/>
  <c r="Q1" i="35" s="1"/>
  <c r="R1" i="35" s="1"/>
  <c r="S1" i="35" s="1"/>
  <c r="T1" i="35" s="1"/>
  <c r="U1" i="35" s="1"/>
  <c r="V1" i="35" s="1"/>
  <c r="W1" i="35" s="1"/>
  <c r="X1" i="35" s="1"/>
  <c r="Y1" i="35" s="1"/>
  <c r="AB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N46" i="6" a="1"/>
  <c r="AN46" i="6" s="1"/>
  <c r="U46" i="6"/>
  <c r="AD45" i="6"/>
  <c r="AA45" i="6" a="1"/>
  <c r="AA45" i="6" s="1"/>
  <c r="Y45" i="6"/>
  <c r="X45" i="6"/>
  <c r="W45" i="6"/>
  <c r="V45" i="6"/>
  <c r="U44" i="6"/>
  <c r="V44" i="6" s="1"/>
  <c r="W44" i="6" s="1"/>
  <c r="X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L81" i="29"/>
  <c r="AA81" i="29"/>
  <c r="AD81" i="29" s="1"/>
  <c r="AL3" i="29"/>
  <c r="AA3" i="29"/>
  <c r="AD3" i="29" s="1"/>
  <c r="W3" i="29"/>
  <c r="B13" i="54"/>
  <c r="B4" i="65"/>
  <c r="F4" i="65" s="1" a="1"/>
  <c r="F4" i="65" s="1"/>
  <c r="D5" i="53"/>
  <c r="C130" i="40" s="1" a="1"/>
  <c r="C130" i="40" s="1"/>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7" i="32" a="1"/>
  <c r="F117" i="32" s="1"/>
  <c r="E117" i="32" a="1"/>
  <c r="E117" i="32" s="1"/>
  <c r="D116" i="32"/>
  <c r="D115" i="32" s="1"/>
  <c r="P104" i="32"/>
  <c r="E104" i="32"/>
  <c r="P103" i="32"/>
  <c r="E103" i="32"/>
  <c r="D91" i="32"/>
  <c r="D86" i="32"/>
  <c r="D80" i="32"/>
  <c r="F73" i="32" a="1"/>
  <c r="F73" i="32" s="1"/>
  <c r="E73" i="32" a="1"/>
  <c r="E73" i="32" s="1"/>
  <c r="F72" i="32" a="1"/>
  <c r="F72" i="32" s="1"/>
  <c r="E72" i="32" a="1"/>
  <c r="E72" i="32" s="1"/>
  <c r="F71" i="32" a="1"/>
  <c r="F71" i="32" s="1"/>
  <c r="E71" i="32" a="1"/>
  <c r="E71" i="32" s="1"/>
  <c r="F70" i="32" a="1"/>
  <c r="F70" i="32" s="1"/>
  <c r="E70" i="32" a="1"/>
  <c r="E70" i="32" s="1"/>
  <c r="F68" i="32" a="1"/>
  <c r="F68" i="32" s="1"/>
  <c r="E68" i="32" a="1"/>
  <c r="E68" i="32" s="1"/>
  <c r="F67" i="32" a="1"/>
  <c r="F67" i="32" s="1"/>
  <c r="E67" i="32" a="1"/>
  <c r="E67" i="32" s="1"/>
  <c r="F66" i="32" a="1"/>
  <c r="F66" i="32" s="1"/>
  <c r="E66" i="32" a="1"/>
  <c r="E66" i="32" s="1"/>
  <c r="F65" i="32" a="1"/>
  <c r="F65" i="32" s="1"/>
  <c r="E65" i="32" a="1"/>
  <c r="E65" i="32" s="1"/>
  <c r="F63" i="32" a="1"/>
  <c r="F63" i="32" s="1"/>
  <c r="E63" i="32" a="1"/>
  <c r="E63" i="32" s="1"/>
  <c r="F62" i="32" a="1"/>
  <c r="F62" i="32" s="1"/>
  <c r="E62" i="32" a="1"/>
  <c r="E62" i="32" s="1"/>
  <c r="E39" i="32" a="1"/>
  <c r="E39" i="32" s="1"/>
  <c r="E38" i="32" a="1"/>
  <c r="E38" i="32" s="1"/>
  <c r="E36" i="32" a="1"/>
  <c r="E36" i="32" s="1"/>
  <c r="E35" i="32" a="1"/>
  <c r="E35" i="32" s="1"/>
  <c r="E31" i="32" a="1"/>
  <c r="E31" i="32" s="1"/>
  <c r="E29" i="32" a="1"/>
  <c r="E29" i="32" s="1"/>
  <c r="E28" i="32" a="1"/>
  <c r="E28" i="32" s="1"/>
  <c r="F25" i="32" a="1"/>
  <c r="F25" i="32" s="1"/>
  <c r="E25" i="32" a="1"/>
  <c r="E25" i="32" s="1"/>
  <c r="E19" i="32" a="1"/>
  <c r="E19" i="32" s="1"/>
  <c r="E17" i="32" a="1"/>
  <c r="E17" i="32" s="1"/>
  <c r="F9" i="32" a="1"/>
  <c r="F9" i="32" s="1"/>
  <c r="E9" i="32" a="1"/>
  <c r="E9"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C50" i="68" a="1"/>
  <c r="C50" i="68" s="1"/>
  <c r="C46" i="68" a="1"/>
  <c r="C46" i="68" s="1"/>
  <c r="C45" i="68" a="1"/>
  <c r="C45" i="68" s="1"/>
  <c r="P2" i="68"/>
  <c r="O2" i="68"/>
  <c r="O53" i="68" s="1"/>
  <c r="N2" i="68"/>
  <c r="N53" i="68" s="1"/>
  <c r="M2" i="68"/>
  <c r="M53" i="68" s="1"/>
  <c r="L2" i="68"/>
  <c r="L53" i="68" s="1"/>
  <c r="K2" i="68"/>
  <c r="K53" i="68" s="1"/>
  <c r="J2" i="68"/>
  <c r="J53" i="68" s="1"/>
  <c r="I2" i="68"/>
  <c r="I53" i="68" s="1"/>
  <c r="H2" i="68"/>
  <c r="H53" i="68" s="1"/>
  <c r="G2" i="68"/>
  <c r="G53" i="68" s="1"/>
  <c r="F2" i="68"/>
  <c r="F53" i="68" s="1"/>
  <c r="E2" i="68"/>
  <c r="E53" i="68" s="1"/>
  <c r="D2" i="68"/>
  <c r="D53" i="68" s="1"/>
  <c r="C122" i="40" a="1"/>
  <c r="C122" i="40" s="1"/>
  <c r="C116" i="40" a="1"/>
  <c r="C116" i="40" s="1"/>
  <c r="C117" i="40" s="1"/>
  <c r="O78" i="40"/>
  <c r="O79" i="40" s="1"/>
  <c r="O15" i="40" s="1"/>
  <c r="N78" i="40"/>
  <c r="N79" i="40" s="1"/>
  <c r="N15" i="40" s="1"/>
  <c r="M78" i="40"/>
  <c r="M79" i="40" s="1"/>
  <c r="M15" i="40" s="1"/>
  <c r="L78" i="40"/>
  <c r="L79" i="40" s="1"/>
  <c r="L15" i="40" s="1"/>
  <c r="K78" i="40"/>
  <c r="K79" i="40" s="1"/>
  <c r="K15" i="40" s="1"/>
  <c r="J78" i="40"/>
  <c r="J79" i="40" s="1"/>
  <c r="J15" i="40" s="1"/>
  <c r="I78" i="40"/>
  <c r="I79" i="40" s="1"/>
  <c r="I15" i="40" s="1"/>
  <c r="H78" i="40"/>
  <c r="H79" i="40" s="1"/>
  <c r="H15" i="40" s="1"/>
  <c r="G78" i="40"/>
  <c r="G79" i="40" s="1"/>
  <c r="G15" i="40" s="1"/>
  <c r="F78" i="40"/>
  <c r="F79" i="40" s="1"/>
  <c r="F15" i="40" s="1"/>
  <c r="E78" i="40"/>
  <c r="E79" i="40" s="1"/>
  <c r="E15" i="40" s="1"/>
  <c r="O64" i="40"/>
  <c r="N64" i="40"/>
  <c r="M64" i="40"/>
  <c r="L64" i="40"/>
  <c r="K64" i="40"/>
  <c r="J64" i="40"/>
  <c r="I64" i="40"/>
  <c r="H64" i="40"/>
  <c r="G64" i="40"/>
  <c r="F64" i="40"/>
  <c r="E64" i="40"/>
  <c r="O56" i="40"/>
  <c r="O7" i="40" s="1"/>
  <c r="N56" i="40"/>
  <c r="N7" i="40" s="1"/>
  <c r="M56" i="40"/>
  <c r="M7" i="40" s="1"/>
  <c r="L56" i="40"/>
  <c r="L7" i="40" s="1"/>
  <c r="K56" i="40"/>
  <c r="K7" i="40" s="1"/>
  <c r="J56" i="40"/>
  <c r="J7" i="40" s="1"/>
  <c r="I56" i="40"/>
  <c r="I7" i="40" s="1"/>
  <c r="H56" i="40"/>
  <c r="H7" i="40" s="1"/>
  <c r="G56" i="40"/>
  <c r="G7" i="40" s="1"/>
  <c r="F56" i="40"/>
  <c r="F7" i="40" s="1"/>
  <c r="E56" i="40"/>
  <c r="E7" i="40" s="1"/>
  <c r="C46" i="40"/>
  <c r="C45" i="40"/>
  <c r="C44" i="40"/>
  <c r="C41" i="40"/>
  <c r="C40" i="40"/>
  <c r="C32" i="40"/>
  <c r="O2" i="40"/>
  <c r="N2" i="40"/>
  <c r="M2" i="40"/>
  <c r="L2" i="40"/>
  <c r="K2" i="40"/>
  <c r="J2" i="40"/>
  <c r="I2" i="40"/>
  <c r="H2" i="40"/>
  <c r="G2" i="40"/>
  <c r="F2" i="40"/>
  <c r="E2" i="40"/>
  <c r="D2" i="40"/>
  <c r="E1" i="40"/>
  <c r="CY33" i="71"/>
  <c r="CV11" i="71" a="1"/>
  <c r="CV11" i="71" s="1"/>
  <c r="B6" i="71"/>
  <c r="I9" i="13" a="1"/>
  <c r="Q9" i="6" a="1"/>
  <c r="C147" i="40" l="1" a="1"/>
  <c r="C147" i="40" s="1"/>
  <c r="C141" i="40" a="1"/>
  <c r="C141" i="40" s="1"/>
  <c r="C142" i="40" a="1"/>
  <c r="C142" i="40" s="1"/>
  <c r="C140" i="40" a="1"/>
  <c r="C140" i="40" s="1"/>
  <c r="C148" i="40" a="1"/>
  <c r="C148" i="40" s="1"/>
  <c r="A109" i="32"/>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C93" i="40" a="1"/>
  <c r="C93" i="40" s="1"/>
  <c r="C95" i="40" s="1"/>
  <c r="C94" i="40" a="1"/>
  <c r="C94" i="40" s="1"/>
  <c r="AC21" i="49" a="1"/>
  <c r="AC21" i="49" s="1"/>
  <c r="AD4" i="61"/>
  <c r="AD5" i="61"/>
  <c r="AH17" i="29"/>
  <c r="AH22" i="29"/>
  <c r="AH6" i="29"/>
  <c r="AH16" i="29"/>
  <c r="AH23" i="29"/>
  <c r="AH18" i="29"/>
  <c r="AA56" i="29"/>
  <c r="AA22" i="29"/>
  <c r="AA6" i="29"/>
  <c r="AA16" i="29"/>
  <c r="AA30" i="29"/>
  <c r="AA47" i="29"/>
  <c r="AA31" i="29"/>
  <c r="AA42" i="29"/>
  <c r="AA50" i="29"/>
  <c r="AA23" i="29"/>
  <c r="AA18" i="29"/>
  <c r="AA24" i="29"/>
  <c r="AA55" i="29"/>
  <c r="H24" i="46"/>
  <c r="H25" i="46"/>
  <c r="H26" i="46"/>
  <c r="Y44" i="6"/>
  <c r="AH50" i="29"/>
  <c r="AH43" i="29"/>
  <c r="AH33" i="29"/>
  <c r="AH42" i="29"/>
  <c r="AH27" i="29"/>
  <c r="AH30" i="29"/>
  <c r="AH47" i="29"/>
  <c r="AH64" i="29"/>
  <c r="AH61" i="29"/>
  <c r="AH31" i="29"/>
  <c r="AH63" i="29"/>
  <c r="AH44" i="29"/>
  <c r="AH58" i="29"/>
  <c r="AH48" i="29"/>
  <c r="AH70" i="29"/>
  <c r="AH55" i="29"/>
  <c r="AH24" i="29"/>
  <c r="AH56" i="29"/>
  <c r="AH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30" i="40"/>
  <c r="D131" i="40" s="1"/>
  <c r="D24" i="40" s="1"/>
  <c r="O130" i="40"/>
  <c r="O131" i="40" s="1"/>
  <c r="O24" i="40" s="1"/>
  <c r="M130" i="40"/>
  <c r="M131" i="40" s="1"/>
  <c r="M24" i="40" s="1"/>
  <c r="L130" i="40"/>
  <c r="L131" i="40" s="1"/>
  <c r="L24" i="40" s="1"/>
  <c r="K130" i="40"/>
  <c r="K131" i="40" s="1"/>
  <c r="K24" i="40" s="1"/>
  <c r="J130" i="40"/>
  <c r="J131" i="40" s="1"/>
  <c r="J24" i="40" s="1"/>
  <c r="I130" i="40"/>
  <c r="I131" i="40" s="1"/>
  <c r="I24" i="40" s="1"/>
  <c r="H130" i="40"/>
  <c r="H131" i="40" s="1"/>
  <c r="H24" i="40" s="1"/>
  <c r="G130" i="40"/>
  <c r="G131" i="40" s="1"/>
  <c r="G24" i="40" s="1"/>
  <c r="F130" i="40"/>
  <c r="F131" i="40" s="1"/>
  <c r="F24" i="40" s="1"/>
  <c r="E130" i="40"/>
  <c r="E131" i="40" s="1"/>
  <c r="E24" i="40" s="1"/>
  <c r="N130" i="40"/>
  <c r="N131" i="40" s="1"/>
  <c r="N24" i="40" s="1"/>
  <c r="BI22" i="34" a="1"/>
  <c r="BI22" i="34" s="1"/>
  <c r="F1" i="40"/>
  <c r="E185" i="40" a="1"/>
  <c r="E185" i="40" s="1"/>
  <c r="E186" i="40" s="1"/>
  <c r="E43" i="40" s="1"/>
  <c r="P31" i="6" a="1"/>
  <c r="P31" i="6" s="1"/>
  <c r="P34" i="6" s="1"/>
  <c r="N35" i="81" s="1"/>
  <c r="AB45" i="6" a="1"/>
  <c r="AB45" i="6" s="1"/>
  <c r="Z6" i="71" a="1"/>
  <c r="Z6" i="71" s="1"/>
  <c r="Y6" i="71" a="1"/>
  <c r="Y6" i="71" s="1"/>
  <c r="AA6" i="71" a="1"/>
  <c r="AA6" i="71" s="1"/>
  <c r="W6" i="71" a="1"/>
  <c r="W6" i="71" s="1"/>
  <c r="C149" i="40"/>
  <c r="C143" i="40"/>
  <c r="AC6" i="71" a="1"/>
  <c r="AC6" i="71" s="1"/>
  <c r="AB6" i="71" a="1"/>
  <c r="AB6" i="71" s="1"/>
  <c r="C88" i="40" a="1"/>
  <c r="C88" i="40" s="1"/>
  <c r="C89" i="40" s="1"/>
  <c r="V26" i="68" a="1"/>
  <c r="V26" i="68" s="1"/>
  <c r="X6" i="71" a="1"/>
  <c r="X6" i="71" s="1"/>
  <c r="M6" i="71" a="1"/>
  <c r="M6" i="71" s="1"/>
  <c r="I103" i="40"/>
  <c r="K103" i="40"/>
  <c r="O103" i="40"/>
  <c r="J103" i="40"/>
  <c r="L103" i="40"/>
  <c r="N103" i="40"/>
  <c r="E103"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X6" i="71" a="1"/>
  <c r="AX6" i="71" s="1"/>
  <c r="C3" i="74"/>
  <c r="C2" i="74"/>
  <c r="V27" i="68" a="1"/>
  <c r="V27" i="68" s="1"/>
  <c r="E27" i="68" a="1"/>
  <c r="E27" i="68" s="1"/>
  <c r="D27" i="68" a="1"/>
  <c r="D27" i="68" s="1"/>
  <c r="N27" i="68" a="1"/>
  <c r="N27" i="68" s="1"/>
  <c r="M27" i="68" a="1"/>
  <c r="M27" i="68" s="1"/>
  <c r="L27" i="68" a="1"/>
  <c r="L27" i="68" s="1"/>
  <c r="K27" i="68" a="1"/>
  <c r="K27" i="68" s="1"/>
  <c r="P37" i="32" a="1"/>
  <c r="P37" i="32" s="1"/>
  <c r="F37" i="32" a="1"/>
  <c r="F37" i="32" s="1"/>
  <c r="J27" i="68" a="1"/>
  <c r="J27" i="68" s="1"/>
  <c r="O37" i="32" a="1"/>
  <c r="O37" i="32" s="1"/>
  <c r="O18" i="32" a="1"/>
  <c r="O18" i="32" s="1"/>
  <c r="I27" i="68" a="1"/>
  <c r="I27" i="68" s="1"/>
  <c r="P30" i="32" a="1"/>
  <c r="P30" i="32" s="1"/>
  <c r="F30" i="32" a="1"/>
  <c r="F30" i="32" s="1"/>
  <c r="H27" i="68" a="1"/>
  <c r="H27" i="68" s="1"/>
  <c r="O30" i="32" a="1"/>
  <c r="O30" i="32" s="1"/>
  <c r="F27" i="68" a="1"/>
  <c r="F27" i="68" s="1"/>
  <c r="G27" i="68" a="1"/>
  <c r="G27" i="68" s="1"/>
  <c r="P18" i="32" a="1"/>
  <c r="P18" i="32" s="1"/>
  <c r="F18" i="32" a="1"/>
  <c r="F18" i="32" s="1"/>
  <c r="I9" i="13"/>
  <c r="Q9" i="6"/>
  <c r="H21" i="6"/>
  <c r="H25" i="6"/>
  <c r="H20" i="6"/>
  <c r="H24" i="6"/>
  <c r="H33" i="6"/>
  <c r="H23" i="6"/>
  <c r="H22" i="6"/>
  <c r="H19" i="6"/>
  <c r="H18" i="6"/>
  <c r="H17" i="6"/>
  <c r="H28" i="6"/>
  <c r="H27" i="6"/>
  <c r="H26" i="6"/>
  <c r="H37" i="13"/>
  <c r="S13" i="81"/>
  <c r="N43" i="13"/>
  <c r="V14" i="81"/>
  <c r="P14" i="81"/>
  <c r="O38" i="6"/>
  <c r="U45" i="6"/>
  <c r="J16" i="68" a="1"/>
  <c r="J16" i="68" s="1"/>
  <c r="I16" i="68" a="1"/>
  <c r="I16" i="68" s="1"/>
  <c r="V16" i="68" a="1"/>
  <c r="V16" i="68" s="1"/>
  <c r="G16" i="68" a="1"/>
  <c r="G16" i="68" s="1"/>
  <c r="F16" i="68" a="1"/>
  <c r="F16" i="68" s="1"/>
  <c r="O16" i="68" a="1"/>
  <c r="O16" i="68" s="1"/>
  <c r="N16" i="68" a="1"/>
  <c r="N16" i="68" s="1"/>
  <c r="E16" i="68" a="1"/>
  <c r="E16" i="68" s="1"/>
  <c r="M16" i="68" a="1"/>
  <c r="M16" i="68" s="1"/>
  <c r="D16" i="68" a="1"/>
  <c r="D16" i="68" s="1"/>
  <c r="L16" i="68" a="1"/>
  <c r="L16" i="68" s="1"/>
  <c r="H16" i="68" a="1"/>
  <c r="H16" i="68" s="1"/>
  <c r="K16" i="68" a="1"/>
  <c r="K16" i="68" s="1"/>
  <c r="I26" i="68" a="1"/>
  <c r="I26" i="68" s="1"/>
  <c r="I45" i="68" a="1"/>
  <c r="I45" i="68" s="1"/>
  <c r="H26" i="68" a="1"/>
  <c r="H26" i="68" s="1"/>
  <c r="H45" i="68" a="1"/>
  <c r="H45" i="68" s="1"/>
  <c r="L45" i="68" a="1"/>
  <c r="L45" i="68" s="1"/>
  <c r="L26" i="68" a="1"/>
  <c r="L26" i="68" s="1"/>
  <c r="M45" i="68" a="1"/>
  <c r="M45" i="68" s="1"/>
  <c r="M26" i="68" a="1"/>
  <c r="M26" i="68" s="1"/>
  <c r="F38" i="68" a="1"/>
  <c r="F38" i="68" s="1"/>
  <c r="F45" i="68" a="1"/>
  <c r="F45" i="68" s="1"/>
  <c r="F26" i="68" a="1"/>
  <c r="F26" i="68" s="1"/>
  <c r="J26" i="68" a="1"/>
  <c r="J26" i="68" s="1"/>
  <c r="J45" i="68" a="1"/>
  <c r="J45" i="68" s="1"/>
  <c r="K26" i="68" a="1"/>
  <c r="K26" i="68" s="1"/>
  <c r="K45" i="68" a="1"/>
  <c r="K45" i="68" s="1"/>
  <c r="O23" i="32" a="1"/>
  <c r="O23" i="32" s="1"/>
  <c r="N45" i="68" a="1"/>
  <c r="N45" i="68" s="1"/>
  <c r="N26" i="68" a="1"/>
  <c r="N26" i="68" s="1"/>
  <c r="D28" i="68" a="1"/>
  <c r="D28" i="68" s="1"/>
  <c r="V28" i="68" a="1"/>
  <c r="V28" i="68" s="1"/>
  <c r="O45" i="68" a="1"/>
  <c r="O45" i="68" s="1"/>
  <c r="O26" i="68" a="1"/>
  <c r="O26" i="68" s="1"/>
  <c r="G45" i="68" a="1"/>
  <c r="G45" i="68" s="1"/>
  <c r="G26" i="68" a="1"/>
  <c r="G26" i="68" s="1"/>
  <c r="C51" i="68" a="1"/>
  <c r="C51" i="68" s="1"/>
  <c r="D26" i="68" a="1"/>
  <c r="D26" i="68" s="1"/>
  <c r="E26" i="68" a="1"/>
  <c r="E26" i="68" s="1"/>
  <c r="E45" i="68" a="1"/>
  <c r="E45" i="68" s="1"/>
  <c r="H30" i="68" a="1"/>
  <c r="H30" i="68" s="1"/>
  <c r="L29" i="68" a="1"/>
  <c r="L29" i="68" s="1"/>
  <c r="G25" i="68" a="1"/>
  <c r="G25" i="68" s="1"/>
  <c r="J14" i="68" a="1"/>
  <c r="J14" i="68" s="1"/>
  <c r="G30" i="68" a="1"/>
  <c r="G30" i="68" s="1"/>
  <c r="K29" i="68" a="1"/>
  <c r="K29" i="68" s="1"/>
  <c r="V25" i="68" a="1"/>
  <c r="V25" i="68" s="1"/>
  <c r="F25" i="68" a="1"/>
  <c r="F25" i="68" s="1"/>
  <c r="K24" i="68" a="1"/>
  <c r="K24" i="68" s="1"/>
  <c r="I14" i="68" a="1"/>
  <c r="I14" i="68" s="1"/>
  <c r="O16" i="32" a="1"/>
  <c r="O16" i="32" s="1"/>
  <c r="H14" i="68" a="1"/>
  <c r="H14" i="68" s="1"/>
  <c r="V30" i="68" a="1"/>
  <c r="V30" i="68" s="1"/>
  <c r="O25" i="68" a="1"/>
  <c r="O25" i="68" s="1"/>
  <c r="I24" i="68" a="1"/>
  <c r="I24" i="68" s="1"/>
  <c r="O14" i="68" a="1"/>
  <c r="O14" i="68" s="1"/>
  <c r="P16" i="32" a="1"/>
  <c r="P16" i="32" s="1"/>
  <c r="F30" i="68" a="1"/>
  <c r="F30" i="68" s="1"/>
  <c r="J29" i="68" a="1"/>
  <c r="J29" i="68" s="1"/>
  <c r="E14" i="68" a="1"/>
  <c r="E14" i="68" s="1"/>
  <c r="O30" i="68" a="1"/>
  <c r="O30" i="68" s="1"/>
  <c r="E30" i="68" a="1"/>
  <c r="E30" i="68" s="1"/>
  <c r="H29" i="68" a="1"/>
  <c r="H29" i="68" s="1"/>
  <c r="N25" i="68" a="1"/>
  <c r="N25" i="68" s="1"/>
  <c r="D25" i="68" a="1"/>
  <c r="D25" i="68" s="1"/>
  <c r="H24" i="68" a="1"/>
  <c r="H24" i="68" s="1"/>
  <c r="F14" i="68" a="1"/>
  <c r="F14" i="68" s="1"/>
  <c r="N30" i="68" a="1"/>
  <c r="N30" i="68" s="1"/>
  <c r="D30" i="68" a="1"/>
  <c r="D30" i="68" s="1"/>
  <c r="G29" i="68" a="1"/>
  <c r="G29" i="68" s="1"/>
  <c r="M25" i="68" a="1"/>
  <c r="M25" i="68" s="1"/>
  <c r="G24" i="68" a="1"/>
  <c r="G24" i="68" s="1"/>
  <c r="P35" i="32" a="1"/>
  <c r="P35" i="32" s="1"/>
  <c r="M30" i="68" a="1"/>
  <c r="M30" i="68" s="1"/>
  <c r="F29" i="68" a="1"/>
  <c r="F29" i="68" s="1"/>
  <c r="L25" i="68" a="1"/>
  <c r="L25" i="68" s="1"/>
  <c r="F24" i="68" a="1"/>
  <c r="F24" i="68" s="1"/>
  <c r="L30" i="68" a="1"/>
  <c r="L30" i="68" s="1"/>
  <c r="E29" i="68" a="1"/>
  <c r="E29" i="68" s="1"/>
  <c r="V24" i="68" a="1"/>
  <c r="V24" i="68" s="1"/>
  <c r="N14" i="68" a="1"/>
  <c r="N14" i="68" s="1"/>
  <c r="D14" i="68" a="1"/>
  <c r="D14" i="68" s="1"/>
  <c r="E25" i="68" a="1"/>
  <c r="E25" i="68" s="1"/>
  <c r="G14" i="68" a="1"/>
  <c r="G14" i="68" s="1"/>
  <c r="V29" i="68" a="1"/>
  <c r="V29" i="68" s="1"/>
  <c r="D29" i="68" a="1"/>
  <c r="D29" i="68" s="1"/>
  <c r="K25" i="68" a="1"/>
  <c r="K25" i="68" s="1"/>
  <c r="O24" i="68" a="1"/>
  <c r="O24" i="68" s="1"/>
  <c r="E24" i="68" a="1"/>
  <c r="E24" i="68" s="1"/>
  <c r="M14" i="68" a="1"/>
  <c r="M14" i="68" s="1"/>
  <c r="V14" i="68" a="1"/>
  <c r="V14" i="68" s="1"/>
  <c r="K30" i="68" a="1"/>
  <c r="K30" i="68" s="1"/>
  <c r="O29" i="68" a="1"/>
  <c r="O29" i="68" s="1"/>
  <c r="J25" i="68" a="1"/>
  <c r="J25" i="68" s="1"/>
  <c r="N24" i="68" a="1"/>
  <c r="N24" i="68" s="1"/>
  <c r="D24" i="68" a="1"/>
  <c r="D24" i="68" s="1"/>
  <c r="L14" i="68" a="1"/>
  <c r="L14" i="68" s="1"/>
  <c r="J30" i="68" a="1"/>
  <c r="J30" i="68" s="1"/>
  <c r="N29" i="68" a="1"/>
  <c r="N29" i="68" s="1"/>
  <c r="I25" i="68" a="1"/>
  <c r="I25" i="68" s="1"/>
  <c r="M24" i="68" a="1"/>
  <c r="M24" i="68" s="1"/>
  <c r="J24" i="68" a="1"/>
  <c r="J24" i="68" s="1"/>
  <c r="O35" i="32" a="1"/>
  <c r="O35" i="32" s="1"/>
  <c r="I29" i="68" a="1"/>
  <c r="I29" i="68" s="1"/>
  <c r="I30" i="68" a="1"/>
  <c r="I30" i="68" s="1"/>
  <c r="M29" i="68" a="1"/>
  <c r="M29" i="68" s="1"/>
  <c r="H25" i="68" a="1"/>
  <c r="H25" i="68" s="1"/>
  <c r="L24" i="68" a="1"/>
  <c r="L24" i="68" s="1"/>
  <c r="K14" i="68" a="1"/>
  <c r="K14" i="68" s="1"/>
  <c r="O27" i="32" a="1"/>
  <c r="O27" i="32" s="1"/>
  <c r="V17" i="68" a="1"/>
  <c r="V17" i="68" s="1"/>
  <c r="AE45" i="6"/>
  <c r="O85" i="32" a="1"/>
  <c r="O85" i="32" s="1"/>
  <c r="J85" i="32" a="1"/>
  <c r="J85" i="32" s="1"/>
  <c r="O88" i="32" a="1"/>
  <c r="O88" i="32" s="1"/>
  <c r="O87" i="32" a="1"/>
  <c r="O87" i="32" s="1"/>
  <c r="J88" i="32" a="1"/>
  <c r="J88" i="32" s="1"/>
  <c r="K118" i="32" a="1"/>
  <c r="K118" i="32" s="1"/>
  <c r="J118" i="32" a="1"/>
  <c r="J118" i="32" s="1"/>
  <c r="O42" i="32" a="1"/>
  <c r="O42" i="32" s="1"/>
  <c r="J49" i="32" a="1"/>
  <c r="J49" i="32" s="1"/>
  <c r="O49" i="32" a="1"/>
  <c r="O49" i="32" s="1"/>
  <c r="O39" i="32" a="1"/>
  <c r="O39" i="32" s="1"/>
  <c r="O38" i="32" a="1"/>
  <c r="O38" i="32" s="1"/>
  <c r="O36" i="32" a="1"/>
  <c r="O36" i="32" s="1"/>
  <c r="O19" i="32" a="1"/>
  <c r="O19" i="32" s="1"/>
  <c r="O17" i="32" a="1"/>
  <c r="O17" i="32" s="1"/>
  <c r="O29" i="32" a="1"/>
  <c r="O29" i="32" s="1"/>
  <c r="O31" i="32" a="1"/>
  <c r="O31" i="32" s="1"/>
  <c r="O28" i="32" a="1"/>
  <c r="O28" i="32" s="1"/>
  <c r="O118" i="32" a="1"/>
  <c r="O118" i="32" s="1"/>
  <c r="O47" i="32" a="1"/>
  <c r="O47" i="32" s="1"/>
  <c r="O84" i="32" a="1"/>
  <c r="O84" i="32" s="1"/>
  <c r="O43" i="32" a="1"/>
  <c r="O43" i="32" s="1"/>
  <c r="O44" i="32" a="1"/>
  <c r="O44" i="32" s="1"/>
  <c r="O46" i="32" a="1"/>
  <c r="O46" i="32" s="1"/>
  <c r="O45" i="32" a="1"/>
  <c r="O45" i="32" s="1"/>
  <c r="AZ6" i="57" a="1"/>
  <c r="AZ6" i="57" s="1"/>
  <c r="P23" i="32" a="1"/>
  <c r="P23" i="32" s="1"/>
  <c r="K47" i="32" a="1"/>
  <c r="K47" i="32" s="1"/>
  <c r="E120" i="32" a="1"/>
  <c r="E120" i="32" s="1"/>
  <c r="F120" i="32" a="1"/>
  <c r="F120" i="32" s="1"/>
  <c r="CM5" i="76" a="1"/>
  <c r="CM5" i="76" s="1"/>
  <c r="AD24" i="61" a="1"/>
  <c r="AD24" i="61" s="1"/>
  <c r="AD29" i="61" a="1"/>
  <c r="AD29" i="61" s="1"/>
  <c r="P85" i="32" a="1"/>
  <c r="P85" i="32" s="1"/>
  <c r="K85" i="32" a="1"/>
  <c r="K85" i="32" s="1"/>
  <c r="K88" i="32" a="1"/>
  <c r="K88" i="32" s="1"/>
  <c r="P88" i="32" a="1"/>
  <c r="P88" i="32" s="1"/>
  <c r="P87" i="32" a="1"/>
  <c r="P87" i="32" s="1"/>
  <c r="P45" i="32" a="1"/>
  <c r="P45" i="32" s="1"/>
  <c r="P5" i="39"/>
  <c r="P44" i="32" a="1"/>
  <c r="P44" i="32" s="1"/>
  <c r="P118" i="32" a="1"/>
  <c r="P118" i="32" s="1"/>
  <c r="P46" i="32" a="1"/>
  <c r="P46" i="32" s="1"/>
  <c r="F118" i="32" a="1"/>
  <c r="F118"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42" i="32" a="1"/>
  <c r="P42" i="32" s="1"/>
  <c r="G4" i="65" a="1"/>
  <c r="G4" i="65" s="1"/>
  <c r="P43" i="32" a="1"/>
  <c r="P43" i="32" s="1"/>
  <c r="K49" i="32" a="1"/>
  <c r="K49" i="32" s="1"/>
  <c r="F105" i="32" a="1"/>
  <c r="F105" i="32" s="1"/>
  <c r="P49" i="32" a="1"/>
  <c r="P49" i="32" s="1"/>
  <c r="AB22" i="35" a="1"/>
  <c r="AB22" i="35" s="1"/>
  <c r="P31" i="32" a="1"/>
  <c r="P31" i="32" s="1"/>
  <c r="P38" i="32" a="1"/>
  <c r="P38" i="32" s="1"/>
  <c r="P28" i="32" a="1"/>
  <c r="P28" i="32" s="1"/>
  <c r="P36" i="32" a="1"/>
  <c r="P36" i="32" s="1"/>
  <c r="P17" i="32" a="1"/>
  <c r="P17" i="32" s="1"/>
  <c r="P19" i="32" a="1"/>
  <c r="P19" i="32" s="1"/>
  <c r="P29" i="32" a="1"/>
  <c r="P29" i="32" s="1"/>
  <c r="P39" i="32" a="1"/>
  <c r="P39" i="32" s="1"/>
  <c r="P47" i="32" a="1"/>
  <c r="P47"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8" i="32" a="1"/>
  <c r="F88" i="32" s="1"/>
  <c r="E88" i="32" a="1"/>
  <c r="E88" i="32" s="1"/>
  <c r="F85" i="32" a="1"/>
  <c r="F85" i="32" s="1"/>
  <c r="E85" i="32" a="1"/>
  <c r="E85" i="32" s="1"/>
  <c r="E118" i="32" a="1"/>
  <c r="E118" i="32" s="1"/>
  <c r="E84" i="32" a="1"/>
  <c r="E84" i="32" s="1"/>
  <c r="M46" i="7"/>
  <c r="F13" i="54" a="1"/>
  <c r="F13" i="54" s="1"/>
  <c r="BE22" i="34" a="1"/>
  <c r="BE22" i="34" s="1"/>
  <c r="F87" i="32" a="1"/>
  <c r="F87" i="32" s="1"/>
  <c r="E87" i="32" a="1"/>
  <c r="E87" i="32" s="1"/>
  <c r="O28" i="68" a="1"/>
  <c r="O28" i="68" s="1"/>
  <c r="N28" i="68" a="1"/>
  <c r="N28" i="68" s="1"/>
  <c r="M28" i="68" a="1"/>
  <c r="M28" i="68" s="1"/>
  <c r="E28" i="68" a="1"/>
  <c r="E28" i="68" s="1"/>
  <c r="L28" i="68" a="1"/>
  <c r="L28" i="68" s="1"/>
  <c r="K28" i="68" a="1"/>
  <c r="K28" i="68" s="1"/>
  <c r="J28" i="68" a="1"/>
  <c r="J28" i="68" s="1"/>
  <c r="I28" i="68" a="1"/>
  <c r="I28" i="68" s="1"/>
  <c r="H28" i="68" a="1"/>
  <c r="H28" i="68" s="1"/>
  <c r="G28" i="68" a="1"/>
  <c r="G28" i="68" s="1"/>
  <c r="F28" i="68" a="1"/>
  <c r="F28" i="68" s="1"/>
  <c r="E46" i="32" a="1"/>
  <c r="E46" i="32" s="1"/>
  <c r="AA46" i="6" a="1"/>
  <c r="AA46" i="6" s="1"/>
  <c r="P106" i="32"/>
  <c r="E45" i="32" a="1"/>
  <c r="E45"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9" i="32" a="1"/>
  <c r="F29" i="32" s="1"/>
  <c r="C108" i="40" a="1"/>
  <c r="C108" i="40" s="1"/>
  <c r="C135" i="40" a="1"/>
  <c r="C135" i="40" s="1"/>
  <c r="C136" i="40" s="1"/>
  <c r="E16" i="32" a="1"/>
  <c r="E16" i="32" s="1"/>
  <c r="BK8" i="73" a="1"/>
  <c r="BK8" i="73" s="1"/>
  <c r="BE3" i="73" a="1"/>
  <c r="BE3" i="73" s="1"/>
  <c r="E47" i="32" a="1"/>
  <c r="E47" i="32" s="1"/>
  <c r="F28" i="32" a="1"/>
  <c r="F28" i="32" s="1"/>
  <c r="F16" i="32" a="1"/>
  <c r="F16" i="32" s="1"/>
  <c r="F38" i="32" a="1"/>
  <c r="F38"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I81" i="29"/>
  <c r="CX31" i="72" a="1"/>
  <c r="CX31" i="72" s="1"/>
  <c r="CY31" i="72" a="1"/>
  <c r="CC31" i="72" a="1"/>
  <c r="CC31" i="72" s="1"/>
  <c r="AQ1" i="72" a="1"/>
  <c r="F19" i="32" a="1"/>
  <c r="F19" i="32" s="1"/>
  <c r="F35" i="32" a="1"/>
  <c r="F35" i="32" s="1"/>
  <c r="F45" i="32" a="1"/>
  <c r="F45" i="32" s="1"/>
  <c r="F36" i="32" a="1"/>
  <c r="F36" i="32" s="1"/>
  <c r="F46" i="32" a="1"/>
  <c r="F46" i="32" s="1"/>
  <c r="F17" i="32" a="1"/>
  <c r="F17" i="32" s="1"/>
  <c r="F39" i="32" a="1"/>
  <c r="F39" i="32" s="1"/>
  <c r="F31" i="32" a="1"/>
  <c r="F31" i="32" s="1"/>
  <c r="Z46" i="6" a="1"/>
  <c r="Z46" i="6" s="1"/>
  <c r="AF46" i="6" s="1"/>
  <c r="AL6" i="71" a="1"/>
  <c r="AL6" i="71" s="1"/>
  <c r="AQ6" i="71" a="1"/>
  <c r="AQ6" i="71" s="1"/>
  <c r="S6" i="61" a="1"/>
  <c r="S6" i="61" s="1"/>
  <c r="AN45" i="6" a="1"/>
  <c r="AN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7" i="32"/>
  <c r="K44" i="68" a="1"/>
  <c r="K44" i="68" s="1"/>
  <c r="N46" i="68" a="1"/>
  <c r="N46" i="68" s="1"/>
  <c r="N18" i="68" a="1"/>
  <c r="N18" i="68" s="1"/>
  <c r="N50" i="68" a="1"/>
  <c r="N50" i="68" s="1"/>
  <c r="BD22" i="34" a="1"/>
  <c r="BD22" i="34" s="1"/>
  <c r="C27" i="40"/>
  <c r="D46" i="68" a="1"/>
  <c r="D46" i="68" s="1"/>
  <c r="S11" i="61" a="1"/>
  <c r="S11" i="61" s="1"/>
  <c r="O18" i="68" a="1"/>
  <c r="O18" i="68" s="1"/>
  <c r="AY6" i="71" a="1"/>
  <c r="AY6" i="71" s="1"/>
  <c r="O51" i="68" a="1"/>
  <c r="O51" i="68" s="1"/>
  <c r="BB6" i="71" a="1"/>
  <c r="BB6" i="71" s="1"/>
  <c r="H46" i="68" a="1"/>
  <c r="H46" i="68" s="1"/>
  <c r="K52" i="68" a="1"/>
  <c r="K52" i="68" s="1"/>
  <c r="N52" i="68" a="1"/>
  <c r="N52" i="68" s="1"/>
  <c r="AR6" i="71" a="1"/>
  <c r="AR6" i="71" s="1"/>
  <c r="E69" i="32"/>
  <c r="O6" i="71" a="1"/>
  <c r="O6" i="71" s="1"/>
  <c r="AS6" i="71" a="1"/>
  <c r="AS6" i="71" s="1"/>
  <c r="Q6" i="71" a="1"/>
  <c r="Q6" i="71" s="1"/>
  <c r="AW6" i="71" a="1"/>
  <c r="AW6" i="71" s="1"/>
  <c r="H18" i="68" a="1"/>
  <c r="H18" i="68" s="1"/>
  <c r="J3" i="29"/>
  <c r="AD2" i="61"/>
  <c r="AI3" i="29"/>
  <c r="S8" i="61" a="1"/>
  <c r="S8" i="61" s="1"/>
  <c r="J81" i="29"/>
  <c r="W43" i="13"/>
  <c r="X43" i="13" s="1"/>
  <c r="R43" i="10"/>
  <c r="H30" i="10"/>
  <c r="H34" i="10" s="1"/>
  <c r="W43" i="10" s="1"/>
  <c r="X44" i="13"/>
  <c r="O38" i="68" a="1"/>
  <c r="O38" i="68" s="1"/>
  <c r="N42" i="68" a="1"/>
  <c r="N42" i="68" s="1"/>
  <c r="CG31" i="72" a="1"/>
  <c r="CG31" i="72" s="1"/>
  <c r="CE31" i="72" s="1" a="1"/>
  <c r="CE31" i="72" s="1"/>
  <c r="BW31" i="72" a="1"/>
  <c r="BW31" i="72" s="1"/>
  <c r="BR31" i="72" s="1" a="1"/>
  <c r="BS31" i="72" a="1"/>
  <c r="BS31" i="72" s="1"/>
  <c r="BY31" i="72" s="1" a="1"/>
  <c r="BY31" i="72" s="1"/>
  <c r="H1" i="3"/>
  <c r="I1" i="3" s="1"/>
  <c r="K1" i="3" s="1"/>
  <c r="BQ31" i="72" a="1"/>
  <c r="BQ31" i="72" s="1"/>
  <c r="BP31" i="72" a="1"/>
  <c r="BP31" i="72" s="1"/>
  <c r="BP9" i="72" a="1"/>
  <c r="BP9" i="72" s="1"/>
  <c r="BP7" i="72" a="1"/>
  <c r="BP7" i="72" s="1"/>
  <c r="BQ7" i="72" s="1"/>
  <c r="F59" i="32" a="1"/>
  <c r="F59" i="32" s="1"/>
  <c r="I38" i="68" a="1"/>
  <c r="I38" i="68" s="1"/>
  <c r="N38" i="68" a="1"/>
  <c r="N38" i="68" s="1"/>
  <c r="F60" i="32" a="1"/>
  <c r="F60" i="32" s="1"/>
  <c r="O40" i="68" a="1"/>
  <c r="O40" i="68" s="1"/>
  <c r="I39" i="68" a="1"/>
  <c r="I39" i="68" s="1"/>
  <c r="O42" i="68" a="1"/>
  <c r="O42" i="68" s="1"/>
  <c r="F57" i="32" a="1"/>
  <c r="F57" i="32" s="1"/>
  <c r="H42" i="68" a="1"/>
  <c r="H42" i="68" s="1"/>
  <c r="N39" i="68" a="1"/>
  <c r="N39" i="68" s="1"/>
  <c r="C39" i="68" a="1"/>
  <c r="C39" i="68" s="1"/>
  <c r="D39" i="68" a="1"/>
  <c r="D39" i="68" s="1"/>
  <c r="H103" i="40"/>
  <c r="E57" i="32" a="1"/>
  <c r="E57" i="32" s="1"/>
  <c r="AO6" i="71" a="1"/>
  <c r="AO6" i="71" s="1"/>
  <c r="E59" i="32" a="1"/>
  <c r="E59" i="32" s="1"/>
  <c r="H40" i="68" a="1"/>
  <c r="H40" i="68" s="1"/>
  <c r="F61" i="32" a="1"/>
  <c r="F61" i="32" s="1"/>
  <c r="F58" i="32" a="1"/>
  <c r="F58" i="32" s="1"/>
  <c r="N40" i="68" a="1"/>
  <c r="N40" i="68" s="1"/>
  <c r="G65" i="40"/>
  <c r="G11" i="40" s="1"/>
  <c r="G35" i="40" s="1"/>
  <c r="G103" i="40"/>
  <c r="E65" i="40"/>
  <c r="E11" i="40" s="1"/>
  <c r="E35" i="40" s="1"/>
  <c r="E61" i="32" a="1"/>
  <c r="E61" i="32" s="1"/>
  <c r="C40" i="68" a="1"/>
  <c r="C40" i="68" s="1"/>
  <c r="C38" i="68" a="1"/>
  <c r="C38" i="68" s="1"/>
  <c r="E56" i="32" a="1"/>
  <c r="E56" i="32" s="1"/>
  <c r="J38" i="68" a="1"/>
  <c r="J38" i="68" s="1"/>
  <c r="F42" i="68" a="1"/>
  <c r="F42" i="68" s="1"/>
  <c r="F103" i="32"/>
  <c r="F47" i="32" a="1"/>
  <c r="F47" i="32" s="1"/>
  <c r="F91" i="32"/>
  <c r="AM6" i="71" a="1"/>
  <c r="AM6" i="71" s="1"/>
  <c r="J65" i="40"/>
  <c r="J11" i="40" s="1"/>
  <c r="M103" i="40"/>
  <c r="M65" i="40"/>
  <c r="M11" i="40" s="1"/>
  <c r="K65" i="40"/>
  <c r="K11" i="40" s="1"/>
  <c r="C25" i="40"/>
  <c r="O65" i="40"/>
  <c r="O11" i="40" s="1"/>
  <c r="E46" i="68" a="1"/>
  <c r="E46" i="68" s="1"/>
  <c r="E40" i="68" a="1"/>
  <c r="E40" i="68" s="1"/>
  <c r="E51" i="68" a="1"/>
  <c r="E51" i="68" s="1"/>
  <c r="E44" i="68" a="1"/>
  <c r="E44" i="68" s="1"/>
  <c r="E52" i="68" a="1"/>
  <c r="E52" i="68" s="1"/>
  <c r="E55" i="68" a="1"/>
  <c r="E55" i="68" s="1"/>
  <c r="E50" i="68" a="1"/>
  <c r="E50" i="68" s="1"/>
  <c r="E39" i="68" a="1"/>
  <c r="E39" i="68" s="1"/>
  <c r="D55" i="68" a="1"/>
  <c r="D55" i="68" s="1"/>
  <c r="E18" i="68" a="1"/>
  <c r="E18" i="68" s="1"/>
  <c r="E42" i="68" a="1"/>
  <c r="E42" i="68" s="1"/>
  <c r="E38" i="68" a="1"/>
  <c r="E38" i="68" s="1"/>
  <c r="N65" i="40"/>
  <c r="N11" i="40" s="1"/>
  <c r="G51" i="68" a="1"/>
  <c r="G51" i="68" s="1"/>
  <c r="G44" i="68" a="1"/>
  <c r="G44" i="68" s="1"/>
  <c r="G55" i="68" a="1"/>
  <c r="G55" i="68" s="1"/>
  <c r="G42" i="68" a="1"/>
  <c r="G42" i="68" s="1"/>
  <c r="G52" i="68" a="1"/>
  <c r="G52" i="68" s="1"/>
  <c r="G38" i="68" a="1"/>
  <c r="G38" i="68" s="1"/>
  <c r="G50" i="68" a="1"/>
  <c r="G50" i="68" s="1"/>
  <c r="G39" i="68" a="1"/>
  <c r="G39" i="68" s="1"/>
  <c r="G18" i="68" a="1"/>
  <c r="G18" i="68" s="1"/>
  <c r="G46" i="68" a="1"/>
  <c r="G46" i="68" s="1"/>
  <c r="G40" i="68" a="1"/>
  <c r="G40" i="68" s="1"/>
  <c r="F65" i="40"/>
  <c r="F11" i="40" s="1"/>
  <c r="F35" i="40" s="1"/>
  <c r="F103" i="40"/>
  <c r="I65" i="40"/>
  <c r="I11" i="40" s="1"/>
  <c r="M52" i="68" a="1"/>
  <c r="M52" i="68" s="1"/>
  <c r="M38" i="68" a="1"/>
  <c r="M38" i="68" s="1"/>
  <c r="M51" i="68" a="1"/>
  <c r="M51" i="68" s="1"/>
  <c r="M46" i="68" a="1"/>
  <c r="M46" i="68" s="1"/>
  <c r="M39" i="68" a="1"/>
  <c r="M39" i="68" s="1"/>
  <c r="M42" i="68" a="1"/>
  <c r="M42" i="68" s="1"/>
  <c r="M40" i="68" a="1"/>
  <c r="M40" i="68" s="1"/>
  <c r="M44" i="68" a="1"/>
  <c r="M44" i="68" s="1"/>
  <c r="M18" i="68" a="1"/>
  <c r="M18" i="68" s="1"/>
  <c r="L51" i="68" a="1"/>
  <c r="L51" i="68" s="1"/>
  <c r="M55" i="68" a="1"/>
  <c r="M55" i="68" s="1"/>
  <c r="M50" i="68" a="1"/>
  <c r="M50" i="68" s="1"/>
  <c r="C18" i="68" a="1"/>
  <c r="C18" i="68" s="1"/>
  <c r="J18" i="68" a="1"/>
  <c r="J18" i="68" s="1"/>
  <c r="D38" i="68" a="1"/>
  <c r="D38" i="68" s="1"/>
  <c r="F40" i="68" a="1"/>
  <c r="F40" i="68" s="1"/>
  <c r="I51" i="68" a="1"/>
  <c r="I51" i="68" s="1"/>
  <c r="H52" i="68" a="1"/>
  <c r="H52" i="68" s="1"/>
  <c r="K55" i="68" a="1"/>
  <c r="K55" i="68" s="1"/>
  <c r="F69" i="32"/>
  <c r="L55" i="68" a="1"/>
  <c r="L55" i="68" s="1"/>
  <c r="C18" i="40"/>
  <c r="H65" i="40"/>
  <c r="H11" i="40" s="1"/>
  <c r="H35" i="40" s="1"/>
  <c r="C44" i="68" a="1"/>
  <c r="C44" i="68" s="1"/>
  <c r="C43" i="68" s="1"/>
  <c r="D40" i="68" a="1"/>
  <c r="D40" i="68" s="1"/>
  <c r="C55" i="68" a="1"/>
  <c r="C55" i="68" s="1"/>
  <c r="S33" i="68"/>
  <c r="S47" i="68" s="1"/>
  <c r="D52" i="68" a="1"/>
  <c r="D52" i="68" s="1"/>
  <c r="V43" i="68"/>
  <c r="S43" i="68"/>
  <c r="D45" i="68" a="1"/>
  <c r="D45" i="68" s="1"/>
  <c r="D44" i="68" a="1"/>
  <c r="D44" i="68" s="1"/>
  <c r="D17" i="68" a="1"/>
  <c r="D17" i="68" s="1"/>
  <c r="D18" i="68" a="1"/>
  <c r="D18" i="68" s="1"/>
  <c r="K18" i="68" a="1"/>
  <c r="K18" i="68" s="1"/>
  <c r="K39" i="68" a="1"/>
  <c r="K39" i="68" s="1"/>
  <c r="J44" i="68" a="1"/>
  <c r="J44" i="68" s="1"/>
  <c r="F64" i="32"/>
  <c r="F39" i="68" a="1"/>
  <c r="F39" i="68" s="1"/>
  <c r="F46" i="68" a="1"/>
  <c r="F46" i="68" s="1"/>
  <c r="F18" i="68" a="1"/>
  <c r="F18" i="68" s="1"/>
  <c r="F52" i="68" a="1"/>
  <c r="F52" i="68" s="1"/>
  <c r="F50" i="68" a="1"/>
  <c r="F50" i="68" s="1"/>
  <c r="F55" i="68" a="1"/>
  <c r="F55" i="68" s="1"/>
  <c r="L52" i="68" a="1"/>
  <c r="L52" i="68" s="1"/>
  <c r="O55" i="68" a="1"/>
  <c r="O55" i="68" s="1"/>
  <c r="I46" i="68" a="1"/>
  <c r="I46" i="68" s="1"/>
  <c r="C28" i="40"/>
  <c r="L65" i="40"/>
  <c r="L11" i="40" s="1"/>
  <c r="L35" i="40" s="1"/>
  <c r="H38" i="68" a="1"/>
  <c r="H38" i="68" s="1"/>
  <c r="H50" i="68" a="1"/>
  <c r="H50" i="68" s="1"/>
  <c r="H51" i="68" a="1"/>
  <c r="H51" i="68" s="1"/>
  <c r="H44" i="68" a="1"/>
  <c r="H44" i="68" s="1"/>
  <c r="K42" i="68" a="1"/>
  <c r="K42" i="68" s="1"/>
  <c r="D50" i="68" a="1"/>
  <c r="D50" i="68" s="1"/>
  <c r="E64" i="32"/>
  <c r="I44" i="68" a="1"/>
  <c r="I44" i="68" s="1"/>
  <c r="I55" i="68" a="1"/>
  <c r="I55" i="68" s="1"/>
  <c r="I42" i="68" a="1"/>
  <c r="I42" i="68" s="1"/>
  <c r="I40" i="68" a="1"/>
  <c r="I40" i="68" s="1"/>
  <c r="I52" i="68" a="1"/>
  <c r="I52" i="68" s="1"/>
  <c r="O52" i="68" a="1"/>
  <c r="O52" i="68" s="1"/>
  <c r="J40" i="68" a="1"/>
  <c r="J40" i="68" s="1"/>
  <c r="J46" i="68" a="1"/>
  <c r="J46" i="68" s="1"/>
  <c r="J39" i="68" a="1"/>
  <c r="J39" i="68" s="1"/>
  <c r="J52" i="68" a="1"/>
  <c r="J52" i="68" s="1"/>
  <c r="J51" i="68" a="1"/>
  <c r="J51" i="68" s="1"/>
  <c r="J55" i="68" a="1"/>
  <c r="J55" i="68" s="1"/>
  <c r="J42" i="68" a="1"/>
  <c r="J42" i="68" s="1"/>
  <c r="D51" i="68" a="1"/>
  <c r="D51" i="68" s="1"/>
  <c r="K46" i="68" a="1"/>
  <c r="K46" i="68" s="1"/>
  <c r="K40" i="68" a="1"/>
  <c r="K40" i="68" s="1"/>
  <c r="K38" i="68" a="1"/>
  <c r="K38" i="68" s="1"/>
  <c r="K51" i="68" a="1"/>
  <c r="K51" i="68" s="1"/>
  <c r="K50" i="68" a="1"/>
  <c r="K50" i="68" s="1"/>
  <c r="H55" i="68" a="1"/>
  <c r="H55" i="68" s="1"/>
  <c r="F104" i="32"/>
  <c r="L18" i="68" a="1"/>
  <c r="L18" i="68" s="1"/>
  <c r="L46" i="68" a="1"/>
  <c r="L46" i="68" s="1"/>
  <c r="L44" i="68" a="1"/>
  <c r="L44" i="68" s="1"/>
  <c r="L50" i="68" a="1"/>
  <c r="L50" i="68" s="1"/>
  <c r="L42" i="68" a="1"/>
  <c r="L42" i="68" s="1"/>
  <c r="L40" i="68" a="1"/>
  <c r="L40" i="68" s="1"/>
  <c r="I17" i="68" a="1"/>
  <c r="I17" i="68" s="1"/>
  <c r="I18" i="68" a="1"/>
  <c r="I18" i="68" s="1"/>
  <c r="L38" i="68" a="1"/>
  <c r="L38" i="68" s="1"/>
  <c r="H39" i="68" a="1"/>
  <c r="H39" i="68" s="1"/>
  <c r="F44" i="68" a="1"/>
  <c r="F44" i="68" s="1"/>
  <c r="I50" i="68" a="1"/>
  <c r="I50" i="68" s="1"/>
  <c r="F51" i="68" a="1"/>
  <c r="F51" i="68" s="1"/>
  <c r="J50" i="68" a="1"/>
  <c r="J50" i="68" s="1"/>
  <c r="E91" i="32"/>
  <c r="O44" i="68" a="1"/>
  <c r="O44" i="68" s="1"/>
  <c r="O50" i="68" a="1"/>
  <c r="O50" i="68" s="1"/>
  <c r="O39" i="68" a="1"/>
  <c r="O39" i="68" s="1"/>
  <c r="O46" i="68" a="1"/>
  <c r="O46" i="68" s="1"/>
  <c r="BC22" i="34" a="1"/>
  <c r="BC22" i="34" s="1"/>
  <c r="BR20" i="34" a="1"/>
  <c r="BR20" i="34" s="1"/>
  <c r="N55" i="68" a="1"/>
  <c r="N55" i="68" s="1"/>
  <c r="N44" i="68" a="1"/>
  <c r="N44" i="68" s="1"/>
  <c r="N51" i="68" a="1"/>
  <c r="N51"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Z45" i="6"/>
  <c r="AF45" i="6" s="1"/>
  <c r="X46" i="13"/>
  <c r="I31" i="13"/>
  <c r="T34" i="81" s="1"/>
  <c r="Z1" i="35"/>
  <c r="K1" i="55"/>
  <c r="I3" i="48"/>
  <c r="S56" i="68" l="1" a="1"/>
  <c r="S56" i="68" s="1"/>
  <c r="AD6" i="29"/>
  <c r="AE6" i="29" s="1"/>
  <c r="AD22" i="29"/>
  <c r="AE22" i="29" s="1"/>
  <c r="AD55" i="29"/>
  <c r="AE55" i="29" s="1"/>
  <c r="AD56" i="29"/>
  <c r="AE56" i="29" s="1"/>
  <c r="AD24" i="29"/>
  <c r="AE24" i="29" s="1"/>
  <c r="AD18" i="29"/>
  <c r="AE18" i="29" s="1"/>
  <c r="AD50" i="29"/>
  <c r="AE50" i="29" s="1"/>
  <c r="AD42" i="29"/>
  <c r="AE42" i="29" s="1"/>
  <c r="AD23" i="29"/>
  <c r="AE23" i="29" s="1"/>
  <c r="AD31" i="29"/>
  <c r="AE31" i="29" s="1"/>
  <c r="AE47" i="29"/>
  <c r="AD47" i="29"/>
  <c r="AD30" i="29"/>
  <c r="AE30" i="29" s="1"/>
  <c r="AD16" i="29"/>
  <c r="AE1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I47" i="29"/>
  <c r="AE4" i="61"/>
  <c r="AE5" i="61"/>
  <c r="AK18" i="29"/>
  <c r="AK17" i="29"/>
  <c r="AK6" i="29"/>
  <c r="AK22" i="29"/>
  <c r="AK16" i="29"/>
  <c r="AK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4" i="68" a="1"/>
  <c r="V34" i="68" s="1"/>
  <c r="V33" i="68" s="1"/>
  <c r="V47" i="68" s="1"/>
  <c r="V48" i="68" s="1"/>
  <c r="O54" i="32" a="1"/>
  <c r="O54" i="32" s="1"/>
  <c r="O53" i="32" s="1"/>
  <c r="P54" i="32" a="1"/>
  <c r="P54" i="32" s="1"/>
  <c r="P53" i="32" s="1"/>
  <c r="P141" i="32" s="1"/>
  <c r="J78" i="32" a="1"/>
  <c r="J78" i="32" s="1"/>
  <c r="P78" i="32" a="1"/>
  <c r="P78" i="32" s="1"/>
  <c r="O78" i="32" a="1"/>
  <c r="O78" i="32" s="1"/>
  <c r="K78" i="32" a="1"/>
  <c r="K78" i="32" s="1"/>
  <c r="M5" i="29"/>
  <c r="Z44" i="6"/>
  <c r="AA44" i="6" s="1"/>
  <c r="AB44" i="6" s="1"/>
  <c r="AC44" i="6" s="1"/>
  <c r="AD44" i="6" s="1"/>
  <c r="AE44" i="6" s="1"/>
  <c r="AF44" i="6" s="1"/>
  <c r="AG44" i="6" s="1"/>
  <c r="AH44" i="6" s="1"/>
  <c r="AI44" i="6" s="1"/>
  <c r="AJ44" i="6" s="1"/>
  <c r="AK44" i="6" s="1"/>
  <c r="AL44" i="6" s="1"/>
  <c r="AM44" i="6" s="1"/>
  <c r="AN44" i="6" s="1"/>
  <c r="AK61" i="29"/>
  <c r="AK31" i="29"/>
  <c r="AK44" i="29"/>
  <c r="AK58" i="29"/>
  <c r="AK43" i="29"/>
  <c r="AK48" i="29"/>
  <c r="AK70" i="29"/>
  <c r="AK55" i="29"/>
  <c r="AK42" i="29"/>
  <c r="AK56" i="29"/>
  <c r="AK39" i="29"/>
  <c r="AK50" i="29"/>
  <c r="AK63" i="29"/>
  <c r="AK33" i="29"/>
  <c r="AK27" i="29"/>
  <c r="AK30" i="29"/>
  <c r="AK47" i="29"/>
  <c r="AL47" i="29" s="1"/>
  <c r="AK24" i="29"/>
  <c r="AK64" i="29"/>
  <c r="AT24" i="59" a="1"/>
  <c r="AT24" i="59" s="1"/>
  <c r="AU24" i="59" s="1"/>
  <c r="AT23" i="59" a="1"/>
  <c r="AT23" i="59" s="1"/>
  <c r="AU23" i="59" s="1"/>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O23" i="68" a="1"/>
  <c r="O23" i="68" s="1"/>
  <c r="L23" i="68" a="1"/>
  <c r="L23" i="68" s="1"/>
  <c r="E23" i="68" a="1"/>
  <c r="E23" i="68" s="1"/>
  <c r="F13" i="68" a="1"/>
  <c r="F13" i="68" s="1"/>
  <c r="V23" i="68" a="1"/>
  <c r="V23" i="68" s="1"/>
  <c r="F23" i="68" a="1"/>
  <c r="F23" i="68" s="1"/>
  <c r="E13" i="68" a="1"/>
  <c r="E13" i="68" s="1"/>
  <c r="I23" i="68" a="1"/>
  <c r="I23" i="68" s="1"/>
  <c r="J13" i="68" a="1"/>
  <c r="J13" i="68" s="1"/>
  <c r="J24" i="32" a="1"/>
  <c r="J24" i="32" s="1"/>
  <c r="C23" i="68" a="1"/>
  <c r="C23" i="68" s="1"/>
  <c r="S23" i="68" a="1"/>
  <c r="S23" i="68" s="1"/>
  <c r="O13" i="32" a="1"/>
  <c r="O13" i="32" s="1"/>
  <c r="K24" i="32" a="1"/>
  <c r="K24" i="32" s="1"/>
  <c r="O15" i="32" a="1"/>
  <c r="O15" i="32" s="1"/>
  <c r="O34" i="32" a="1"/>
  <c r="O34" i="32" s="1"/>
  <c r="G23" i="68" a="1"/>
  <c r="G23" i="68" s="1"/>
  <c r="P15" i="32" a="1"/>
  <c r="P15" i="32" s="1"/>
  <c r="P34" i="32" a="1"/>
  <c r="P34" i="32" s="1"/>
  <c r="V13" i="68" a="1"/>
  <c r="V13" i="68" s="1"/>
  <c r="G13" i="68" a="1"/>
  <c r="G13" i="68" s="1"/>
  <c r="K13" i="68" a="1"/>
  <c r="K13" i="68" s="1"/>
  <c r="J23" i="68" a="1"/>
  <c r="J23" i="68" s="1"/>
  <c r="O24" i="32" a="1"/>
  <c r="O24" i="32" s="1"/>
  <c r="D13" i="68" a="1"/>
  <c r="D13" i="68" s="1"/>
  <c r="I13" i="68" a="1"/>
  <c r="I13" i="68" s="1"/>
  <c r="L6" i="71" a="1"/>
  <c r="L6" i="71" s="1"/>
  <c r="K15" i="32" a="1"/>
  <c r="K15" i="32" s="1"/>
  <c r="N23" i="68" a="1"/>
  <c r="N23" i="68" s="1"/>
  <c r="M23" i="68" a="1"/>
  <c r="M23" i="68" s="1"/>
  <c r="V6" i="71" a="1"/>
  <c r="V6" i="71" s="1"/>
  <c r="K34" i="32" a="1"/>
  <c r="K34" i="32" s="1"/>
  <c r="N13" i="68" a="1"/>
  <c r="N13" i="68" s="1"/>
  <c r="H13" i="68" a="1"/>
  <c r="H13" i="68" s="1"/>
  <c r="M13" i="68" a="1"/>
  <c r="M13" i="68" s="1"/>
  <c r="K23" i="68" a="1"/>
  <c r="K23" i="68" s="1"/>
  <c r="P13" i="32" a="1"/>
  <c r="P13" i="32" s="1"/>
  <c r="J15" i="32" a="1"/>
  <c r="J15" i="32" s="1"/>
  <c r="H23" i="68" a="1"/>
  <c r="H23" i="68" s="1"/>
  <c r="D23" i="68" a="1"/>
  <c r="D23" i="68" s="1"/>
  <c r="P24" i="32" a="1"/>
  <c r="P24" i="32" s="1"/>
  <c r="J34" i="32" a="1"/>
  <c r="J34" i="32" s="1"/>
  <c r="L13" i="68" a="1"/>
  <c r="L13"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N6" i="71" a="1"/>
  <c r="N6" i="71" s="1"/>
  <c r="BJ22" i="34" a="1"/>
  <c r="BJ22" i="34" s="1"/>
  <c r="J26" i="58" s="1"/>
  <c r="H26" i="58" s="1"/>
  <c r="BL25" i="34" a="1"/>
  <c r="BL25" i="34" s="1"/>
  <c r="BJ25" i="34" a="1"/>
  <c r="BJ25" i="34" s="1"/>
  <c r="BQ25" i="34" a="1"/>
  <c r="BQ25" i="34" s="1"/>
  <c r="BZ31" i="73" a="1"/>
  <c r="BZ31" i="73" s="1"/>
  <c r="C171" i="40" a="1"/>
  <c r="C171" i="40" s="1"/>
  <c r="F185" i="40" a="1"/>
  <c r="F185" i="40" s="1"/>
  <c r="F186" i="40" s="1"/>
  <c r="F43" i="40" s="1"/>
  <c r="G1" i="40"/>
  <c r="H1" i="40" s="1"/>
  <c r="K104" i="40"/>
  <c r="K17" i="40" s="1"/>
  <c r="O104" i="40"/>
  <c r="O17" i="40" s="1"/>
  <c r="I104" i="40"/>
  <c r="I17" i="40" s="1"/>
  <c r="F104" i="40"/>
  <c r="F17" i="40" s="1"/>
  <c r="H104" i="40"/>
  <c r="H17" i="40" s="1"/>
  <c r="E104" i="40"/>
  <c r="E17" i="40" s="1"/>
  <c r="N104" i="40"/>
  <c r="N17" i="40" s="1"/>
  <c r="M104" i="40"/>
  <c r="M17" i="40" s="1"/>
  <c r="G104" i="40"/>
  <c r="G17" i="40" s="1"/>
  <c r="L104" i="40"/>
  <c r="L17" i="40" s="1"/>
  <c r="J104" i="40"/>
  <c r="J17" i="40" s="1"/>
  <c r="P35" i="6" a="1"/>
  <c r="P35" i="6" s="1"/>
  <c r="Q34" i="81" s="1"/>
  <c r="S54" i="68" a="1"/>
  <c r="S54" i="68" s="1"/>
  <c r="H6" i="71" a="1"/>
  <c r="H6" i="71" s="1"/>
  <c r="K6" i="71" a="1"/>
  <c r="K6" i="71" s="1"/>
  <c r="C103" i="40" a="1"/>
  <c r="C103" i="40" s="1"/>
  <c r="C104" i="40" s="1"/>
  <c r="C55" i="40" a="1"/>
  <c r="C55" i="40" s="1"/>
  <c r="C64" i="40" a="1"/>
  <c r="C64" i="40" s="1"/>
  <c r="C70" i="40" a="1"/>
  <c r="C70" i="40" s="1"/>
  <c r="C60" i="40" a="1"/>
  <c r="C60" i="40" s="1"/>
  <c r="U6" i="71" a="1"/>
  <c r="U6" i="71" s="1"/>
  <c r="F42" i="32" a="1"/>
  <c r="F42"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42" i="32" a="1"/>
  <c r="E42" i="32" s="1"/>
  <c r="K42" i="32" a="1"/>
  <c r="K42" i="32" s="1"/>
  <c r="J42" i="32" a="1"/>
  <c r="J42" i="32" s="1"/>
  <c r="K18" i="32" a="1"/>
  <c r="K18" i="32" s="1"/>
  <c r="O27" i="68" a="1"/>
  <c r="O27" i="68" s="1"/>
  <c r="J18" i="32" a="1"/>
  <c r="J18" i="32" s="1"/>
  <c r="E18" i="32" a="1"/>
  <c r="E18" i="32" s="1"/>
  <c r="J30" i="32" a="1"/>
  <c r="J30" i="32" s="1"/>
  <c r="K30" i="32" a="1"/>
  <c r="K30" i="32" s="1"/>
  <c r="E30" i="32" a="1"/>
  <c r="E30" i="32" s="1"/>
  <c r="J37" i="32" a="1"/>
  <c r="J37" i="32" s="1"/>
  <c r="E37" i="32" a="1"/>
  <c r="E37" i="32" s="1"/>
  <c r="K37" i="32" a="1"/>
  <c r="K37" i="32" s="1"/>
  <c r="M22" i="68" a="1"/>
  <c r="M22" i="68" s="1"/>
  <c r="C15" i="68" a="1"/>
  <c r="C15" i="68" s="1"/>
  <c r="D15" i="68" a="1"/>
  <c r="D15" i="68" s="1"/>
  <c r="H15" i="68" a="1"/>
  <c r="H15" i="68" s="1"/>
  <c r="O15" i="68" a="1"/>
  <c r="O15" i="68" s="1"/>
  <c r="I15" i="68" a="1"/>
  <c r="I15" i="68" s="1"/>
  <c r="N15" i="68" a="1"/>
  <c r="N15" i="68" s="1"/>
  <c r="K15" i="68" a="1"/>
  <c r="K15" i="68" s="1"/>
  <c r="E15" i="68" a="1"/>
  <c r="E15" i="68" s="1"/>
  <c r="M15" i="68" a="1"/>
  <c r="M15" i="68" s="1"/>
  <c r="L15" i="68" a="1"/>
  <c r="L15" i="68" s="1"/>
  <c r="F15" i="68" a="1"/>
  <c r="F15" i="68" s="1"/>
  <c r="J15" i="68" a="1"/>
  <c r="J15" i="68" s="1"/>
  <c r="G15" i="68" a="1"/>
  <c r="G15" i="68" s="1"/>
  <c r="V22" i="68" a="1"/>
  <c r="V22" i="68" s="1"/>
  <c r="J22" i="68" a="1"/>
  <c r="J22" i="68" s="1"/>
  <c r="I22" i="68" a="1"/>
  <c r="I22" i="68" s="1"/>
  <c r="H22" i="68" a="1"/>
  <c r="H22" i="68" s="1"/>
  <c r="F22" i="68" a="1"/>
  <c r="F22" i="68" s="1"/>
  <c r="G22" i="68" a="1"/>
  <c r="G22" i="68" s="1"/>
  <c r="S15" i="68" a="1"/>
  <c r="S15" i="68" s="1"/>
  <c r="V15" i="68" a="1"/>
  <c r="V15" i="68" s="1"/>
  <c r="S22" i="68" a="1"/>
  <c r="S22" i="68" s="1"/>
  <c r="K22" i="68" a="1"/>
  <c r="K22" i="68" s="1"/>
  <c r="L22" i="68" a="1"/>
  <c r="L22" i="68" s="1"/>
  <c r="C22" i="68" a="1"/>
  <c r="C22" i="68" s="1"/>
  <c r="D22" i="68" a="1"/>
  <c r="D22" i="68" s="1"/>
  <c r="E22" i="68" a="1"/>
  <c r="E22" i="68" s="1"/>
  <c r="O22" i="68" a="1"/>
  <c r="O22" i="68" s="1"/>
  <c r="N22" i="68" a="1"/>
  <c r="N22" i="68" s="1"/>
  <c r="J43" i="32" a="1"/>
  <c r="J43" i="32" s="1"/>
  <c r="K43" i="32" a="1"/>
  <c r="K43" i="32" s="1"/>
  <c r="H4" i="65"/>
  <c r="K4" i="65" s="1" a="1"/>
  <c r="K4" i="65" s="1"/>
  <c r="O80" i="32"/>
  <c r="O108" i="32" a="1"/>
  <c r="O108" i="32" s="1"/>
  <c r="K8" i="32" a="1"/>
  <c r="K8" i="32" s="1"/>
  <c r="K10" i="32" s="1"/>
  <c r="J8" i="32" a="1"/>
  <c r="J8" i="32" s="1"/>
  <c r="J10" i="32" s="1"/>
  <c r="P108" i="32" a="1"/>
  <c r="P108" i="32" s="1"/>
  <c r="K108" i="32" a="1"/>
  <c r="K108" i="32" s="1"/>
  <c r="J108" i="32" a="1"/>
  <c r="J108" i="32" s="1"/>
  <c r="J160" i="32" s="1"/>
  <c r="O86" i="32"/>
  <c r="S28" i="68" a="1"/>
  <c r="S28" i="68" s="1"/>
  <c r="C28" i="68" a="1"/>
  <c r="C28" i="68" s="1"/>
  <c r="S49" i="68" a="1"/>
  <c r="S49" i="68" s="1"/>
  <c r="M12" i="68" a="1"/>
  <c r="M12" i="68" s="1"/>
  <c r="L12" i="68" a="1"/>
  <c r="L12" i="68" s="1"/>
  <c r="K12" i="68" a="1"/>
  <c r="K12" i="68" s="1"/>
  <c r="J12" i="68" a="1"/>
  <c r="J12" i="68" s="1"/>
  <c r="I12" i="68" a="1"/>
  <c r="I12" i="68" s="1"/>
  <c r="H12" i="68" a="1"/>
  <c r="H12" i="68" s="1"/>
  <c r="G12" i="68" a="1"/>
  <c r="G12" i="68" s="1"/>
  <c r="F12" i="68" a="1"/>
  <c r="F12" i="68" s="1"/>
  <c r="S12" i="68" a="1"/>
  <c r="S12" i="68" s="1"/>
  <c r="E12" i="68" a="1"/>
  <c r="E12" i="68" s="1"/>
  <c r="D12" i="68" a="1"/>
  <c r="D12" i="68" s="1"/>
  <c r="O12" i="68" a="1"/>
  <c r="O12" i="68" s="1"/>
  <c r="C12" i="68" a="1"/>
  <c r="C12" i="68" s="1"/>
  <c r="N12" i="68" a="1"/>
  <c r="N12" i="68" s="1"/>
  <c r="N9" i="68" a="1"/>
  <c r="N9" i="68" s="1"/>
  <c r="D9" i="68" a="1"/>
  <c r="D9" i="68" s="1"/>
  <c r="M9" i="68" a="1"/>
  <c r="M9" i="68" s="1"/>
  <c r="C9" i="68" a="1"/>
  <c r="C9" i="68" s="1"/>
  <c r="L9" i="68" a="1"/>
  <c r="L9" i="68" s="1"/>
  <c r="H9" i="68" a="1"/>
  <c r="H9" i="68" s="1"/>
  <c r="G9" i="68" a="1"/>
  <c r="G9" i="68" s="1"/>
  <c r="F9" i="68" a="1"/>
  <c r="F9" i="68" s="1"/>
  <c r="S9" i="68" a="1"/>
  <c r="S9" i="68" s="1"/>
  <c r="O9" i="68" a="1"/>
  <c r="O9" i="68" s="1"/>
  <c r="E9" i="68" a="1"/>
  <c r="E9" i="68" s="1"/>
  <c r="K9" i="68" a="1"/>
  <c r="K9" i="68" s="1"/>
  <c r="J9" i="68" a="1"/>
  <c r="J9" i="68" s="1"/>
  <c r="I9" i="68" a="1"/>
  <c r="I9" i="68" s="1"/>
  <c r="V9" i="68" a="1"/>
  <c r="V9" i="68" s="1"/>
  <c r="V5" i="68" a="1"/>
  <c r="V5" i="68" s="1"/>
  <c r="S5" i="68" a="1"/>
  <c r="S5" i="68" s="1"/>
  <c r="E108" i="32" a="1"/>
  <c r="E108" i="32" s="1"/>
  <c r="P84" i="32" a="1"/>
  <c r="P84" i="32" s="1"/>
  <c r="J84" i="32" a="1"/>
  <c r="J84" i="32" s="1"/>
  <c r="K84" i="32" a="1"/>
  <c r="K84" i="32" s="1"/>
  <c r="CO5" i="76" a="1"/>
  <c r="CO5" i="76" s="1"/>
  <c r="I5" i="68" a="1"/>
  <c r="I5" i="68" s="1"/>
  <c r="O26" i="32" a="1"/>
  <c r="O26" i="32" s="1"/>
  <c r="O7" i="32" a="1"/>
  <c r="O7" i="32" s="1"/>
  <c r="O6" i="32" a="1"/>
  <c r="O6" i="32" s="1"/>
  <c r="O162" i="32" s="1"/>
  <c r="J26" i="32" a="1"/>
  <c r="J26" i="32" s="1"/>
  <c r="J7" i="32" a="1"/>
  <c r="J7" i="32" s="1"/>
  <c r="J6" i="32" a="1"/>
  <c r="J6" i="32" s="1"/>
  <c r="J162" i="32" s="1"/>
  <c r="O9" i="32" a="1"/>
  <c r="O9" i="32" s="1"/>
  <c r="O41" i="32"/>
  <c r="F108" i="32" a="1"/>
  <c r="F108" i="32" s="1"/>
  <c r="F84" i="32" a="1"/>
  <c r="F84" i="32" s="1"/>
  <c r="AE29" i="61" a="1"/>
  <c r="AE29" i="61" s="1"/>
  <c r="AE24" i="61" a="1"/>
  <c r="AE24" i="61" s="1"/>
  <c r="P86" i="32"/>
  <c r="M81" i="29"/>
  <c r="K26" i="32" a="1"/>
  <c r="K26" i="32" s="1"/>
  <c r="BR11" i="76" a="1"/>
  <c r="BR11" i="76" s="1"/>
  <c r="F26" i="32" a="1"/>
  <c r="F26" i="32" s="1"/>
  <c r="E8" i="32" a="1"/>
  <c r="E8" i="32" s="1"/>
  <c r="P9" i="32" a="1"/>
  <c r="P9" i="32" s="1"/>
  <c r="BR7" i="76" a="1"/>
  <c r="BR7" i="76" s="1"/>
  <c r="E26" i="32" a="1"/>
  <c r="E26" i="32" s="1"/>
  <c r="P7" i="32" a="1"/>
  <c r="P7" i="32" s="1"/>
  <c r="BR12" i="76" a="1"/>
  <c r="BR12" i="76" s="1"/>
  <c r="K7" i="32" a="1"/>
  <c r="K7" i="32" s="1"/>
  <c r="BR13" i="76" a="1"/>
  <c r="BR13" i="76" s="1"/>
  <c r="BR5" i="76" a="1"/>
  <c r="BR5" i="76" s="1"/>
  <c r="BR9" i="76" a="1"/>
  <c r="BR9" i="76" s="1"/>
  <c r="P6" i="32" a="1"/>
  <c r="P6" i="32" s="1"/>
  <c r="P162" i="32" s="1"/>
  <c r="BR14" i="76" a="1"/>
  <c r="BR14" i="76" s="1"/>
  <c r="BR6" i="76" a="1"/>
  <c r="BR6" i="76" s="1"/>
  <c r="K6" i="32" a="1"/>
  <c r="K6" i="32" s="1"/>
  <c r="K162" i="32" s="1"/>
  <c r="BR15" i="76" a="1"/>
  <c r="BR15" i="76" s="1"/>
  <c r="BR16" i="76" a="1"/>
  <c r="BR16" i="76" s="1"/>
  <c r="BR8" i="76" a="1"/>
  <c r="BR8" i="76" s="1"/>
  <c r="P26" i="32" a="1"/>
  <c r="P26" i="32" s="1"/>
  <c r="F8" i="32" a="1"/>
  <c r="F8"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7" i="32" a="1"/>
  <c r="D97" i="32" s="1"/>
  <c r="D95" i="32" s="1"/>
  <c r="D90" i="32" s="1"/>
  <c r="M153" i="40" a="1"/>
  <c r="M153" i="40" s="1"/>
  <c r="M29" i="40" s="1"/>
  <c r="G153" i="40" a="1"/>
  <c r="G153" i="40" s="1"/>
  <c r="G29" i="40" s="1"/>
  <c r="O153" i="40" a="1"/>
  <c r="O153" i="40" s="1"/>
  <c r="O29" i="40" s="1"/>
  <c r="D153" i="40" a="1"/>
  <c r="D153" i="40" s="1"/>
  <c r="D29" i="40" s="1"/>
  <c r="L153" i="40" a="1"/>
  <c r="L153" i="40" s="1"/>
  <c r="L29" i="40" s="1"/>
  <c r="E153" i="40" a="1"/>
  <c r="E153" i="40" s="1"/>
  <c r="E29" i="40" s="1"/>
  <c r="H153" i="40" a="1"/>
  <c r="H153" i="40" s="1"/>
  <c r="H29" i="40" s="1"/>
  <c r="F153" i="40" a="1"/>
  <c r="F153" i="40" s="1"/>
  <c r="F29" i="40" s="1"/>
  <c r="N153" i="40" a="1"/>
  <c r="N153" i="40" s="1"/>
  <c r="N29" i="40" s="1"/>
  <c r="K153" i="40" a="1"/>
  <c r="K153" i="40" s="1"/>
  <c r="K29" i="40" s="1"/>
  <c r="J153" i="40" a="1"/>
  <c r="J153" i="40" s="1"/>
  <c r="J29" i="40" s="1"/>
  <c r="AG46" i="6"/>
  <c r="AJ46" i="6" s="1"/>
  <c r="AH46" i="6" s="1"/>
  <c r="AI46" i="6" s="1"/>
  <c r="E97" i="32" a="1"/>
  <c r="E97" i="32" s="1"/>
  <c r="I153" i="40" a="1"/>
  <c r="I153" i="40" s="1"/>
  <c r="I29" i="40" s="1"/>
  <c r="P95" i="32"/>
  <c r="P90" i="32" s="1"/>
  <c r="E6" i="32" a="1"/>
  <c r="E6" i="32" s="1"/>
  <c r="E162" i="32" s="1"/>
  <c r="D102" i="32"/>
  <c r="D109" i="32"/>
  <c r="CD31" i="72" a="1"/>
  <c r="CD31" i="72" s="1"/>
  <c r="BB3" i="72" s="1"/>
  <c r="BC3" i="72" s="1"/>
  <c r="AT22" i="59" a="1"/>
  <c r="AT22" i="59" s="1"/>
  <c r="O37" i="68"/>
  <c r="I37" i="68"/>
  <c r="Q43" i="10"/>
  <c r="U43" i="10" s="1"/>
  <c r="H33" i="10" s="1"/>
  <c r="G17" i="68" a="1"/>
  <c r="G17" i="68" s="1"/>
  <c r="N17" i="68" a="1"/>
  <c r="N17" i="68" s="1"/>
  <c r="E17" i="68" a="1"/>
  <c r="E17" i="68" s="1"/>
  <c r="BF6" i="57"/>
  <c r="BA6" i="57"/>
  <c r="BS24" i="57"/>
  <c r="BM24" i="57"/>
  <c r="AQ6" i="57"/>
  <c r="BQ24" i="57"/>
  <c r="BN25" i="57"/>
  <c r="BN22" i="57" s="1"/>
  <c r="K17" i="68" a="1"/>
  <c r="K17" i="68" s="1"/>
  <c r="L17" i="68" a="1"/>
  <c r="L17"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7" i="68" a="1"/>
  <c r="H17" i="68" s="1"/>
  <c r="F17" i="68" a="1"/>
  <c r="F17" i="68" s="1"/>
  <c r="M17" i="68" a="1"/>
  <c r="M17" i="68" s="1"/>
  <c r="F27" i="32" a="1"/>
  <c r="F27" i="32" s="1"/>
  <c r="J17" i="68" a="1"/>
  <c r="J17" i="68" s="1"/>
  <c r="P5" i="52"/>
  <c r="Q5" i="52" s="1" a="1"/>
  <c r="Q5" i="52" s="1"/>
  <c r="AP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3" i="68"/>
  <c r="I43" i="68"/>
  <c r="P6" i="71" a="1"/>
  <c r="P6" i="71" s="1"/>
  <c r="BR31" i="72"/>
  <c r="BV31" i="72"/>
  <c r="F54" i="32" a="1"/>
  <c r="F54" i="32" s="1"/>
  <c r="W81" i="29"/>
  <c r="CW49" i="71" a="1"/>
  <c r="CW49" i="71" s="1"/>
  <c r="CY49" i="71" s="1" a="1"/>
  <c r="CY49" i="71" s="1"/>
  <c r="I35" i="13"/>
  <c r="T36" i="81" s="1"/>
  <c r="CW45" i="71" a="1"/>
  <c r="CW45" i="71" s="1"/>
  <c r="CY45" i="71" s="1" a="1"/>
  <c r="CY45" i="71" s="1"/>
  <c r="DA45" i="71" s="1"/>
  <c r="CW46" i="71" a="1"/>
  <c r="CW46" i="71" s="1"/>
  <c r="CY46" i="71" s="1" a="1"/>
  <c r="CY46" i="71" s="1"/>
  <c r="DA46" i="71" s="1"/>
  <c r="M43" i="68"/>
  <c r="CW50" i="71" a="1"/>
  <c r="CW50" i="71" s="1"/>
  <c r="CY50" i="71" s="1" a="1"/>
  <c r="CY50" i="71" s="1"/>
  <c r="DA50" i="71" s="1"/>
  <c r="F43" i="68"/>
  <c r="L43" i="68"/>
  <c r="CW36" i="71" a="1"/>
  <c r="CW36" i="71" s="1"/>
  <c r="CY36" i="71" s="1" a="1"/>
  <c r="CY36" i="71" s="1"/>
  <c r="DA36" i="71" s="1"/>
  <c r="D43" i="68"/>
  <c r="CW44" i="71" a="1"/>
  <c r="CW44" i="71" s="1"/>
  <c r="CY44" i="71" s="1" a="1"/>
  <c r="CY44" i="71" s="1"/>
  <c r="F43" i="32" a="1"/>
  <c r="F43" i="32" s="1"/>
  <c r="E43" i="68"/>
  <c r="N43" i="68"/>
  <c r="CW41" i="71" a="1"/>
  <c r="CW41" i="71" s="1"/>
  <c r="CY41" i="71" s="1" a="1"/>
  <c r="CY41" i="71" s="1"/>
  <c r="DA41" i="71" s="1"/>
  <c r="G43" i="68"/>
  <c r="BU31" i="72" a="1"/>
  <c r="BU31" i="72" s="1"/>
  <c r="BT31" i="72" a="1"/>
  <c r="BT31" i="72" s="1"/>
  <c r="CJ31" i="72" a="1"/>
  <c r="CJ31" i="72" s="1"/>
  <c r="BR9" i="72" a="1"/>
  <c r="BR9" i="72" s="1"/>
  <c r="BS9" i="72" s="1"/>
  <c r="BT7" i="72" a="1"/>
  <c r="BT7" i="72" s="1"/>
  <c r="BR7" i="72" a="1"/>
  <c r="BR7" i="72" s="1"/>
  <c r="BS7" i="72" s="1"/>
  <c r="BT6" i="72" a="1"/>
  <c r="BT6" i="72" s="1"/>
  <c r="L39" i="68" a="1"/>
  <c r="L39" i="68" s="1"/>
  <c r="L37" i="68" s="1"/>
  <c r="G116" i="40"/>
  <c r="G117" i="40" s="1"/>
  <c r="G19" i="40" s="1"/>
  <c r="G122" i="40"/>
  <c r="G20" i="40" s="1"/>
  <c r="E116" i="40"/>
  <c r="E117" i="40" s="1"/>
  <c r="E19" i="40" s="1"/>
  <c r="E122" i="40"/>
  <c r="E20" i="40" s="1"/>
  <c r="E58" i="32" a="1"/>
  <c r="E58" i="32" s="1"/>
  <c r="J37" i="68"/>
  <c r="F55" i="32"/>
  <c r="C37" i="68"/>
  <c r="N37" i="68"/>
  <c r="M37" i="68"/>
  <c r="AK6" i="71" a="1"/>
  <c r="AK6" i="71" s="1"/>
  <c r="AJ6" i="71" s="1"/>
  <c r="D42" i="68" a="1"/>
  <c r="D42" i="68" s="1"/>
  <c r="E60" i="32" a="1"/>
  <c r="E60" i="32" s="1"/>
  <c r="C42" i="68" a="1"/>
  <c r="C42" i="68" s="1"/>
  <c r="E78" i="32" a="1"/>
  <c r="E78" i="32" s="1"/>
  <c r="G37" i="68"/>
  <c r="F78" i="32" a="1"/>
  <c r="F78" i="32" s="1"/>
  <c r="F37" i="68"/>
  <c r="E27" i="32" a="1"/>
  <c r="E27" i="32" s="1"/>
  <c r="O17" i="68" a="1"/>
  <c r="O17" i="68" s="1"/>
  <c r="L5" i="68" a="1"/>
  <c r="L5" i="68" s="1"/>
  <c r="F122" i="40"/>
  <c r="F20" i="40" s="1"/>
  <c r="F116" i="40"/>
  <c r="F117" i="40" s="1"/>
  <c r="F19" i="40" s="1"/>
  <c r="M122" i="40"/>
  <c r="M20" i="40" s="1"/>
  <c r="M116" i="40"/>
  <c r="M117" i="40" s="1"/>
  <c r="M19" i="40" s="1"/>
  <c r="J116" i="40"/>
  <c r="J117" i="40" s="1"/>
  <c r="J19" i="40" s="1"/>
  <c r="J122" i="40"/>
  <c r="J20" i="40" s="1"/>
  <c r="F7" i="32" a="1"/>
  <c r="F7" i="32" s="1"/>
  <c r="C51" i="40" a="1"/>
  <c r="C51" i="40" s="1"/>
  <c r="F6" i="32" a="1"/>
  <c r="F6" i="32" s="1"/>
  <c r="F162" i="32" s="1"/>
  <c r="O5" i="68" a="1"/>
  <c r="O5" i="68" s="1"/>
  <c r="K5" i="68" a="1"/>
  <c r="K5" i="68" s="1"/>
  <c r="J5" i="68" a="1"/>
  <c r="J5" i="68" s="1"/>
  <c r="C5" i="68" a="1"/>
  <c r="C5" i="68" s="1"/>
  <c r="E6" i="71" a="1"/>
  <c r="E6" i="71" s="1"/>
  <c r="D37" i="68"/>
  <c r="E5" i="68" a="1"/>
  <c r="E5" i="68" s="1"/>
  <c r="O116" i="40"/>
  <c r="O117" i="40" s="1"/>
  <c r="O19" i="40" s="1"/>
  <c r="O122" i="40"/>
  <c r="O20" i="40" s="1"/>
  <c r="I35" i="40"/>
  <c r="AE2" i="61"/>
  <c r="AF1" i="61"/>
  <c r="H43" i="68"/>
  <c r="L122" i="40"/>
  <c r="L20" i="40" s="1"/>
  <c r="L116" i="40"/>
  <c r="L117" i="40" s="1"/>
  <c r="L19" i="40" s="1"/>
  <c r="M35" i="40"/>
  <c r="K37" i="68"/>
  <c r="E37" i="68"/>
  <c r="O35" i="40"/>
  <c r="O5" i="53" a="1"/>
  <c r="O5" i="53" s="1"/>
  <c r="N5" i="68" a="1"/>
  <c r="N5" i="68" s="1"/>
  <c r="J43" i="68"/>
  <c r="H116" i="40"/>
  <c r="H117" i="40" s="1"/>
  <c r="H19" i="40" s="1"/>
  <c r="H122" i="40"/>
  <c r="H20" i="40" s="1"/>
  <c r="N122" i="40"/>
  <c r="N20" i="40" s="1"/>
  <c r="N116" i="40"/>
  <c r="N117" i="40" s="1"/>
  <c r="N19" i="40" s="1"/>
  <c r="J35" i="40"/>
  <c r="N35" i="40"/>
  <c r="O43" i="68"/>
  <c r="O3" i="53" a="1"/>
  <c r="O3" i="53" s="1"/>
  <c r="U44" i="10"/>
  <c r="V44" i="10" s="1"/>
  <c r="D5" i="68" a="1"/>
  <c r="D5" i="68" s="1"/>
  <c r="M5" i="68" a="1"/>
  <c r="M5" i="68" s="1"/>
  <c r="I122" i="40"/>
  <c r="I20" i="40" s="1"/>
  <c r="I116" i="40"/>
  <c r="I117" i="40" s="1"/>
  <c r="I19" i="40" s="1"/>
  <c r="G5" i="68" a="1"/>
  <c r="G5" i="68" s="1"/>
  <c r="E43" i="32" a="1"/>
  <c r="E43" i="32" s="1"/>
  <c r="H5" i="68" a="1"/>
  <c r="H5" i="68" s="1"/>
  <c r="C17" i="68" a="1"/>
  <c r="C17" i="68" s="1"/>
  <c r="K35" i="40"/>
  <c r="F5" i="68" a="1"/>
  <c r="F5" i="68" s="1"/>
  <c r="H37" i="68"/>
  <c r="K116" i="40"/>
  <c r="K117" i="40" s="1"/>
  <c r="K19" i="40" s="1"/>
  <c r="K122" i="40"/>
  <c r="K20" i="40" s="1"/>
  <c r="K160" i="32" l="1"/>
  <c r="AL24" i="29"/>
  <c r="Z56" i="6"/>
  <c r="AF56" i="6" s="1"/>
  <c r="AH56" i="6" s="1"/>
  <c r="AI56" i="6" s="1"/>
  <c r="AF31" i="29"/>
  <c r="AA56" i="6" s="1"/>
  <c r="AI31" i="29"/>
  <c r="AF23" i="29"/>
  <c r="AI23" i="29"/>
  <c r="Z59" i="6"/>
  <c r="AF59" i="6" s="1"/>
  <c r="AH59" i="6" s="1"/>
  <c r="AI59" i="6" s="1"/>
  <c r="AF42" i="29"/>
  <c r="AA59" i="6" s="1"/>
  <c r="AI42" i="29"/>
  <c r="Z64" i="6"/>
  <c r="AF64" i="6" s="1"/>
  <c r="AF50" i="29"/>
  <c r="AA64" i="6" s="1"/>
  <c r="AI50" i="29"/>
  <c r="AF18" i="29"/>
  <c r="AA51" i="6" s="1"/>
  <c r="AI18" i="29"/>
  <c r="Z51" i="6"/>
  <c r="Z66" i="6"/>
  <c r="AF66" i="6" s="1"/>
  <c r="AH66" i="6" s="1"/>
  <c r="AI66" i="6" s="1"/>
  <c r="AF56" i="29"/>
  <c r="AA66" i="6" s="1"/>
  <c r="AI56" i="29"/>
  <c r="AF16" i="29"/>
  <c r="AA49" i="6" s="1"/>
  <c r="AI16" i="29"/>
  <c r="Z49" i="6"/>
  <c r="Z65" i="6"/>
  <c r="AF65" i="6" s="1"/>
  <c r="AH65" i="6" s="1"/>
  <c r="AI65" i="6" s="1"/>
  <c r="AF55" i="29"/>
  <c r="AA65" i="6" s="1"/>
  <c r="AI55" i="29"/>
  <c r="Z55" i="6"/>
  <c r="AF55" i="6" s="1"/>
  <c r="AF30" i="29"/>
  <c r="AA55" i="6" s="1"/>
  <c r="AI30" i="29"/>
  <c r="AF22" i="29"/>
  <c r="AI22" i="29"/>
  <c r="Z52" i="6"/>
  <c r="AF52" i="6" s="1"/>
  <c r="AH52" i="6" s="1"/>
  <c r="AI52" i="6" s="1"/>
  <c r="AF6" i="29"/>
  <c r="AA48" i="6" s="1"/>
  <c r="Z48" i="6"/>
  <c r="AF48" i="6" s="1"/>
  <c r="AH48" i="6" s="1"/>
  <c r="AI6" i="29"/>
  <c r="AD70" i="29"/>
  <c r="AE70" i="29" s="1"/>
  <c r="AE48" i="29"/>
  <c r="AF48" i="29" s="1"/>
  <c r="AA63" i="6" s="1"/>
  <c r="AD48" i="29"/>
  <c r="AL30" i="29"/>
  <c r="AD63" i="29"/>
  <c r="AE63" i="29" s="1"/>
  <c r="AL23" i="29"/>
  <c r="Z62" i="6"/>
  <c r="AF62" i="6" s="1"/>
  <c r="AH62" i="6" s="1"/>
  <c r="AI62" i="6" s="1"/>
  <c r="AF47" i="29"/>
  <c r="AA62" i="6" s="1"/>
  <c r="Z53" i="6"/>
  <c r="AF53" i="6" s="1"/>
  <c r="AF24" i="29"/>
  <c r="AA53" i="6" s="1"/>
  <c r="AI24" i="29"/>
  <c r="AL16" i="29"/>
  <c r="AL31" i="29"/>
  <c r="AE17" i="29"/>
  <c r="AF17" i="29" s="1"/>
  <c r="AA50" i="6" s="1"/>
  <c r="AD17" i="29"/>
  <c r="AL22" i="29"/>
  <c r="AE27" i="29"/>
  <c r="AF27" i="29" s="1"/>
  <c r="AD27" i="29"/>
  <c r="AD64" i="29"/>
  <c r="AE64" i="29" s="1"/>
  <c r="AD58" i="29"/>
  <c r="AE58" i="29" s="1"/>
  <c r="AL6" i="29"/>
  <c r="AL50" i="29"/>
  <c r="AD44" i="29"/>
  <c r="AE44" i="29" s="1"/>
  <c r="AD43" i="29"/>
  <c r="AE43" i="29" s="1"/>
  <c r="AL18" i="29"/>
  <c r="AL56" i="29"/>
  <c r="AL42" i="29"/>
  <c r="AD39" i="29"/>
  <c r="AE39" i="29" s="1"/>
  <c r="AD33" i="29"/>
  <c r="AE33" i="29" s="1"/>
  <c r="AD61" i="29"/>
  <c r="AE61" i="29" s="1"/>
  <c r="AL55" i="29"/>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G64" i="6"/>
  <c r="AJ64" i="6" s="1"/>
  <c r="AG55" i="6"/>
  <c r="AJ55" i="6" s="1"/>
  <c r="AA54" i="6"/>
  <c r="AH55" i="6"/>
  <c r="AI55" i="6" s="1"/>
  <c r="AF51" i="6"/>
  <c r="AG51" i="6" s="1"/>
  <c r="AJ51" i="6" s="1"/>
  <c r="AL27" i="29"/>
  <c r="AF49" i="6"/>
  <c r="AI48" i="6"/>
  <c r="P160" i="32"/>
  <c r="O160" i="32"/>
  <c r="P139" i="32"/>
  <c r="P167" i="32"/>
  <c r="P140" i="32"/>
  <c r="P74" i="32"/>
  <c r="P168" i="32" s="1"/>
  <c r="O167" i="32"/>
  <c r="O140" i="32"/>
  <c r="O74" i="32"/>
  <c r="O168" i="32" s="1"/>
  <c r="E30" i="47"/>
  <c r="G28" i="47"/>
  <c r="I17" i="9" s="1"/>
  <c r="H30" i="47"/>
  <c r="G30" i="47"/>
  <c r="I15" i="9" s="1"/>
  <c r="F29" i="47"/>
  <c r="F28" i="47"/>
  <c r="G29" i="47"/>
  <c r="I16" i="9" s="1"/>
  <c r="H29" i="47"/>
  <c r="E28" i="47"/>
  <c r="F30" i="47"/>
  <c r="H28" i="47"/>
  <c r="E29" i="47"/>
  <c r="CG5" i="76" a="1"/>
  <c r="CG5" i="76" s="1"/>
  <c r="AQ6" i="76" s="1"/>
  <c r="AU6" i="76" s="1"/>
  <c r="AV6" i="76" s="1"/>
  <c r="L26" i="58"/>
  <c r="N26" i="58" s="1"/>
  <c r="G26" i="58"/>
  <c r="N25" i="58"/>
  <c r="O25" i="58"/>
  <c r="P25" i="58" s="1" a="1"/>
  <c r="P25" i="58" s="1"/>
  <c r="N24" i="58"/>
  <c r="O24" i="58"/>
  <c r="V21" i="68"/>
  <c r="BO31" i="34" a="1"/>
  <c r="BO31" i="34" s="1"/>
  <c r="BN31" i="34" s="1"/>
  <c r="P143" i="32"/>
  <c r="P144" i="32" s="1"/>
  <c r="BO30" i="34" a="1"/>
  <c r="BO30" i="34" s="1"/>
  <c r="BN30" i="34" s="1"/>
  <c r="H185" i="40" a="1"/>
  <c r="H185" i="40" s="1"/>
  <c r="H186" i="40" s="1"/>
  <c r="H43" i="40" s="1"/>
  <c r="BO25" i="34" a="1"/>
  <c r="BO25" i="34" s="1"/>
  <c r="BN25" i="34" s="1"/>
  <c r="BO26" i="34" a="1"/>
  <c r="BO26" i="34" s="1"/>
  <c r="BN26" i="34" s="1"/>
  <c r="P36" i="6"/>
  <c r="Q35" i="81" s="1"/>
  <c r="G185" i="40" a="1"/>
  <c r="G185" i="40" s="1"/>
  <c r="G186" i="40" s="1"/>
  <c r="G43" i="40" s="1"/>
  <c r="AG45" i="6"/>
  <c r="AJ45" i="6" s="1"/>
  <c r="AH45" i="6" s="1"/>
  <c r="AI45" i="6" s="1"/>
  <c r="V54" i="68" a="1"/>
  <c r="V54" i="68" s="1"/>
  <c r="V56" i="68" a="1"/>
  <c r="V56" i="68" s="1"/>
  <c r="C69"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7" i="68" a="1"/>
  <c r="S27" i="68" s="1"/>
  <c r="S21" i="68" s="1"/>
  <c r="C27" i="68" a="1"/>
  <c r="C27" i="68" s="1"/>
  <c r="K41" i="32"/>
  <c r="J41" i="32"/>
  <c r="J23" i="32" a="1"/>
  <c r="J23" i="32" s="1"/>
  <c r="J22" i="32" s="1" a="1"/>
  <c r="J22" i="32" s="1"/>
  <c r="J21" i="32" s="1"/>
  <c r="K23" i="32" a="1"/>
  <c r="K23" i="32" s="1"/>
  <c r="K22" i="32" s="1" a="1"/>
  <c r="K22" i="32" s="1"/>
  <c r="O77" i="32"/>
  <c r="O157" i="32" s="1"/>
  <c r="O143" i="32"/>
  <c r="O144" i="32" s="1"/>
  <c r="V41" i="68"/>
  <c r="V36" i="68"/>
  <c r="C16" i="68" a="1"/>
  <c r="C16" i="68" s="1"/>
  <c r="S16" i="68" a="1"/>
  <c r="S16" i="68" s="1"/>
  <c r="V49" i="68" a="1"/>
  <c r="V49" i="68" s="1"/>
  <c r="S36" i="68"/>
  <c r="K11" i="32"/>
  <c r="J11" i="32"/>
  <c r="J163" i="32" s="1"/>
  <c r="J14" i="32" a="1"/>
  <c r="J14" i="32" s="1"/>
  <c r="O14" i="32" a="1"/>
  <c r="O14" i="32" s="1"/>
  <c r="O12" i="32" s="1"/>
  <c r="O33" i="32" a="1"/>
  <c r="O33" i="32" s="1"/>
  <c r="O32" i="32" s="1"/>
  <c r="J33" i="32" a="1"/>
  <c r="J33" i="32" s="1"/>
  <c r="J32" i="32" s="1"/>
  <c r="O22" i="32" a="1"/>
  <c r="O22" i="32" s="1"/>
  <c r="O21" i="32" s="1"/>
  <c r="E33" i="32" a="1"/>
  <c r="E33" i="32" s="1"/>
  <c r="P33" i="32" a="1"/>
  <c r="P33" i="32" s="1"/>
  <c r="P32" i="32" s="1"/>
  <c r="K14" i="32" a="1"/>
  <c r="K14" i="32" s="1"/>
  <c r="K33" i="32" a="1"/>
  <c r="K33" i="32" s="1"/>
  <c r="P14" i="32" a="1"/>
  <c r="P14" i="32" s="1"/>
  <c r="P22" i="32" a="1"/>
  <c r="P22"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9" i="40"/>
  <c r="CW47" i="71" a="1"/>
  <c r="CW47" i="71" s="1"/>
  <c r="CY47" i="71" s="1" a="1"/>
  <c r="CY47" i="71" s="1"/>
  <c r="DA47" i="71" s="1"/>
  <c r="E95" i="32"/>
  <c r="F95" i="32"/>
  <c r="D101"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E7" i="32" a="1"/>
  <c r="E7" i="32" s="1"/>
  <c r="U65" i="10"/>
  <c r="V65" i="10" s="1"/>
  <c r="BO7" i="73"/>
  <c r="BP6" i="73"/>
  <c r="BQ6" i="73" a="1"/>
  <c r="BQ6" i="73" s="1"/>
  <c r="BS6" i="73" a="1"/>
  <c r="BS6" i="73" s="1"/>
  <c r="BS7" i="73" s="1"/>
  <c r="AZ8" i="73"/>
  <c r="F53" i="32"/>
  <c r="CW40" i="71" a="1"/>
  <c r="CW40" i="71" s="1"/>
  <c r="CY40" i="71" s="1" a="1"/>
  <c r="CY40" i="71" s="1"/>
  <c r="DA40" i="71" s="1"/>
  <c r="BK8" i="72"/>
  <c r="CT31" i="72" a="1"/>
  <c r="CB31" i="72" a="1"/>
  <c r="CB31" i="72" s="1"/>
  <c r="C24" i="40"/>
  <c r="P80" i="32"/>
  <c r="P77" i="32" s="1"/>
  <c r="F51" i="40" a="1"/>
  <c r="F51" i="40" s="1"/>
  <c r="E51" i="40" a="1"/>
  <c r="E51" i="40" s="1"/>
  <c r="G51" i="40" a="1"/>
  <c r="G51" i="40" s="1"/>
  <c r="D51" i="40" a="1"/>
  <c r="D51" i="40" s="1"/>
  <c r="E55" i="32"/>
  <c r="E54" i="32" a="1"/>
  <c r="E54" i="32" s="1"/>
  <c r="G154" i="40" a="1"/>
  <c r="G154" i="40" s="1"/>
  <c r="G155" i="40" a="1"/>
  <c r="G155" i="40" s="1"/>
  <c r="DA49" i="71"/>
  <c r="CW5" i="71" a="1"/>
  <c r="CW5" i="71" s="1"/>
  <c r="H51" i="40" a="1"/>
  <c r="H51" i="40" s="1"/>
  <c r="I1" i="40"/>
  <c r="DA44" i="71"/>
  <c r="C56" i="40"/>
  <c r="AF2" i="61"/>
  <c r="AG1" i="61"/>
  <c r="P109" i="32"/>
  <c r="AZ6" i="71" a="1"/>
  <c r="AZ6" i="71" s="1"/>
  <c r="W5" i="53" a="1"/>
  <c r="W5" i="53" s="1"/>
  <c r="K155" i="40" a="1"/>
  <c r="K155" i="40" s="1"/>
  <c r="O155" i="40" a="1"/>
  <c r="O155" i="40" s="1"/>
  <c r="AL64" i="29" l="1"/>
  <c r="AI64" i="29"/>
  <c r="AG65" i="6"/>
  <c r="AJ65" i="6" s="1"/>
  <c r="AG49" i="6"/>
  <c r="AJ49" i="6" s="1"/>
  <c r="AH64" i="6"/>
  <c r="AI64" i="6" s="1"/>
  <c r="AA52" i="6"/>
  <c r="AG52" i="6" s="1"/>
  <c r="AJ52" i="6" s="1"/>
  <c r="AG56" i="6"/>
  <c r="AJ56" i="6" s="1"/>
  <c r="Z50" i="6"/>
  <c r="AF50" i="6" s="1"/>
  <c r="AG50" i="6" s="1"/>
  <c r="AJ50" i="6" s="1"/>
  <c r="AI17" i="29"/>
  <c r="AL17" i="29"/>
  <c r="AI39" i="29"/>
  <c r="AL39" i="29"/>
  <c r="AG53" i="6"/>
  <c r="AJ53" i="6" s="1"/>
  <c r="AG48" i="6"/>
  <c r="AJ48" i="6" s="1"/>
  <c r="AH53" i="6"/>
  <c r="AI53" i="6" s="1"/>
  <c r="AF70" i="29"/>
  <c r="AA71" i="6" s="1"/>
  <c r="Z71" i="6"/>
  <c r="AF71" i="6" s="1"/>
  <c r="AG71" i="6" s="1"/>
  <c r="AJ71" i="6" s="1"/>
  <c r="AI70" i="29"/>
  <c r="AL70" i="29"/>
  <c r="AF61" i="29"/>
  <c r="AA68" i="6" s="1"/>
  <c r="AL61" i="29"/>
  <c r="Z68" i="6"/>
  <c r="AF68" i="6" s="1"/>
  <c r="AH68" i="6" s="1"/>
  <c r="AI68" i="6" s="1"/>
  <c r="AI61" i="29"/>
  <c r="AF33" i="29"/>
  <c r="AA57" i="6" s="1"/>
  <c r="BT31" i="73" a="1"/>
  <c r="BT31" i="73" s="1"/>
  <c r="BV31" i="73" s="1" a="1"/>
  <c r="BV31" i="73" s="1"/>
  <c r="CA31" i="73" a="1"/>
  <c r="CA31" i="73" s="1"/>
  <c r="BB3" i="73" s="1"/>
  <c r="BC3" i="73" s="1"/>
  <c r="BD3" i="73" s="1"/>
  <c r="AL33" i="29"/>
  <c r="AI33" i="29"/>
  <c r="Z57" i="6"/>
  <c r="AF43" i="29"/>
  <c r="AA60" i="6" s="1"/>
  <c r="Z60" i="6"/>
  <c r="AF60" i="6" s="1"/>
  <c r="AG60" i="6" s="1"/>
  <c r="AJ60" i="6" s="1"/>
  <c r="AI43" i="29"/>
  <c r="AL43" i="29"/>
  <c r="AF58" i="29"/>
  <c r="AA67" i="6" s="1"/>
  <c r="AL58" i="29"/>
  <c r="Z67" i="6"/>
  <c r="AI58" i="29"/>
  <c r="Z69" i="6"/>
  <c r="AF69" i="6" s="1"/>
  <c r="AH69" i="6" s="1"/>
  <c r="AI69" i="6" s="1"/>
  <c r="AF63" i="29"/>
  <c r="AA69" i="6" s="1"/>
  <c r="AI63" i="29"/>
  <c r="AL63" i="29"/>
  <c r="AL48" i="29"/>
  <c r="Z61" i="6"/>
  <c r="AF61" i="6" s="1"/>
  <c r="AH61" i="6" s="1"/>
  <c r="AI61" i="6" s="1"/>
  <c r="AF44" i="29"/>
  <c r="AA61" i="6" s="1"/>
  <c r="AG61" i="6" s="1"/>
  <c r="AJ61" i="6" s="1"/>
  <c r="AL44" i="29"/>
  <c r="AG59" i="6"/>
  <c r="AJ59" i="6" s="1"/>
  <c r="AI27" i="29"/>
  <c r="Z58" i="6"/>
  <c r="AF58" i="6" s="1"/>
  <c r="AH58" i="6" s="1"/>
  <c r="AI58" i="6" s="1"/>
  <c r="AF39" i="29"/>
  <c r="AA58" i="6" s="1"/>
  <c r="AG62" i="6"/>
  <c r="AJ62" i="6" s="1"/>
  <c r="AI44" i="29"/>
  <c r="Z70" i="6"/>
  <c r="AF70" i="6" s="1"/>
  <c r="AH70" i="6" s="1"/>
  <c r="AI70" i="6" s="1"/>
  <c r="AF64" i="29"/>
  <c r="AA70" i="6" s="1"/>
  <c r="AG66" i="6"/>
  <c r="AJ66" i="6" s="1"/>
  <c r="Z54" i="6"/>
  <c r="AF54" i="6" s="1"/>
  <c r="AG54" i="6" s="1"/>
  <c r="AJ54" i="6" s="1"/>
  <c r="AI48" i="29"/>
  <c r="Z63" i="6"/>
  <c r="AF63" i="6" s="1"/>
  <c r="AH63" i="6" s="1"/>
  <c r="AI63" i="6" s="1"/>
  <c r="AM13" i="83"/>
  <c r="P24" i="58" a="1"/>
  <c r="P24" i="58" s="1"/>
  <c r="AH49" i="6"/>
  <c r="AI49" i="6" s="1"/>
  <c r="AG4" i="61"/>
  <c r="AG5" i="61"/>
  <c r="AH51" i="6"/>
  <c r="AI51" i="6" s="1"/>
  <c r="I185" i="40" a="1"/>
  <c r="I185" i="40" s="1"/>
  <c r="I186" i="40" s="1"/>
  <c r="I43" i="40" s="1"/>
  <c r="AF57" i="6"/>
  <c r="AF67" i="6"/>
  <c r="AG70" i="6"/>
  <c r="AJ70" i="6" s="1"/>
  <c r="H8" i="47"/>
  <c r="H6" i="47"/>
  <c r="H4" i="47"/>
  <c r="H2" i="47"/>
  <c r="G4" i="47"/>
  <c r="J82" i="32" s="1"/>
  <c r="G2" i="47"/>
  <c r="K103" i="32" s="1"/>
  <c r="G8" i="47"/>
  <c r="J83" i="32" s="1"/>
  <c r="G6" i="47"/>
  <c r="J106"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8" i="32" a="1"/>
  <c r="P8" i="32" s="1"/>
  <c r="P10" i="32" s="1"/>
  <c r="P11" i="32" s="1"/>
  <c r="P145" i="32" s="1"/>
  <c r="P146" i="32" s="1"/>
  <c r="BL10" i="72"/>
  <c r="BL9" i="72"/>
  <c r="BG9" i="72"/>
  <c r="BG10" i="72"/>
  <c r="BG11" i="72"/>
  <c r="BG12" i="72"/>
  <c r="BG13" i="72"/>
  <c r="BG14" i="72"/>
  <c r="AU8" i="72"/>
  <c r="AU9" i="72"/>
  <c r="AU10" i="72"/>
  <c r="AU11" i="72"/>
  <c r="AU12" i="72"/>
  <c r="AU13" i="72"/>
  <c r="AU14" i="72"/>
  <c r="P21" i="49"/>
  <c r="O169" i="32"/>
  <c r="O139" i="32"/>
  <c r="O141" i="32"/>
  <c r="O137" i="32"/>
  <c r="F140" i="32"/>
  <c r="F167" i="32"/>
  <c r="F139" i="32"/>
  <c r="F141" i="32"/>
  <c r="V12" i="68" a="1"/>
  <c r="V12" i="68" s="1"/>
  <c r="V11" i="68" s="1"/>
  <c r="V10" i="68" s="1"/>
  <c r="K134" i="32"/>
  <c r="K163" i="32"/>
  <c r="F160" i="32"/>
  <c r="P169" i="32"/>
  <c r="J134" i="32"/>
  <c r="O8" i="32" a="1"/>
  <c r="O8" i="32" s="1"/>
  <c r="O10" i="32" s="1"/>
  <c r="O11" i="32" s="1"/>
  <c r="O147" i="32"/>
  <c r="O148" i="32" s="1"/>
  <c r="P137" i="32"/>
  <c r="P157"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4" i="32"/>
  <c r="F168"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5" i="40" a="1"/>
  <c r="D155" i="40" s="1"/>
  <c r="BK22" i="34" a="1"/>
  <c r="BK22" i="34" s="1"/>
  <c r="BL22" i="34" s="1" a="1"/>
  <c r="BL22" i="34" s="1"/>
  <c r="CW7" i="71" a="1"/>
  <c r="CW7" i="71" s="1"/>
  <c r="CX7" i="71" s="1"/>
  <c r="BO9" i="73"/>
  <c r="BP9" i="73" s="1"/>
  <c r="BS8" i="73" a="1"/>
  <c r="BS8" i="73" s="1"/>
  <c r="BS9" i="73" s="1"/>
  <c r="BQ8" i="73" a="1"/>
  <c r="BQ8" i="73" s="1"/>
  <c r="BR8" i="73" s="1"/>
  <c r="BR6" i="73"/>
  <c r="BQ7" i="73"/>
  <c r="BR7" i="73" s="1"/>
  <c r="BP7" i="73"/>
  <c r="BQ10" i="73"/>
  <c r="BR10" i="73" s="1"/>
  <c r="BA8" i="73"/>
  <c r="BD3" i="72"/>
  <c r="BL8" i="72"/>
  <c r="CT31" i="72"/>
  <c r="J155" i="40" a="1"/>
  <c r="J155" i="40" s="1"/>
  <c r="I155" i="40" a="1"/>
  <c r="I155" i="40" s="1"/>
  <c r="E80" i="32"/>
  <c r="BQ20" i="72"/>
  <c r="BQ26" i="72"/>
  <c r="BQ17" i="72"/>
  <c r="BQ18" i="72"/>
  <c r="BQ25" i="72"/>
  <c r="BQ21" i="72"/>
  <c r="BQ19" i="72"/>
  <c r="BQ24" i="72"/>
  <c r="BQ15" i="72"/>
  <c r="BQ22" i="72"/>
  <c r="BQ23" i="72"/>
  <c r="F80" i="32"/>
  <c r="I51" i="40" a="1"/>
  <c r="I51" i="40" s="1"/>
  <c r="J1" i="40"/>
  <c r="J185" i="40" s="1" a="1"/>
  <c r="J185" i="40" s="1"/>
  <c r="J186" i="40" s="1"/>
  <c r="J43" i="40" s="1"/>
  <c r="F109" i="32"/>
  <c r="N154" i="40" a="1"/>
  <c r="N154" i="40" s="1"/>
  <c r="M154" i="40" a="1"/>
  <c r="M154" i="40" s="1"/>
  <c r="D154" i="40" a="1"/>
  <c r="D154" i="40" s="1"/>
  <c r="G39" i="40"/>
  <c r="G38" i="40" s="1"/>
  <c r="G30" i="40"/>
  <c r="G23" i="40" s="1"/>
  <c r="K154" i="40" a="1"/>
  <c r="K154" i="40" s="1"/>
  <c r="N155" i="40" a="1"/>
  <c r="N155" i="40" s="1"/>
  <c r="M155" i="40" a="1"/>
  <c r="M155" i="40" s="1"/>
  <c r="E90" i="32"/>
  <c r="K109" i="32"/>
  <c r="E109" i="32"/>
  <c r="AG2" i="61"/>
  <c r="AH1" i="61"/>
  <c r="CZ5" i="71" a="1"/>
  <c r="CZ5" i="71" s="1"/>
  <c r="DC5" i="71" s="1"/>
  <c r="L155" i="40" a="1"/>
  <c r="L155" i="40" s="1"/>
  <c r="E53" i="32"/>
  <c r="J154" i="40" a="1"/>
  <c r="J154" i="40" s="1"/>
  <c r="I154" i="40" a="1"/>
  <c r="I154" i="40" s="1"/>
  <c r="L154" i="40" a="1"/>
  <c r="L154" i="40" s="1"/>
  <c r="H154" i="40" a="1"/>
  <c r="H154" i="40" s="1"/>
  <c r="F90" i="32"/>
  <c r="D64" i="40"/>
  <c r="D56" i="40"/>
  <c r="D7" i="40" s="1"/>
  <c r="D78" i="40"/>
  <c r="D79" i="40" s="1"/>
  <c r="D15" i="40" s="1"/>
  <c r="H155" i="40" a="1"/>
  <c r="H155" i="40" s="1"/>
  <c r="F155" i="40" a="1"/>
  <c r="F155" i="40" s="1"/>
  <c r="O154" i="40" a="1"/>
  <c r="O154" i="40" s="1"/>
  <c r="F154" i="40" a="1"/>
  <c r="F154" i="40" s="1"/>
  <c r="C65" i="40"/>
  <c r="C121" i="40"/>
  <c r="AD5" i="53" a="1"/>
  <c r="AD5" i="53" s="1"/>
  <c r="F33" i="32" a="1"/>
  <c r="F33" i="32" s="1"/>
  <c r="E155" i="40" a="1"/>
  <c r="E155" i="40" s="1"/>
  <c r="C131" i="40"/>
  <c r="E14" i="32" a="1"/>
  <c r="E14" i="32" s="1"/>
  <c r="P41" i="32"/>
  <c r="E154" i="40" a="1"/>
  <c r="E154" i="40" s="1"/>
  <c r="AG67" i="6" l="1"/>
  <c r="AJ67" i="6" s="1"/>
  <c r="AG68" i="6"/>
  <c r="AJ68" i="6" s="1"/>
  <c r="E26" i="46" s="1"/>
  <c r="AG69" i="6"/>
  <c r="AJ69" i="6" s="1"/>
  <c r="AH60" i="6"/>
  <c r="AI60" i="6" s="1"/>
  <c r="AG63" i="6"/>
  <c r="AJ63" i="6" s="1"/>
  <c r="F26" i="46" s="1"/>
  <c r="AK48" i="6"/>
  <c r="AL48" i="6" s="1"/>
  <c r="AM48" i="6" s="1"/>
  <c r="AT3" i="73"/>
  <c r="AU3" i="73" s="1"/>
  <c r="AG58" i="6"/>
  <c r="AJ58" i="6" s="1"/>
  <c r="AG57" i="6"/>
  <c r="AJ57" i="6" s="1"/>
  <c r="G25" i="46" s="1"/>
  <c r="K7" i="3" s="1"/>
  <c r="BF3" i="73"/>
  <c r="G26" i="46"/>
  <c r="K6" i="3" s="1"/>
  <c r="E25" i="46"/>
  <c r="AW48" i="6"/>
  <c r="AH5" i="61"/>
  <c r="AH4" i="61"/>
  <c r="F24" i="46"/>
  <c r="AH71" i="6"/>
  <c r="AI71" i="6" s="1"/>
  <c r="AH67" i="6"/>
  <c r="AI67" i="6" s="1"/>
  <c r="E24" i="46"/>
  <c r="AH54" i="6"/>
  <c r="AI54" i="6" s="1"/>
  <c r="AH57" i="6"/>
  <c r="AI57" i="6" s="1"/>
  <c r="AH50" i="6"/>
  <c r="AI50" i="6" s="1"/>
  <c r="G24" i="46"/>
  <c r="K106" i="32"/>
  <c r="J103" i="32"/>
  <c r="K82" i="32"/>
  <c r="K83" i="32"/>
  <c r="AK55" i="6"/>
  <c r="AL55" i="6" s="1"/>
  <c r="AM55" i="6" s="1"/>
  <c r="AK56" i="6"/>
  <c r="AL56" i="6" s="1"/>
  <c r="AM56" i="6" s="1"/>
  <c r="AK58" i="6"/>
  <c r="AL58" i="6" s="1"/>
  <c r="AM58" i="6" s="1"/>
  <c r="AK59" i="6"/>
  <c r="AL59" i="6" s="1"/>
  <c r="AM59" i="6" s="1"/>
  <c r="AK63" i="6"/>
  <c r="AL63" i="6" s="1"/>
  <c r="AM63" i="6" s="1"/>
  <c r="AK68" i="6"/>
  <c r="AL68" i="6" s="1"/>
  <c r="AM68" i="6" s="1"/>
  <c r="AB68" i="6" s="1" a="1"/>
  <c r="AB68" i="6" s="1"/>
  <c r="AK69" i="6"/>
  <c r="AL69" i="6" s="1"/>
  <c r="AM69" i="6" s="1"/>
  <c r="AB69" i="6" s="1" a="1"/>
  <c r="AB69" i="6" s="1"/>
  <c r="AK46" i="6" a="1"/>
  <c r="AK46" i="6" s="1"/>
  <c r="AL46" i="6" s="1" a="1"/>
  <c r="AL46" i="6" s="1"/>
  <c r="AM46" i="6" s="1"/>
  <c r="AK45" i="6" a="1"/>
  <c r="AK45" i="6" s="1"/>
  <c r="AL45" i="6" s="1" a="1"/>
  <c r="AL45" i="6" s="1"/>
  <c r="AM45" i="6" s="1"/>
  <c r="AH29" i="61" a="1"/>
  <c r="AH29" i="61" s="1"/>
  <c r="P134" i="32"/>
  <c r="P163" i="32"/>
  <c r="CB25" i="57" a="1"/>
  <c r="CB25" i="57" s="1"/>
  <c r="AS7" i="57"/>
  <c r="AS8" i="57"/>
  <c r="AS9" i="57"/>
  <c r="BB10" i="73"/>
  <c r="BB9" i="73"/>
  <c r="AT8" i="73"/>
  <c r="AT9" i="73"/>
  <c r="AT10" i="73"/>
  <c r="CC25" i="57" a="1"/>
  <c r="CC25" i="57" s="1"/>
  <c r="K13" i="32" a="1"/>
  <c r="K13" i="32" s="1"/>
  <c r="AK21" i="49"/>
  <c r="AK20" i="49" a="1"/>
  <c r="AK20" i="49" s="1"/>
  <c r="E167" i="32"/>
  <c r="E140" i="32"/>
  <c r="E141" i="32"/>
  <c r="E139" i="32"/>
  <c r="E160" i="32"/>
  <c r="V19" i="68"/>
  <c r="V31" i="68" s="1"/>
  <c r="V32" i="68" s="1"/>
  <c r="V20" i="68"/>
  <c r="J13" i="32" a="1"/>
  <c r="J13" i="32" s="1"/>
  <c r="J12" i="32" s="1"/>
  <c r="O13" i="68" a="1"/>
  <c r="O13" i="68" s="1"/>
  <c r="S13" i="68" a="1"/>
  <c r="S13" i="68" s="1"/>
  <c r="C13" i="68" a="1"/>
  <c r="C13" i="68" s="1"/>
  <c r="C41" i="68" s="1"/>
  <c r="O145" i="32"/>
  <c r="O146" i="32" s="1"/>
  <c r="O149" i="32" s="1"/>
  <c r="O163" i="32"/>
  <c r="O20" i="32"/>
  <c r="O134"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Z7" i="71" a="1"/>
  <c r="CZ7" i="71" s="1"/>
  <c r="DB7" i="71" s="1"/>
  <c r="L34" i="68" a="1"/>
  <c r="L34" i="68" s="1"/>
  <c r="BT9" i="76"/>
  <c r="BU9" i="76" s="1"/>
  <c r="AZ5" i="76"/>
  <c r="BD5" i="76" s="1"/>
  <c r="BE5" i="76" s="1"/>
  <c r="CP5" i="76" a="1"/>
  <c r="CP5" i="76" s="1"/>
  <c r="AV3" i="73"/>
  <c r="AW3" i="73" s="1" a="1"/>
  <c r="AW3" i="73" s="1"/>
  <c r="BQ9" i="73"/>
  <c r="BR9" i="73" s="1"/>
  <c r="BQ12" i="73" a="1"/>
  <c r="BQ12" i="73" s="1"/>
  <c r="BO13" i="73" a="1"/>
  <c r="BO13" i="73" s="1"/>
  <c r="E23" i="32" a="1"/>
  <c r="E23" i="32" s="1"/>
  <c r="CW37" i="71" a="1"/>
  <c r="CW37" i="71" s="1"/>
  <c r="CY37" i="71" s="1" a="1"/>
  <c r="CY37" i="71" s="1"/>
  <c r="AS5" i="72"/>
  <c r="AU5" i="72"/>
  <c r="AU6" i="72"/>
  <c r="BE3" i="72"/>
  <c r="BG3" i="72" s="1"/>
  <c r="BF3" i="72" s="1"/>
  <c r="CU31" i="72" a="1"/>
  <c r="CU31" i="72" s="1"/>
  <c r="BG8" i="72"/>
  <c r="AS6" i="72"/>
  <c r="F23" i="32" a="1"/>
  <c r="F23" i="32" s="1"/>
  <c r="F22" i="32" s="1" a="1"/>
  <c r="F22" i="32" s="1"/>
  <c r="BP8" i="72" a="1"/>
  <c r="BP8" i="72" s="1"/>
  <c r="BS23" i="72"/>
  <c r="BR12" i="72" a="1"/>
  <c r="BR12" i="72" s="1"/>
  <c r="BS16" i="72"/>
  <c r="BS19" i="72"/>
  <c r="BS18" i="72"/>
  <c r="BS21" i="72"/>
  <c r="BS26" i="72"/>
  <c r="BP13" i="72" a="1"/>
  <c r="BP13" i="72" s="1"/>
  <c r="BS25" i="72"/>
  <c r="BS20" i="72"/>
  <c r="CW48" i="71" a="1"/>
  <c r="CW48" i="71" s="1"/>
  <c r="CY48" i="71" s="1" a="1"/>
  <c r="CY48" i="71" s="1"/>
  <c r="DA48" i="71" s="1"/>
  <c r="BS22" i="72"/>
  <c r="BQ16" i="72"/>
  <c r="BS15" i="72"/>
  <c r="BS17" i="72"/>
  <c r="BS24" i="72"/>
  <c r="E39" i="40"/>
  <c r="E38" i="40" s="1"/>
  <c r="E30" i="40"/>
  <c r="E23" i="40" s="1"/>
  <c r="M39" i="40"/>
  <c r="M38" i="40" s="1"/>
  <c r="M30" i="40"/>
  <c r="M23" i="40" s="1"/>
  <c r="C7" i="40"/>
  <c r="H39" i="40"/>
  <c r="H38" i="40" s="1"/>
  <c r="H30" i="40"/>
  <c r="H23" i="40" s="1"/>
  <c r="E74" i="32"/>
  <c r="E168" i="32" s="1"/>
  <c r="E41" i="32"/>
  <c r="D103" i="40"/>
  <c r="D65" i="40"/>
  <c r="D11" i="40" s="1"/>
  <c r="K39" i="40"/>
  <c r="K38" i="40" s="1"/>
  <c r="K30" i="40"/>
  <c r="K23" i="40" s="1"/>
  <c r="N39" i="40"/>
  <c r="N38" i="40" s="1"/>
  <c r="N30" i="40"/>
  <c r="N23" i="40" s="1"/>
  <c r="AH2" i="61"/>
  <c r="AI1" i="61"/>
  <c r="H35" i="68" a="1"/>
  <c r="H35" i="68" s="1"/>
  <c r="H34" i="68" a="1"/>
  <c r="H34" i="68" s="1"/>
  <c r="I30" i="40"/>
  <c r="I23" i="40" s="1"/>
  <c r="I39" i="40"/>
  <c r="I38" i="40" s="1"/>
  <c r="D39" i="40"/>
  <c r="D30" i="40"/>
  <c r="F41" i="32"/>
  <c r="K32" i="32"/>
  <c r="L39" i="40"/>
  <c r="L38" i="40" s="1"/>
  <c r="L30" i="40"/>
  <c r="L23" i="40" s="1"/>
  <c r="F39" i="40"/>
  <c r="F38" i="40" s="1"/>
  <c r="F30" i="40"/>
  <c r="F23" i="40" s="1"/>
  <c r="O39" i="40"/>
  <c r="O38" i="40" s="1"/>
  <c r="O30" i="40"/>
  <c r="O23" i="40" s="1"/>
  <c r="J39" i="40"/>
  <c r="J38" i="40" s="1"/>
  <c r="J30" i="40"/>
  <c r="J23" i="40" s="1"/>
  <c r="BS14" i="76" a="1"/>
  <c r="BS14" i="76" s="1"/>
  <c r="J51" i="40" a="1"/>
  <c r="J51" i="40" s="1"/>
  <c r="K1" i="40"/>
  <c r="K185" i="40" s="1" a="1"/>
  <c r="K185" i="40" s="1"/>
  <c r="K186" i="40" s="1"/>
  <c r="K43" i="40" s="1"/>
  <c r="F25" i="46" l="1"/>
  <c r="AB56" i="6" a="1"/>
  <c r="AB56" i="6" s="1"/>
  <c r="AB55" i="6" a="1"/>
  <c r="AB55" i="6" s="1"/>
  <c r="AB63" i="6" a="1"/>
  <c r="AB63" i="6" s="1"/>
  <c r="AB59" i="6" a="1"/>
  <c r="AB59" i="6" s="1"/>
  <c r="AB48" i="6" a="1"/>
  <c r="AB48" i="6" s="1"/>
  <c r="E2" i="46"/>
  <c r="AK70" i="6"/>
  <c r="AL70" i="6" s="1"/>
  <c r="AM70" i="6" s="1"/>
  <c r="AK71" i="6"/>
  <c r="AL71" i="6" s="1"/>
  <c r="AM71" i="6" s="1"/>
  <c r="AB71" i="6" s="1" a="1"/>
  <c r="AB71" i="6" s="1"/>
  <c r="F4" i="46"/>
  <c r="AK53" i="6"/>
  <c r="AL53" i="6" s="1"/>
  <c r="AM53" i="6" s="1"/>
  <c r="AK67" i="6"/>
  <c r="AL67" i="6" s="1"/>
  <c r="AM67" i="6" s="1"/>
  <c r="AB67" i="6" s="1" a="1"/>
  <c r="AB67" i="6" s="1"/>
  <c r="AK61" i="6"/>
  <c r="AL61" i="6" s="1"/>
  <c r="AM61" i="6" s="1"/>
  <c r="AK60" i="6"/>
  <c r="AL60" i="6" s="1"/>
  <c r="AM60" i="6" s="1"/>
  <c r="AK66" i="6"/>
  <c r="AL66" i="6" s="1"/>
  <c r="AM66" i="6" s="1"/>
  <c r="AK54" i="6"/>
  <c r="AL54" i="6" s="1"/>
  <c r="AM54" i="6" s="1"/>
  <c r="AK62" i="6"/>
  <c r="AL62" i="6" s="1"/>
  <c r="AM62" i="6" s="1"/>
  <c r="AI5" i="61"/>
  <c r="AI4" i="61"/>
  <c r="AK65" i="6"/>
  <c r="AL65" i="6" s="1"/>
  <c r="AM65" i="6" s="1"/>
  <c r="AK51" i="6"/>
  <c r="AL51" i="6" s="1"/>
  <c r="AM51" i="6" s="1"/>
  <c r="G4" i="46"/>
  <c r="G2" i="46"/>
  <c r="K8" i="3"/>
  <c r="AK64" i="6"/>
  <c r="AL64" i="6" s="1"/>
  <c r="AM64" i="6" s="1"/>
  <c r="AK52" i="6"/>
  <c r="AL52" i="6" s="1"/>
  <c r="AM52" i="6" s="1"/>
  <c r="AK50" i="6"/>
  <c r="AL50" i="6" s="1"/>
  <c r="AM50" i="6" s="1"/>
  <c r="AK49" i="6"/>
  <c r="AL49" i="6" s="1"/>
  <c r="AM49" i="6" s="1"/>
  <c r="F2" i="46"/>
  <c r="AK57" i="6"/>
  <c r="AL57" i="6" s="1"/>
  <c r="AM57" i="6" s="1"/>
  <c r="E4" i="46"/>
  <c r="D104" i="40"/>
  <c r="D17" i="40" s="1"/>
  <c r="C17" i="40" s="1"/>
  <c r="D70" i="40"/>
  <c r="D14" i="40" s="1"/>
  <c r="E70" i="40"/>
  <c r="F70" i="40"/>
  <c r="G70" i="40"/>
  <c r="H70" i="40"/>
  <c r="I70" i="40"/>
  <c r="J70" i="40"/>
  <c r="K70" i="40"/>
  <c r="L70" i="40"/>
  <c r="M70" i="40"/>
  <c r="N70" i="40"/>
  <c r="O70" i="40"/>
  <c r="BM25" i="57" a="1"/>
  <c r="BM25" i="57" s="1"/>
  <c r="BM22" i="57" s="1"/>
  <c r="AN7" i="57"/>
  <c r="AN8" i="57"/>
  <c r="AN9" i="57"/>
  <c r="CD25" i="57" a="1"/>
  <c r="CD25" i="57" s="1"/>
  <c r="CC21" i="57" s="1"/>
  <c r="CD21" i="57" s="1"/>
  <c r="AU8" i="57"/>
  <c r="AU9" i="57"/>
  <c r="AU7" i="57"/>
  <c r="BA8" i="76"/>
  <c r="BA6" i="76"/>
  <c r="BA7" i="76"/>
  <c r="BA9" i="76"/>
  <c r="CQ6" i="71" a="1"/>
  <c r="CQ6" i="71" s="1"/>
  <c r="CT6" i="71" s="1" a="1"/>
  <c r="CT6" i="71" s="1"/>
  <c r="CR6" i="71" s="1" a="1"/>
  <c r="CR6" i="71" s="1"/>
  <c r="CS6" i="71" s="1"/>
  <c r="AT8" i="57"/>
  <c r="AT7" i="57"/>
  <c r="AT9" i="57"/>
  <c r="AU6" i="57"/>
  <c r="V6" i="68"/>
  <c r="V7" i="68" s="1"/>
  <c r="V8" i="68" s="1"/>
  <c r="S41" i="68"/>
  <c r="S11" i="68"/>
  <c r="O125" i="32"/>
  <c r="O164" i="32"/>
  <c r="O40" i="32"/>
  <c r="J147" i="32"/>
  <c r="J148" i="32" s="1"/>
  <c r="J20"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J6" i="71"/>
  <c r="I6" i="71" s="1"/>
  <c r="K34" i="68" a="1"/>
  <c r="K34" i="68" s="1"/>
  <c r="K36"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4" i="68" a="1"/>
  <c r="D34" i="68" s="1"/>
  <c r="D36" i="68" s="1"/>
  <c r="CW34" i="71" a="1"/>
  <c r="CW34" i="71" s="1"/>
  <c r="CY34" i="71" s="1" a="1"/>
  <c r="CY34" i="71" s="1"/>
  <c r="K35" i="68" a="1"/>
  <c r="K35" i="68" s="1"/>
  <c r="F35" i="68" a="1"/>
  <c r="F35" i="68" s="1"/>
  <c r="F34" i="68" a="1"/>
  <c r="F34" i="68" s="1"/>
  <c r="F36" i="68" s="1"/>
  <c r="D35" i="68" a="1"/>
  <c r="D35" i="68" s="1"/>
  <c r="DC7" i="71"/>
  <c r="F10" i="32"/>
  <c r="BT12" i="76"/>
  <c r="BU12" i="76" s="1"/>
  <c r="P21" i="32"/>
  <c r="N35" i="68" a="1"/>
  <c r="N35" i="68" s="1"/>
  <c r="N34" i="68" a="1"/>
  <c r="N34" i="68" s="1"/>
  <c r="L35" i="68" a="1"/>
  <c r="L35" i="68" s="1"/>
  <c r="L33" i="68" s="1"/>
  <c r="L47" i="68" s="1"/>
  <c r="L48" i="68" s="1"/>
  <c r="K21" i="32"/>
  <c r="BT13" i="76"/>
  <c r="BU13" i="76" s="1"/>
  <c r="E22" i="32" a="1"/>
  <c r="E22" i="32" s="1"/>
  <c r="BT5" i="76"/>
  <c r="BU5" i="76" s="1"/>
  <c r="BT14" i="76"/>
  <c r="BU14" i="76" s="1"/>
  <c r="CQ5" i="76" a="1"/>
  <c r="CQ5" i="76" s="1"/>
  <c r="BA5" i="76"/>
  <c r="AX3" i="73"/>
  <c r="AY3" i="73" s="1"/>
  <c r="AT5" i="73"/>
  <c r="AR5" i="73"/>
  <c r="AR6" i="73"/>
  <c r="AT6" i="73"/>
  <c r="E10" i="32"/>
  <c r="E11" i="32" s="1"/>
  <c r="BT8" i="72" a="1"/>
  <c r="BT8" i="72" s="1"/>
  <c r="BQ8" i="72"/>
  <c r="BR8" i="72" a="1"/>
  <c r="BR8" i="72" s="1"/>
  <c r="BS8" i="72" s="1"/>
  <c r="DA37" i="71"/>
  <c r="H33" i="68"/>
  <c r="H47" i="68" s="1"/>
  <c r="H48" i="68" s="1"/>
  <c r="H36" i="68"/>
  <c r="L1" i="40"/>
  <c r="L185" i="40" s="1" a="1"/>
  <c r="L185" i="40" s="1"/>
  <c r="L186" i="40" s="1"/>
  <c r="L43" i="40" s="1"/>
  <c r="K51" i="40" a="1"/>
  <c r="K51" i="40" s="1"/>
  <c r="I35" i="68" a="1"/>
  <c r="I35" i="68" s="1"/>
  <c r="I34" i="68" a="1"/>
  <c r="I34" i="68" s="1"/>
  <c r="G34" i="68" a="1"/>
  <c r="G34" i="68" s="1"/>
  <c r="G35" i="68" a="1"/>
  <c r="G35" i="68" s="1"/>
  <c r="D35" i="40"/>
  <c r="C11" i="40"/>
  <c r="D116" i="40"/>
  <c r="D117" i="40" s="1"/>
  <c r="D19" i="40" s="1"/>
  <c r="D122" i="40"/>
  <c r="C30" i="40"/>
  <c r="D23" i="40"/>
  <c r="C39" i="40"/>
  <c r="C38" i="40" s="1"/>
  <c r="D38" i="40"/>
  <c r="L36" i="68"/>
  <c r="AI2" i="61"/>
  <c r="AJ1" i="61"/>
  <c r="M35" i="68" a="1"/>
  <c r="M35" i="68" s="1"/>
  <c r="M34" i="68" a="1"/>
  <c r="M34" i="68" s="1"/>
  <c r="G13" i="54" a="1"/>
  <c r="G13" i="54" s="1"/>
  <c r="T6" i="71"/>
  <c r="AB64" i="6" l="1" a="1"/>
  <c r="AB64" i="6" s="1"/>
  <c r="AB61" i="6" a="1"/>
  <c r="AB61" i="6" s="1"/>
  <c r="AB58" i="6" a="1"/>
  <c r="AB58" i="6" s="1"/>
  <c r="AB51" i="6" a="1"/>
  <c r="AB51" i="6" s="1"/>
  <c r="AB65" i="6" a="1"/>
  <c r="AB65" i="6" s="1"/>
  <c r="AB70" i="6" a="1"/>
  <c r="AB70" i="6" s="1"/>
  <c r="AB53" i="6" a="1"/>
  <c r="AB53" i="6" s="1"/>
  <c r="AB57" i="6" a="1"/>
  <c r="AB57" i="6" s="1"/>
  <c r="AB62" i="6" a="1"/>
  <c r="AB62" i="6" s="1"/>
  <c r="AB49" i="6" a="1"/>
  <c r="AB49" i="6" s="1"/>
  <c r="AB54" i="6" a="1"/>
  <c r="AB54" i="6" s="1"/>
  <c r="AB50" i="6" a="1"/>
  <c r="AB50" i="6" s="1"/>
  <c r="AB66" i="6" a="1"/>
  <c r="AB66" i="6" s="1"/>
  <c r="AB52" i="6" a="1"/>
  <c r="AB52" i="6" s="1"/>
  <c r="AB60" i="6" a="1"/>
  <c r="AB60" i="6" s="1"/>
  <c r="AJ4" i="61"/>
  <c r="AJ5" i="61"/>
  <c r="J81" i="32"/>
  <c r="K81" i="32"/>
  <c r="J104" i="32"/>
  <c r="K104" i="32"/>
  <c r="AW49" i="6"/>
  <c r="AW50" i="6"/>
  <c r="AW51" i="6"/>
  <c r="AW52" i="6"/>
  <c r="AW53" i="6"/>
  <c r="AW54" i="6"/>
  <c r="AW55" i="6"/>
  <c r="AW56" i="6"/>
  <c r="AW57" i="6"/>
  <c r="AW58" i="6"/>
  <c r="AW59" i="6"/>
  <c r="AW60" i="6"/>
  <c r="AW61" i="6"/>
  <c r="AW62" i="6"/>
  <c r="AW63" i="6"/>
  <c r="AW64" i="6"/>
  <c r="AW65" i="6"/>
  <c r="AW66" i="6"/>
  <c r="AW67" i="6"/>
  <c r="AW68" i="6"/>
  <c r="AW69" i="6"/>
  <c r="AW70" i="6"/>
  <c r="AW71" i="6"/>
  <c r="D20" i="40"/>
  <c r="C20" i="40" s="1"/>
  <c r="L14" i="40"/>
  <c r="L13" i="40" s="1"/>
  <c r="K14" i="40"/>
  <c r="K13" i="40" s="1"/>
  <c r="N14" i="40"/>
  <c r="N13" i="40" s="1"/>
  <c r="M14" i="40"/>
  <c r="M13" i="40" s="1"/>
  <c r="J14" i="40"/>
  <c r="I14" i="40"/>
  <c r="I13" i="40" s="1"/>
  <c r="H14" i="40"/>
  <c r="H13" i="40" s="1"/>
  <c r="G14" i="40"/>
  <c r="G13" i="40" s="1"/>
  <c r="F14" i="40"/>
  <c r="F13" i="40" s="1"/>
  <c r="E14" i="40"/>
  <c r="E13" i="40" s="1"/>
  <c r="E22" i="40" s="1"/>
  <c r="O14" i="40"/>
  <c r="O13" i="40" s="1"/>
  <c r="AV6" i="57"/>
  <c r="CB21" i="57"/>
  <c r="AV7" i="57"/>
  <c r="AV8" i="57"/>
  <c r="AV9" i="57"/>
  <c r="BB6" i="76"/>
  <c r="BB7" i="76"/>
  <c r="BB8" i="76"/>
  <c r="BB9" i="76"/>
  <c r="AO7" i="57"/>
  <c r="AO8" i="57"/>
  <c r="AO9" i="57"/>
  <c r="E163" i="32"/>
  <c r="E145" i="32"/>
  <c r="E146" i="32" s="1"/>
  <c r="E134" i="32"/>
  <c r="S19" i="68"/>
  <c r="S20" i="68"/>
  <c r="S10" i="68"/>
  <c r="O132" i="32"/>
  <c r="O130" i="32"/>
  <c r="O131" i="32"/>
  <c r="J125" i="32"/>
  <c r="J164" i="32"/>
  <c r="J40" i="32"/>
  <c r="O126" i="32"/>
  <c r="O165" i="32"/>
  <c r="O136" i="32"/>
  <c r="O135" i="32"/>
  <c r="O48" i="32"/>
  <c r="O50"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3" i="68"/>
  <c r="K47" i="68" s="1"/>
  <c r="K48" i="68" s="1"/>
  <c r="V23" i="49" a="1"/>
  <c r="V23" i="49" s="1"/>
  <c r="W23" i="49" s="1"/>
  <c r="CW38" i="71" a="1"/>
  <c r="CW38" i="71" s="1"/>
  <c r="CY38" i="71" s="1" a="1"/>
  <c r="CY38" i="71" s="1"/>
  <c r="DA38" i="71" s="1"/>
  <c r="O35" i="68" a="1"/>
  <c r="O35" i="68" s="1"/>
  <c r="O34" i="68" a="1"/>
  <c r="O34"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3" i="68"/>
  <c r="D47" i="68" s="1"/>
  <c r="D48" i="68" s="1"/>
  <c r="F33" i="68"/>
  <c r="F47" i="68" s="1"/>
  <c r="F48" i="68" s="1"/>
  <c r="F11" i="32"/>
  <c r="N36" i="68"/>
  <c r="N33" i="68"/>
  <c r="N47" i="68" s="1"/>
  <c r="N48" i="68" s="1"/>
  <c r="CW39" i="71" a="1"/>
  <c r="CW39" i="71" s="1"/>
  <c r="CY39" i="71" s="1" a="1"/>
  <c r="CY39" i="71" s="1"/>
  <c r="DA39" i="71" s="1"/>
  <c r="J34" i="68" a="1"/>
  <c r="J34" i="68" s="1"/>
  <c r="J35" i="68" a="1"/>
  <c r="J35" i="68" s="1"/>
  <c r="AZ3" i="73"/>
  <c r="BA3" i="73" s="1" a="1"/>
  <c r="BA3" i="73" s="1"/>
  <c r="CR5" i="76" a="1"/>
  <c r="CR5" i="76" s="1"/>
  <c r="BB5" i="76"/>
  <c r="CW42" i="71" a="1"/>
  <c r="CW42" i="71" s="1"/>
  <c r="CY42" i="71" s="1" a="1"/>
  <c r="CY42" i="71" s="1"/>
  <c r="DA42" i="71" s="1"/>
  <c r="R6" i="71"/>
  <c r="AD6" i="71" s="1"/>
  <c r="AE6" i="71" s="1"/>
  <c r="C19" i="40"/>
  <c r="M33" i="68"/>
  <c r="M47" i="68" s="1"/>
  <c r="M48" i="68" s="1"/>
  <c r="M36" i="68"/>
  <c r="E34" i="68" a="1"/>
  <c r="E34" i="68" s="1"/>
  <c r="E35" i="68" a="1"/>
  <c r="E35" i="68" s="1"/>
  <c r="G33" i="68"/>
  <c r="G47" i="68" s="1"/>
  <c r="G48" i="68" s="1"/>
  <c r="G36" i="68"/>
  <c r="AJ2" i="61"/>
  <c r="AK1" i="61"/>
  <c r="M1" i="40"/>
  <c r="M185" i="40" s="1" a="1"/>
  <c r="M185" i="40" s="1"/>
  <c r="M186" i="40" s="1"/>
  <c r="M43" i="40" s="1"/>
  <c r="L51" i="40" a="1"/>
  <c r="L51" i="40" s="1"/>
  <c r="AN6" i="71"/>
  <c r="S6" i="71"/>
  <c r="C35" i="40"/>
  <c r="I33" i="68"/>
  <c r="I47" i="68" s="1"/>
  <c r="I48" i="68" s="1"/>
  <c r="I36" i="68"/>
  <c r="AH6" i="71" a="1"/>
  <c r="AH6" i="71" s="1"/>
  <c r="AG6" i="71" a="1"/>
  <c r="AG6" i="71" s="1"/>
  <c r="DA34" i="71"/>
  <c r="C23" i="40"/>
  <c r="C16" i="40"/>
  <c r="AK5" i="61" l="1"/>
  <c r="AK4" i="61"/>
  <c r="K145" i="32"/>
  <c r="K146" i="32" s="1"/>
  <c r="K80" i="32"/>
  <c r="J145" i="32"/>
  <c r="J146" i="32" s="1"/>
  <c r="J80" i="32"/>
  <c r="D56" i="68" a="1"/>
  <c r="D56" i="68" s="1"/>
  <c r="D54" i="68" a="1"/>
  <c r="D54" i="68" s="1"/>
  <c r="D49" i="68" a="1"/>
  <c r="D49" i="68" s="1"/>
  <c r="I22" i="40"/>
  <c r="I21" i="40"/>
  <c r="I161" i="40" s="1"/>
  <c r="I162" i="40" s="1"/>
  <c r="I31" i="40" s="1"/>
  <c r="E21" i="40"/>
  <c r="E161" i="40" s="1"/>
  <c r="E162" i="40" s="1"/>
  <c r="E31" i="40" s="1"/>
  <c r="E12" i="40"/>
  <c r="E37" i="40"/>
  <c r="E34" i="40" s="1"/>
  <c r="E42" i="40" s="1"/>
  <c r="H22" i="40"/>
  <c r="H12" i="40"/>
  <c r="H21" i="40"/>
  <c r="H161" i="40" s="1"/>
  <c r="H162" i="40" s="1"/>
  <c r="H31" i="40" s="1"/>
  <c r="H37" i="40"/>
  <c r="H34" i="40" s="1"/>
  <c r="H42" i="40" s="1"/>
  <c r="M22" i="40"/>
  <c r="M21" i="40"/>
  <c r="M161" i="40" s="1"/>
  <c r="M162" i="40" s="1"/>
  <c r="M31" i="40" s="1"/>
  <c r="M37" i="40"/>
  <c r="M34" i="40" s="1"/>
  <c r="M42" i="40" s="1"/>
  <c r="M12" i="40"/>
  <c r="C14" i="40"/>
  <c r="F12" i="40"/>
  <c r="F22" i="40"/>
  <c r="F37" i="40"/>
  <c r="F34" i="40" s="1"/>
  <c r="F42" i="40" s="1"/>
  <c r="F21" i="40"/>
  <c r="F161" i="40" s="1"/>
  <c r="F162" i="40" s="1"/>
  <c r="F31" i="40" s="1"/>
  <c r="G21" i="40"/>
  <c r="G161" i="40" s="1"/>
  <c r="G162" i="40" s="1"/>
  <c r="G31" i="40" s="1"/>
  <c r="G12" i="40"/>
  <c r="G37" i="40"/>
  <c r="G34" i="40" s="1"/>
  <c r="G42" i="40" s="1"/>
  <c r="G22" i="40"/>
  <c r="O22" i="40"/>
  <c r="O37" i="40"/>
  <c r="O34" i="40" s="1"/>
  <c r="O42" i="40" s="1"/>
  <c r="O21" i="40"/>
  <c r="O161" i="40" s="1"/>
  <c r="O162" i="40" s="1"/>
  <c r="O31" i="40" s="1"/>
  <c r="O12" i="40"/>
  <c r="N22" i="40"/>
  <c r="N37" i="40"/>
  <c r="N34" i="40" s="1"/>
  <c r="N42" i="40" s="1"/>
  <c r="N21" i="40"/>
  <c r="N161" i="40" s="1"/>
  <c r="N162" i="40" s="1"/>
  <c r="N31" i="40" s="1"/>
  <c r="N12" i="40"/>
  <c r="K12" i="40"/>
  <c r="K21" i="40"/>
  <c r="K161" i="40" s="1"/>
  <c r="K162" i="40" s="1"/>
  <c r="K31" i="40" s="1"/>
  <c r="K37" i="40"/>
  <c r="K34" i="40" s="1"/>
  <c r="K42" i="40" s="1"/>
  <c r="K22" i="40"/>
  <c r="L22" i="40"/>
  <c r="L21" i="40"/>
  <c r="L161" i="40" s="1"/>
  <c r="L162" i="40" s="1"/>
  <c r="L31" i="40" s="1"/>
  <c r="L12" i="40"/>
  <c r="L37" i="40"/>
  <c r="L34" i="40" s="1"/>
  <c r="L42" i="40" s="1"/>
  <c r="J13" i="40"/>
  <c r="I37" i="40"/>
  <c r="I34" i="40" s="1"/>
  <c r="I42" i="40" s="1"/>
  <c r="I12" i="40"/>
  <c r="AP6" i="57"/>
  <c r="AP7" i="57"/>
  <c r="AP9" i="57"/>
  <c r="AP8" i="57"/>
  <c r="F145" i="32"/>
  <c r="F146" i="32" s="1"/>
  <c r="F163" i="32"/>
  <c r="F134" i="32"/>
  <c r="S31" i="68"/>
  <c r="S6" i="68"/>
  <c r="S7" i="68" s="1"/>
  <c r="S8" i="68" s="1"/>
  <c r="J131" i="32"/>
  <c r="O127" i="32"/>
  <c r="O166" i="32"/>
  <c r="O128" i="32"/>
  <c r="J126" i="32"/>
  <c r="J165" i="32"/>
  <c r="J136" i="32"/>
  <c r="J135" i="32"/>
  <c r="J48" i="32"/>
  <c r="J50"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3" i="68"/>
  <c r="O47" i="68" s="1"/>
  <c r="O48" i="68" s="1"/>
  <c r="O36" i="68"/>
  <c r="BI7" i="57" a="1"/>
  <c r="BI7" i="57" s="1"/>
  <c r="BK7" i="57" s="1"/>
  <c r="BS6" i="76" a="1"/>
  <c r="BS6" i="76" s="1"/>
  <c r="BT6" i="76" s="1"/>
  <c r="BU6" i="76" s="1"/>
  <c r="CE5" i="76" a="1"/>
  <c r="CE5" i="76" s="1"/>
  <c r="AQ5" i="76" s="1"/>
  <c r="AU5" i="76" s="1"/>
  <c r="AV5" i="76" s="1"/>
  <c r="DE9" i="71" a="1"/>
  <c r="DE9" i="71" s="1"/>
  <c r="DF9" i="71" s="1" a="1"/>
  <c r="DF9" i="71" s="1"/>
  <c r="J33" i="68"/>
  <c r="J47" i="68" s="1"/>
  <c r="J48" i="68" s="1"/>
  <c r="J36" i="68"/>
  <c r="F49" i="32" a="1"/>
  <c r="F49" i="32" s="1"/>
  <c r="F6" i="71"/>
  <c r="G6" i="71" s="1"/>
  <c r="BP10" i="72" a="1"/>
  <c r="BP10" i="72" s="1"/>
  <c r="BQ10" i="72" s="1"/>
  <c r="BX31" i="72" a="1"/>
  <c r="BX31" i="72" s="1"/>
  <c r="AT3" i="72" s="1"/>
  <c r="CF31" i="72" a="1"/>
  <c r="CF31" i="72" s="1"/>
  <c r="BZ31" i="72" a="1"/>
  <c r="CK31" i="72" a="1"/>
  <c r="AZ9" i="72" s="1"/>
  <c r="AL1" i="61"/>
  <c r="AK2" i="61"/>
  <c r="N1" i="40"/>
  <c r="N185" i="40" s="1" a="1"/>
  <c r="N185" i="40" s="1"/>
  <c r="N186" i="40" s="1"/>
  <c r="N43" i="40" s="1"/>
  <c r="M51" i="40" a="1"/>
  <c r="M51" i="40" s="1"/>
  <c r="C33" i="68"/>
  <c r="C47" i="68" s="1"/>
  <c r="C36" i="68"/>
  <c r="E33" i="68"/>
  <c r="E47" i="68" s="1"/>
  <c r="E48" i="68" s="1"/>
  <c r="E36" i="68"/>
  <c r="AF6" i="71"/>
  <c r="AT6" i="71" s="1"/>
  <c r="AI6" i="71"/>
  <c r="AL5" i="61" l="1"/>
  <c r="AL4" i="61"/>
  <c r="J54" i="68" a="1"/>
  <c r="J54" i="68" s="1"/>
  <c r="O54" i="68" a="1"/>
  <c r="O54" i="68" s="1"/>
  <c r="H54" i="68" a="1"/>
  <c r="H54" i="68" s="1"/>
  <c r="G56" i="68" a="1"/>
  <c r="G56" i="68" s="1"/>
  <c r="K56" i="68" a="1"/>
  <c r="K56" i="68" s="1"/>
  <c r="E49" i="68" a="1"/>
  <c r="E49" i="68" s="1"/>
  <c r="I49" i="68" a="1"/>
  <c r="I49" i="68" s="1"/>
  <c r="M54" i="68" a="1"/>
  <c r="M54" i="68" s="1"/>
  <c r="L49" i="68" a="1"/>
  <c r="L49" i="68" s="1"/>
  <c r="O56" i="68" a="1"/>
  <c r="O56" i="68" s="1"/>
  <c r="H56" i="68" a="1"/>
  <c r="H56" i="68" s="1"/>
  <c r="F49" i="68" a="1"/>
  <c r="F49" i="68" s="1"/>
  <c r="K49" i="68" a="1"/>
  <c r="K49" i="68" s="1"/>
  <c r="E54" i="68" a="1"/>
  <c r="E54" i="68" s="1"/>
  <c r="J49" i="68" a="1"/>
  <c r="J49" i="68" s="1"/>
  <c r="I54" i="68" a="1"/>
  <c r="I54" i="68" s="1"/>
  <c r="M56" i="68" a="1"/>
  <c r="M56" i="68" s="1"/>
  <c r="L54" i="68" a="1"/>
  <c r="L54" i="68" s="1"/>
  <c r="N49" i="68" a="1"/>
  <c r="N49" i="68" s="1"/>
  <c r="G49" i="68" a="1"/>
  <c r="G49" i="68" s="1"/>
  <c r="F54" i="68" a="1"/>
  <c r="F54" i="68" s="1"/>
  <c r="I56" i="68" a="1"/>
  <c r="I56" i="68" s="1"/>
  <c r="J56" i="68" a="1"/>
  <c r="J56" i="68" s="1"/>
  <c r="M49" i="68" a="1"/>
  <c r="M49" i="68" s="1"/>
  <c r="O49" i="68" a="1"/>
  <c r="O49" i="68" s="1"/>
  <c r="H49" i="68" a="1"/>
  <c r="H49" i="68" s="1"/>
  <c r="K54" i="68" a="1"/>
  <c r="K54" i="68" s="1"/>
  <c r="N56" i="68" a="1"/>
  <c r="N56" i="68" s="1"/>
  <c r="G54" i="68" a="1"/>
  <c r="G54" i="68" s="1"/>
  <c r="E56" i="68" a="1"/>
  <c r="E56" i="68" s="1"/>
  <c r="F56" i="68" a="1"/>
  <c r="F56" i="68" s="1"/>
  <c r="N54" i="68" a="1"/>
  <c r="N54" i="68" s="1"/>
  <c r="L56" i="68" a="1"/>
  <c r="L56" i="68" s="1"/>
  <c r="N33" i="40"/>
  <c r="F33" i="40"/>
  <c r="I33" i="40"/>
  <c r="G8" i="40"/>
  <c r="G9" i="40" s="1"/>
  <c r="G10" i="40" s="1"/>
  <c r="G33" i="40"/>
  <c r="N8" i="40"/>
  <c r="N9" i="40" s="1"/>
  <c r="N10" i="40" s="1"/>
  <c r="O33" i="40"/>
  <c r="L8" i="40"/>
  <c r="L9" i="40" s="1"/>
  <c r="L10" i="40" s="1"/>
  <c r="K8" i="40"/>
  <c r="K9" i="40" s="1"/>
  <c r="K10" i="40" s="1"/>
  <c r="K33" i="40"/>
  <c r="H8" i="40"/>
  <c r="H9" i="40" s="1"/>
  <c r="H10" i="40" s="1"/>
  <c r="F8" i="40"/>
  <c r="F9" i="40" s="1"/>
  <c r="F10" i="40" s="1"/>
  <c r="O8" i="40"/>
  <c r="O9" i="40" s="1"/>
  <c r="O10" i="40" s="1"/>
  <c r="L33" i="40"/>
  <c r="H33" i="40"/>
  <c r="M8" i="40"/>
  <c r="M9" i="40" s="1"/>
  <c r="M10" i="40" s="1"/>
  <c r="E8" i="40"/>
  <c r="E9" i="40" s="1"/>
  <c r="E10" i="40" s="1"/>
  <c r="E33" i="40"/>
  <c r="I8" i="40"/>
  <c r="I9" i="40" s="1"/>
  <c r="I10" i="40" s="1"/>
  <c r="M33" i="40"/>
  <c r="J22" i="40"/>
  <c r="J37" i="40"/>
  <c r="J34" i="40" s="1"/>
  <c r="J42" i="40" s="1"/>
  <c r="J12" i="40"/>
  <c r="J21" i="40"/>
  <c r="C54" i="68" a="1"/>
  <c r="C54" i="68" s="1"/>
  <c r="C56" i="68" a="1"/>
  <c r="C56" i="68" s="1"/>
  <c r="AU6" i="71"/>
  <c r="AV6" i="71" a="1"/>
  <c r="AV6" i="71" s="1"/>
  <c r="BA6" i="71" s="1"/>
  <c r="BC6" i="71" s="1"/>
  <c r="C49" i="68" a="1"/>
  <c r="C49" i="68" s="1"/>
  <c r="J166" i="32"/>
  <c r="J127"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5" i="32" s="1" a="1"/>
  <c r="P105" i="32" s="1"/>
  <c r="P102" i="32" s="1"/>
  <c r="E49" i="32" a="1"/>
  <c r="E49" i="32" s="1"/>
  <c r="BR10" i="72" a="1"/>
  <c r="BR10" i="72" s="1"/>
  <c r="BS10" i="72" s="1"/>
  <c r="BT10" i="72" a="1"/>
  <c r="BT10" i="72" s="1"/>
  <c r="CF5" i="76" a="1"/>
  <c r="CF5" i="76" s="1"/>
  <c r="CH5" i="76" a="1"/>
  <c r="CH5" i="76" s="1"/>
  <c r="CW9" i="71" a="1"/>
  <c r="CW9" i="71" s="1"/>
  <c r="AV3" i="72"/>
  <c r="AW3" i="72" s="1" a="1"/>
  <c r="AW3" i="72" s="1"/>
  <c r="AU3" i="72"/>
  <c r="BZ31" i="72"/>
  <c r="E105" i="32" a="1"/>
  <c r="E105" i="32" s="1"/>
  <c r="CK31" i="72"/>
  <c r="CM31" i="72" a="1"/>
  <c r="BA9" i="72" s="1"/>
  <c r="CO31" i="72" a="1"/>
  <c r="BB9" i="72" s="1"/>
  <c r="N51" i="40" a="1"/>
  <c r="N51" i="40" s="1"/>
  <c r="O1" i="40"/>
  <c r="O185" i="40" s="1" a="1"/>
  <c r="O185" i="40" s="1"/>
  <c r="O186" i="40" s="1"/>
  <c r="O43" i="40" s="1"/>
  <c r="C43" i="40" s="1"/>
  <c r="AL2" i="61"/>
  <c r="AM1" i="61"/>
  <c r="AM5" i="61" l="1"/>
  <c r="AM4" i="61"/>
  <c r="J161" i="40"/>
  <c r="J162" i="40" s="1"/>
  <c r="J31" i="40" s="1"/>
  <c r="J33" i="40"/>
  <c r="J8" i="40"/>
  <c r="J9" i="40" s="1"/>
  <c r="J10" i="40" s="1"/>
  <c r="AR7" i="76"/>
  <c r="AR6" i="76"/>
  <c r="AR8" i="76"/>
  <c r="AR9" i="76"/>
  <c r="AR10" i="76"/>
  <c r="AT9" i="72"/>
  <c r="AT10" i="72"/>
  <c r="AT11" i="72"/>
  <c r="AT12" i="72"/>
  <c r="AT14" i="72"/>
  <c r="AT13" i="72"/>
  <c r="P101" i="32"/>
  <c r="P154" i="32"/>
  <c r="P151" i="32"/>
  <c r="P153" i="32"/>
  <c r="P152" i="32"/>
  <c r="K105" i="32" a="1"/>
  <c r="K105" i="32" s="1"/>
  <c r="K102" i="32" s="1"/>
  <c r="O105" i="32" a="1"/>
  <c r="O105" i="32" s="1"/>
  <c r="O102" i="32" s="1"/>
  <c r="J105" i="32" a="1"/>
  <c r="J105" i="32" s="1"/>
  <c r="J102"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Z9" i="71" a="1"/>
  <c r="CZ9" i="71" s="1"/>
  <c r="DB9" i="71" s="1"/>
  <c r="CX9" i="71"/>
  <c r="DA9" i="71" a="1"/>
  <c r="DA9" i="71" s="1"/>
  <c r="AT8" i="72"/>
  <c r="E102" i="32"/>
  <c r="F102" i="32"/>
  <c r="CO31" i="72"/>
  <c r="BB8" i="72" s="1"/>
  <c r="CM31" i="72"/>
  <c r="CP31" i="72" s="1" a="1"/>
  <c r="BC9" i="72" s="1"/>
  <c r="CL31" i="72" a="1"/>
  <c r="CL31" i="72" s="1"/>
  <c r="AZ8" i="72"/>
  <c r="O51" i="40" a="1"/>
  <c r="O51" i="40" s="1"/>
  <c r="AN1" i="61"/>
  <c r="AM2" i="61"/>
  <c r="AN5" i="61" l="1"/>
  <c r="AN4" i="61"/>
  <c r="AS9" i="76"/>
  <c r="AS10" i="76"/>
  <c r="AS6" i="76"/>
  <c r="AS7" i="76"/>
  <c r="AS8" i="76"/>
  <c r="E151" i="32"/>
  <c r="E154" i="32"/>
  <c r="F154" i="32"/>
  <c r="F151" i="32"/>
  <c r="J101" i="32"/>
  <c r="J154" i="32"/>
  <c r="J151" i="32"/>
  <c r="O101" i="32"/>
  <c r="O154" i="32"/>
  <c r="O151" i="32"/>
  <c r="O153" i="32"/>
  <c r="O152" i="32"/>
  <c r="K101" i="32"/>
  <c r="K154" i="32"/>
  <c r="K151" i="32"/>
  <c r="P159" i="32"/>
  <c r="P156"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101" i="32"/>
  <c r="E159" i="32" s="1"/>
  <c r="AS5" i="76"/>
  <c r="CJ5" i="76" a="1"/>
  <c r="CJ5" i="76" s="1"/>
  <c r="F101" i="32"/>
  <c r="F159"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9" i="32"/>
  <c r="O159" i="32"/>
  <c r="O156" i="32"/>
  <c r="J159"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9" i="32" l="1" a="1"/>
  <c r="O119" i="32" s="1"/>
  <c r="O116" i="32" s="1"/>
  <c r="O115" i="32" s="1"/>
  <c r="P119" i="32" a="1"/>
  <c r="P119" i="32" s="1"/>
  <c r="K119" i="32" a="1"/>
  <c r="K119" i="32" s="1"/>
  <c r="J119" i="32" a="1"/>
  <c r="J119" i="32" s="1"/>
  <c r="J116" i="32" s="1"/>
  <c r="J115" i="32" s="1"/>
  <c r="F119" i="32" a="1"/>
  <c r="F119" i="32" s="1"/>
  <c r="E119" i="32" a="1"/>
  <c r="E119" i="32" s="1"/>
  <c r="AB5" i="53"/>
  <c r="S53" i="68" l="1"/>
  <c r="C53" i="68"/>
  <c r="J170" i="32"/>
  <c r="J138" i="32"/>
  <c r="J158" i="32"/>
  <c r="J129" i="32"/>
  <c r="O170" i="32"/>
  <c r="O138" i="32"/>
  <c r="O158" i="32"/>
  <c r="O129" i="32"/>
  <c r="D21" i="68" l="1"/>
  <c r="F24" i="32" a="1"/>
  <c r="F24" i="32" s="1"/>
  <c r="E21" i="68" l="1"/>
  <c r="F21" i="32"/>
  <c r="F21" i="68" l="1"/>
  <c r="G21" i="68"/>
  <c r="H21" i="68" l="1"/>
  <c r="F15" i="32" a="1"/>
  <c r="F15" i="32" s="1"/>
  <c r="P12" i="32" s="1"/>
  <c r="P20" i="32" l="1"/>
  <c r="P147" i="32"/>
  <c r="P148" i="32" s="1"/>
  <c r="P149" i="32" s="1"/>
  <c r="I21" i="68"/>
  <c r="E24" i="32" a="1"/>
  <c r="E24" i="32" s="1"/>
  <c r="P40" i="32" l="1"/>
  <c r="P132" i="32" s="1"/>
  <c r="P164" i="32"/>
  <c r="P125" i="32"/>
  <c r="F34" i="32" a="1"/>
  <c r="F34" i="32" s="1"/>
  <c r="J21" i="68"/>
  <c r="E21" i="32"/>
  <c r="P48" i="32" l="1"/>
  <c r="P50" i="32" s="1"/>
  <c r="P127" i="32" s="1"/>
  <c r="P136" i="32"/>
  <c r="P135" i="32"/>
  <c r="P165" i="32"/>
  <c r="P126" i="32"/>
  <c r="P131" i="32"/>
  <c r="P130" i="32"/>
  <c r="F32" i="32"/>
  <c r="P128" i="32" l="1"/>
  <c r="P166" i="32"/>
  <c r="M21" i="68"/>
  <c r="K21" i="68"/>
  <c r="E15" i="32" l="1" a="1"/>
  <c r="E15" i="32" s="1"/>
  <c r="K12" i="32" s="1"/>
  <c r="L21" i="68"/>
  <c r="N21" i="68"/>
  <c r="C83" i="40" a="1"/>
  <c r="C83" i="40" s="1"/>
  <c r="C84" i="40" s="1"/>
  <c r="K20" i="32" l="1"/>
  <c r="K40" i="32" s="1"/>
  <c r="K147" i="32"/>
  <c r="K148" i="32" s="1"/>
  <c r="K131" i="32" l="1"/>
  <c r="K126" i="32"/>
  <c r="K165" i="32"/>
  <c r="K136" i="32"/>
  <c r="K135" i="32"/>
  <c r="K125" i="32"/>
  <c r="K164" i="32"/>
  <c r="K48" i="32"/>
  <c r="K50" i="32" s="1"/>
  <c r="O21" i="68"/>
  <c r="C21" i="68"/>
  <c r="E34" i="32" a="1"/>
  <c r="E34" i="32" s="1"/>
  <c r="K127" i="32" l="1"/>
  <c r="K166" i="32"/>
  <c r="CW43" i="71" a="1"/>
  <c r="CW43" i="71" s="1"/>
  <c r="E32" i="32"/>
  <c r="CW29" i="71" l="1"/>
  <c r="CX29" i="71" s="1"/>
  <c r="CY43" i="71" a="1"/>
  <c r="CY43" i="71" s="1"/>
  <c r="DA43" i="71" s="1"/>
  <c r="D13" i="40" l="1"/>
  <c r="C15" i="40"/>
  <c r="D12" i="40" l="1"/>
  <c r="C13" i="40"/>
  <c r="D37" i="40"/>
  <c r="D21" i="40"/>
  <c r="D22" i="40"/>
  <c r="D161" i="40" l="1"/>
  <c r="D162" i="40" s="1"/>
  <c r="D34" i="40"/>
  <c r="D42" i="40" s="1"/>
  <c r="C22" i="40"/>
  <c r="C12" i="40"/>
  <c r="C37" i="40"/>
  <c r="C21" i="40"/>
  <c r="D8" i="40"/>
  <c r="D9" i="40" s="1"/>
  <c r="D10" i="40" s="1"/>
  <c r="D33" i="40"/>
  <c r="J47" i="40" l="1" a="1"/>
  <c r="J47" i="40" s="1"/>
  <c r="G47" i="40" a="1"/>
  <c r="G47" i="40" s="1"/>
  <c r="N47" i="40" a="1"/>
  <c r="N47" i="40" s="1"/>
  <c r="H47" i="40" a="1"/>
  <c r="H47" i="40" s="1"/>
  <c r="M47" i="40" a="1"/>
  <c r="M47" i="40" s="1"/>
  <c r="D47" i="40" a="1"/>
  <c r="D47" i="40" s="1"/>
  <c r="I47" i="40" a="1"/>
  <c r="I47" i="40" s="1"/>
  <c r="K47" i="40" a="1"/>
  <c r="K47" i="40" s="1"/>
  <c r="L47" i="40" a="1"/>
  <c r="L47" i="40" s="1"/>
  <c r="O47" i="40" a="1"/>
  <c r="O47" i="40" s="1"/>
  <c r="E47" i="40" a="1"/>
  <c r="E47" i="40" s="1"/>
  <c r="F47" i="40" a="1"/>
  <c r="F47" i="40" s="1"/>
  <c r="D31" i="40"/>
  <c r="C31" i="40" s="1"/>
  <c r="C34" i="40"/>
  <c r="C42" i="40" s="1"/>
  <c r="C9" i="40"/>
  <c r="C10" i="40" s="1"/>
  <c r="C8" i="40"/>
  <c r="C33" i="40"/>
  <c r="C47" i="40" l="1" a="1"/>
  <c r="C47" i="40" s="1"/>
  <c r="D11" i="68" l="1"/>
  <c r="D41" i="68" l="1"/>
  <c r="D20" i="68"/>
  <c r="D10" i="68"/>
  <c r="D19" i="68"/>
  <c r="D31" i="68" l="1"/>
  <c r="D32" i="68" s="1"/>
  <c r="D6" i="68"/>
  <c r="D7" i="68" s="1"/>
  <c r="D8" i="68" s="1"/>
  <c r="CW14" i="71" a="1"/>
  <c r="CW14" i="71" s="1"/>
  <c r="CQ5" i="71" a="1"/>
  <c r="CQ5" i="71" s="1"/>
  <c r="CT5" i="71" l="1" a="1"/>
  <c r="CT5" i="71" s="1"/>
  <c r="CR5" i="71" s="1" a="1"/>
  <c r="CR5" i="71" s="1"/>
  <c r="CS5" i="71" s="1"/>
  <c r="CZ14" i="71" a="1"/>
  <c r="CZ14" i="71" s="1"/>
  <c r="CX14" i="71" s="1" a="1"/>
  <c r="CX14" i="71" s="1"/>
  <c r="CY14" i="71" s="1"/>
  <c r="E41" i="68" l="1"/>
  <c r="E11" i="68"/>
  <c r="E19" i="68" l="1"/>
  <c r="E10" i="68"/>
  <c r="E20" i="68"/>
  <c r="F11" i="68" l="1"/>
  <c r="CW15" i="71" a="1"/>
  <c r="CW15" i="71" s="1"/>
  <c r="E6" i="68"/>
  <c r="E7" i="68" s="1"/>
  <c r="E8" i="68" s="1"/>
  <c r="E31" i="68"/>
  <c r="E32" i="68" s="1"/>
  <c r="F41" i="68" l="1"/>
  <c r="CZ15" i="71" a="1"/>
  <c r="CZ15" i="71" s="1"/>
  <c r="CX15" i="71" s="1" a="1"/>
  <c r="CX15" i="71" s="1"/>
  <c r="CY15" i="71" s="1"/>
  <c r="F20" i="68"/>
  <c r="F19" i="68"/>
  <c r="F10" i="68"/>
  <c r="CW16" i="71" l="1" a="1"/>
  <c r="CW16" i="71" s="1"/>
  <c r="F6" i="68"/>
  <c r="F7" i="68" s="1"/>
  <c r="F8" i="68" s="1"/>
  <c r="F31" i="68"/>
  <c r="F32" i="68" s="1"/>
  <c r="G11" i="68" l="1"/>
  <c r="G41" i="68"/>
  <c r="CZ16" i="71" a="1"/>
  <c r="CZ16" i="71" s="1"/>
  <c r="CX16" i="71" s="1" a="1"/>
  <c r="CX16" i="71" s="1"/>
  <c r="CY16" i="71" s="1"/>
  <c r="G10" i="68" l="1"/>
  <c r="G20" i="68"/>
  <c r="G19" i="68"/>
  <c r="G31" i="68" l="1"/>
  <c r="G32" i="68" s="1"/>
  <c r="G6" i="68"/>
  <c r="G7" i="68" s="1"/>
  <c r="G8" i="68" s="1"/>
  <c r="CW17" i="71" a="1"/>
  <c r="CW17" i="71" s="1"/>
  <c r="CZ17" i="71" l="1" a="1"/>
  <c r="CZ17" i="71" s="1"/>
  <c r="CX17" i="71" s="1" a="1"/>
  <c r="CX17" i="71" s="1"/>
  <c r="CY17" i="71" s="1"/>
  <c r="CY9" i="71" l="1" a="1"/>
  <c r="CY9" i="71" s="1"/>
  <c r="H41" i="68"/>
  <c r="H11" i="68"/>
  <c r="I41" i="68" l="1"/>
  <c r="I11" i="68"/>
  <c r="H19" i="68"/>
  <c r="H20" i="68"/>
  <c r="H10" i="68"/>
  <c r="DC9" i="71" a="1"/>
  <c r="DC9" i="71" s="1"/>
  <c r="DD9" i="71" a="1"/>
  <c r="DD9" i="71" s="1"/>
  <c r="CW18" i="71" l="1" a="1"/>
  <c r="CW18" i="71" s="1"/>
  <c r="I10" i="68"/>
  <c r="I20" i="68"/>
  <c r="I19" i="68"/>
  <c r="H6" i="68"/>
  <c r="H7" i="68" s="1"/>
  <c r="H8" i="68" s="1"/>
  <c r="H31" i="68"/>
  <c r="H32" i="68" s="1"/>
  <c r="I6" i="68" l="1"/>
  <c r="I7" i="68" s="1"/>
  <c r="I8" i="68" s="1"/>
  <c r="I31" i="68"/>
  <c r="I32" i="68" s="1"/>
  <c r="CZ18" i="71" a="1"/>
  <c r="CZ18" i="71" s="1"/>
  <c r="CX18" i="71" s="1" a="1"/>
  <c r="CX18" i="71" s="1"/>
  <c r="CY18" i="71" s="1"/>
  <c r="CW19" i="71" l="1" a="1"/>
  <c r="CW19" i="71" s="1"/>
  <c r="F13" i="32" a="1"/>
  <c r="F13" i="32" s="1"/>
  <c r="CZ19" i="71" l="1" a="1"/>
  <c r="CZ19" i="71" s="1"/>
  <c r="CX19" i="71" s="1" a="1"/>
  <c r="CX19" i="71" s="1"/>
  <c r="CY19" i="71" s="1"/>
  <c r="J11" i="68"/>
  <c r="J41" i="68"/>
  <c r="F12" i="32"/>
  <c r="F147" i="32" s="1"/>
  <c r="F148" i="32" s="1"/>
  <c r="J19" i="68" l="1"/>
  <c r="J20" i="68"/>
  <c r="J10" i="68"/>
  <c r="F20" i="32"/>
  <c r="F125" i="32" l="1"/>
  <c r="F164" i="32"/>
  <c r="F40" i="32"/>
  <c r="J6" i="68"/>
  <c r="J7" i="68" s="1"/>
  <c r="J8" i="68" s="1"/>
  <c r="J31" i="68"/>
  <c r="J32" i="68" s="1"/>
  <c r="F126" i="32" l="1"/>
  <c r="F136" i="32"/>
  <c r="F135" i="32"/>
  <c r="F165" i="32"/>
  <c r="F131" i="32"/>
  <c r="F130" i="32"/>
  <c r="F132" i="32"/>
  <c r="F48" i="32"/>
  <c r="CW20" i="71" a="1"/>
  <c r="CW20" i="71" s="1"/>
  <c r="CZ20" i="71" l="1" a="1"/>
  <c r="CZ20" i="71" s="1"/>
  <c r="CX20" i="71" s="1" a="1"/>
  <c r="CX20" i="71" s="1"/>
  <c r="F50" i="32"/>
  <c r="F166" i="32" l="1"/>
  <c r="F127" i="32"/>
  <c r="CY20" i="71"/>
  <c r="K11" i="68" l="1"/>
  <c r="K41" i="68"/>
  <c r="L41" i="68" l="1"/>
  <c r="L11" i="68"/>
  <c r="K19" i="68"/>
  <c r="K10" i="68"/>
  <c r="K20" i="68"/>
  <c r="K6" i="68" l="1"/>
  <c r="K7" i="68" s="1"/>
  <c r="K8" i="68" s="1"/>
  <c r="K31" i="68"/>
  <c r="K32" i="68" s="1"/>
  <c r="L10" i="68"/>
  <c r="L20" i="68"/>
  <c r="L19" i="68"/>
  <c r="L31" i="68" l="1"/>
  <c r="L32" i="68" s="1"/>
  <c r="L6" i="68"/>
  <c r="L7" i="68" s="1"/>
  <c r="L8" i="68" s="1"/>
  <c r="CW21" i="71" a="1"/>
  <c r="CW21" i="71" s="1"/>
  <c r="C78" i="40" a="1"/>
  <c r="C78" i="40" s="1"/>
  <c r="C79" i="40" s="1"/>
  <c r="M41" i="68" l="1"/>
  <c r="M11" i="68"/>
  <c r="CW22" i="71" a="1"/>
  <c r="CW22" i="71" s="1"/>
  <c r="CZ21" i="71" a="1"/>
  <c r="CZ21" i="71" s="1"/>
  <c r="CX21" i="71" s="1" a="1"/>
  <c r="CX21" i="71" s="1"/>
  <c r="CY21" i="71" l="1"/>
  <c r="CZ22" i="71" a="1"/>
  <c r="CZ22" i="71" s="1"/>
  <c r="CX22" i="71" s="1" a="1"/>
  <c r="CX22" i="71" s="1"/>
  <c r="CY22" i="71" s="1"/>
  <c r="M20" i="68"/>
  <c r="M10" i="68"/>
  <c r="M19" i="68"/>
  <c r="AU8" i="73" l="1"/>
  <c r="M31" i="68"/>
  <c r="M32" i="68" s="1"/>
  <c r="M6" i="68"/>
  <c r="M7" i="68" s="1"/>
  <c r="M8" i="68" s="1"/>
  <c r="BB8" i="73"/>
  <c r="AS5" i="73" l="1"/>
  <c r="AU5" i="73"/>
  <c r="AS6" i="73"/>
  <c r="AU6" i="73"/>
  <c r="CW23" i="71" a="1"/>
  <c r="CW23" i="71" s="1"/>
  <c r="BG8" i="73"/>
  <c r="AV10" i="73" l="1" a="1"/>
  <c r="AV10" i="73" s="1"/>
  <c r="AV9" i="73" a="1"/>
  <c r="AV9" i="73" s="1"/>
  <c r="AV8" i="73" a="1"/>
  <c r="AV8" i="73" s="1"/>
  <c r="BC8" i="73"/>
  <c r="AS3" i="73" l="1"/>
  <c r="N41" i="68"/>
  <c r="N11" i="68"/>
  <c r="N10" i="68" l="1"/>
  <c r="N20" i="68"/>
  <c r="N19" i="68"/>
  <c r="N31" i="68" l="1"/>
  <c r="N32" i="68" s="1"/>
  <c r="N6" i="68"/>
  <c r="N7" i="68" s="1"/>
  <c r="N8" i="68" s="1"/>
  <c r="BO22" i="34" l="1" a="1"/>
  <c r="BO22" i="34" s="1"/>
  <c r="CZ23" i="71" a="1"/>
  <c r="CZ23" i="71" s="1"/>
  <c r="CX23" i="71" s="1" a="1"/>
  <c r="CX23" i="71" s="1"/>
  <c r="CY23" i="71" s="1"/>
  <c r="P116" i="32"/>
  <c r="P115" i="32" s="1"/>
  <c r="E13" i="32" a="1"/>
  <c r="E13" i="32" s="1"/>
  <c r="CW35" i="71" a="1"/>
  <c r="CW35" i="71" s="1"/>
  <c r="CX48" i="71" s="1"/>
  <c r="CW24" i="71" a="1"/>
  <c r="CW24" i="71" s="1"/>
  <c r="BN22" i="34" l="1"/>
  <c r="P1" i="58"/>
  <c r="P170" i="32"/>
  <c r="P138" i="32"/>
  <c r="P158" i="32"/>
  <c r="P129" i="32"/>
  <c r="K87" i="32" a="1"/>
  <c r="K87" i="32" s="1"/>
  <c r="J87" i="32" a="1"/>
  <c r="J87" i="32" s="1"/>
  <c r="F116" i="32"/>
  <c r="K116" i="32"/>
  <c r="K115" i="32" s="1"/>
  <c r="E116" i="32"/>
  <c r="E86" i="32"/>
  <c r="E143" i="32" s="1"/>
  <c r="E144" i="32" s="1"/>
  <c r="F86" i="32"/>
  <c r="F143" i="32" s="1"/>
  <c r="F144" i="32" s="1"/>
  <c r="F149" i="32" s="1"/>
  <c r="CX40" i="71"/>
  <c r="CX44" i="71"/>
  <c r="CX38" i="71"/>
  <c r="CX37" i="71"/>
  <c r="CX36" i="71"/>
  <c r="CY35" i="71" a="1"/>
  <c r="CY35" i="71" s="1"/>
  <c r="DA35" i="71" s="1"/>
  <c r="CY55" i="71" s="1" a="1"/>
  <c r="CY55" i="71" s="1"/>
  <c r="CZ55" i="71" s="1" a="1"/>
  <c r="CZ55" i="71" s="1"/>
  <c r="CX42" i="71"/>
  <c r="CX47" i="71"/>
  <c r="CW55" i="71" a="1"/>
  <c r="CW55" i="71" s="1"/>
  <c r="CX50" i="71"/>
  <c r="CW28" i="71"/>
  <c r="CX28" i="71" s="1"/>
  <c r="CX46" i="71"/>
  <c r="CW54" i="71" a="1"/>
  <c r="CW54" i="71" s="1"/>
  <c r="CX43" i="71"/>
  <c r="CX34" i="71"/>
  <c r="CX35" i="71"/>
  <c r="CX41" i="71"/>
  <c r="CX45" i="71"/>
  <c r="CW53" i="71" a="1"/>
  <c r="CW53" i="71" s="1"/>
  <c r="CX39" i="71"/>
  <c r="CX49" i="71"/>
  <c r="C11" i="68"/>
  <c r="O11" i="68"/>
  <c r="O41" i="68"/>
  <c r="E12" i="32"/>
  <c r="E147" i="32" s="1"/>
  <c r="E148" i="32" s="1"/>
  <c r="CZ24" i="71" a="1"/>
  <c r="CZ24" i="71" s="1"/>
  <c r="CX24" i="71" s="1" a="1"/>
  <c r="CX24" i="71" s="1"/>
  <c r="S48" i="68" l="1"/>
  <c r="C48" i="68"/>
  <c r="S32" i="68"/>
  <c r="E149" i="32"/>
  <c r="J86" i="32"/>
  <c r="J143" i="32" s="1"/>
  <c r="J144" i="32" s="1"/>
  <c r="J149" i="32" s="1"/>
  <c r="J139" i="32"/>
  <c r="J141" i="32"/>
  <c r="J130" i="32"/>
  <c r="J132" i="32"/>
  <c r="K86" i="32"/>
  <c r="K77" i="32" s="1"/>
  <c r="K141" i="32"/>
  <c r="K139" i="32"/>
  <c r="K132" i="32"/>
  <c r="K130" i="32"/>
  <c r="K170" i="32"/>
  <c r="V53" i="68" s="1"/>
  <c r="K138" i="32"/>
  <c r="K158" i="32"/>
  <c r="K129" i="32"/>
  <c r="F77" i="32"/>
  <c r="E77" i="32"/>
  <c r="E115" i="32"/>
  <c r="F115" i="32"/>
  <c r="CZ40" i="71"/>
  <c r="CZ41" i="71"/>
  <c r="CY53" i="71" a="1"/>
  <c r="CY53" i="71" s="1"/>
  <c r="CZ53" i="71" s="1" a="1"/>
  <c r="CZ53" i="71" s="1"/>
  <c r="CY54" i="71" a="1"/>
  <c r="CY54" i="71" s="1"/>
  <c r="CZ54" i="71" s="1" a="1"/>
  <c r="CZ54" i="71" s="1"/>
  <c r="CZ34" i="71"/>
  <c r="CZ44" i="71"/>
  <c r="CZ35" i="71"/>
  <c r="CZ36" i="71"/>
  <c r="CZ39" i="71"/>
  <c r="CX53" i="71" a="1"/>
  <c r="CX53" i="71" s="1"/>
  <c r="CZ50" i="71"/>
  <c r="CZ49" i="71"/>
  <c r="CX32" i="71"/>
  <c r="CZ38" i="71"/>
  <c r="CZ45" i="71"/>
  <c r="CX54" i="71" a="1"/>
  <c r="CX54" i="71" s="1"/>
  <c r="CZ43" i="71"/>
  <c r="CX55" i="71" a="1"/>
  <c r="CX55" i="71" s="1"/>
  <c r="CZ48" i="71"/>
  <c r="CZ37" i="71"/>
  <c r="CZ47" i="71"/>
  <c r="CZ42" i="71"/>
  <c r="CZ46" i="71"/>
  <c r="E20" i="32"/>
  <c r="O20" i="68"/>
  <c r="O10" i="68"/>
  <c r="O19" i="68"/>
  <c r="DE8" i="71" a="1"/>
  <c r="DE8" i="71" s="1"/>
  <c r="DF8" i="71" s="1" a="1"/>
  <c r="DF8" i="71" s="1"/>
  <c r="C10" i="68"/>
  <c r="C20" i="68"/>
  <c r="C19" i="68"/>
  <c r="CY24" i="71"/>
  <c r="J77" i="32" l="1"/>
  <c r="J152" i="32" s="1"/>
  <c r="K143" i="32"/>
  <c r="K144" i="32" s="1"/>
  <c r="K149" i="32" s="1"/>
  <c r="F158" i="32"/>
  <c r="F170" i="32"/>
  <c r="F138" i="32"/>
  <c r="F129" i="32"/>
  <c r="E170" i="32"/>
  <c r="E138" i="32"/>
  <c r="E158" i="32"/>
  <c r="E169" i="32"/>
  <c r="E156" i="32"/>
  <c r="E153" i="32"/>
  <c r="E137" i="32"/>
  <c r="E152" i="32"/>
  <c r="E157" i="32"/>
  <c r="E125" i="32"/>
  <c r="E164" i="32"/>
  <c r="F153" i="32"/>
  <c r="F152" i="32"/>
  <c r="F157" i="32"/>
  <c r="F169" i="32"/>
  <c r="F156" i="32"/>
  <c r="F137" i="32"/>
  <c r="F128" i="32"/>
  <c r="K169" i="32"/>
  <c r="K153" i="32"/>
  <c r="K152" i="32"/>
  <c r="K137" i="32"/>
  <c r="K157" i="32"/>
  <c r="K156" i="32"/>
  <c r="K128" i="32"/>
  <c r="E2" i="32"/>
  <c r="F2" i="32"/>
  <c r="CZ32" i="71"/>
  <c r="O31" i="68"/>
  <c r="O32" i="68" s="1"/>
  <c r="O6" i="68"/>
  <c r="O7" i="68" s="1"/>
  <c r="O8" i="68" s="1"/>
  <c r="E40" i="32"/>
  <c r="C6" i="68"/>
  <c r="C31" i="68"/>
  <c r="C32" i="68" s="1"/>
  <c r="C7" i="68"/>
  <c r="C8" i="68" s="1"/>
  <c r="J156" i="32" l="1"/>
  <c r="J137" i="32"/>
  <c r="J157" i="32"/>
  <c r="J128" i="32"/>
  <c r="J153" i="32"/>
  <c r="J169" i="32"/>
  <c r="E126" i="32"/>
  <c r="E136" i="32"/>
  <c r="E132" i="32"/>
  <c r="E165" i="32"/>
  <c r="E135" i="32"/>
  <c r="E131" i="32"/>
  <c r="E130" i="32"/>
  <c r="CW6" i="71" a="1"/>
  <c r="CW6" i="71" s="1"/>
  <c r="CY5" i="71" s="1"/>
  <c r="CW25" i="71" a="1"/>
  <c r="CW25" i="71" s="1"/>
  <c r="CW8" i="71" a="1"/>
  <c r="CW8" i="71" s="1"/>
  <c r="E48" i="32"/>
  <c r="DA8" i="71" l="1" a="1"/>
  <c r="DA8" i="71" s="1"/>
  <c r="CY8" i="71" a="1"/>
  <c r="CY8" i="71" s="1"/>
  <c r="CZ8" i="71" a="1"/>
  <c r="CZ8" i="71" s="1"/>
  <c r="DB8" i="71" s="1"/>
  <c r="CX8" i="71"/>
  <c r="CZ25" i="71" a="1"/>
  <c r="CZ25" i="71" s="1"/>
  <c r="CX25" i="71" s="1" a="1"/>
  <c r="CX25" i="71" s="1"/>
  <c r="E50" i="32"/>
  <c r="E127" i="32" l="1"/>
  <c r="E166" i="32"/>
  <c r="E129" i="32"/>
  <c r="E128" i="32"/>
  <c r="CX12" i="71"/>
  <c r="CY25" i="71"/>
  <c r="CX11" i="71"/>
  <c r="DC8" i="71" a="1"/>
  <c r="DC8" i="71" s="1"/>
  <c r="DD8" i="71" a="1"/>
  <c r="DD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<sst xmlns="http://schemas.openxmlformats.org/spreadsheetml/2006/main" count="5563" uniqueCount="1260">
  <si>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</si>
  <si>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</si>
  <si>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</si>
  <si>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</si>
  <si>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</si>
  <si>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</si>
  <si>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</si>
  <si>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</si>
  <si>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</si>
  <si>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</si>
  <si>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</si>
  <si>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</si>
  <si>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</si>
  <si>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</si>
  <si>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</si>
  <si>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</si>
  <si>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</si>
  <si>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</si>
  <si>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</si>
  <si>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</si>
  <si>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</si>
  <si>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</si>
  <si>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</si>
  <si>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</si>
  <si>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</si>
  <si>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</si>
  <si>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</si>
  <si>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</si>
  <si>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</si>
  <si>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</si>
  <si>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</si>
  <si>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</si>
  <si>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</si>
  <si>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</si>
  <si>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</si>
  <si>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</si>
  <si>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</si>
  <si>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</si>
  <si>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</si>
  <si>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</si>
  <si>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</si>
  <si>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</si>
  <si>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</si>
  <si>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</si>
  <si>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</si>
  <si>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</si>
  <si>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</si>
  <si>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</si>
  <si>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</si>
  <si>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</si>
  <si>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</si>
  <si>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</si>
  <si>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</si>
  <si>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</si>
  <si>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</si>
  <si>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</si>
  <si>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</si>
  <si>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</si>
  <si>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</si>
  <si>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</si>
  <si>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</si>
  <si>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</si>
  <si>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</si>
  <si>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</si>
  <si>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</si>
  <si>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</si>
  <si>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</si>
  <si>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</si>
  <si>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</si>
  <si>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</si>
  <si>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</si>
  <si>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</si>
  <si>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</si>
  <si>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</si>
  <si>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</si>
  <si>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</si>
  <si>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</si>
  <si>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</si>
  <si>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</si>
  <si>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</si>
  <si>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</si>
  <si>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</si>
  <si>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</si>
  <si>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</si>
  <si>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</si>
  <si>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</si>
  <si>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</si>
  <si>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</si>
  <si>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</si>
  <si>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</si>
  <si>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</si>
  <si>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</si>
  <si>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</si>
  <si>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</si>
  <si>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</si>
  <si>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</si>
  <si>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</si>
  <si>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</si>
  <si>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</si>
  <si>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</si>
  <si>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</si>
  <si>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</si>
  <si>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</si>
  <si>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</si>
  <si>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</si>
  <si>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</si>
  <si>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</si>
  <si>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</si>
  <si>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</si>
  <si>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</si>
  <si>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</si>
  <si>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</si>
  <si>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</si>
  <si>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</si>
  <si>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</si>
  <si>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</si>
  <si>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</si>
  <si>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</si>
  <si>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</si>
  <si>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</si>
  <si>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</si>
  <si>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</si>
  <si>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</si>
  <si>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</si>
  <si>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</si>
  <si>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</si>
  <si>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</si>
  <si>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</si>
  <si>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</si>
  <si>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</si>
  <si>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</si>
  <si>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</si>
  <si>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</si>
  <si>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</si>
  <si>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</si>
  <si>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</si>
  <si>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</si>
  <si>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</si>
  <si>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</si>
  <si>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</si>
  <si>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</si>
  <si>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</si>
  <si>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</si>
  <si>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</si>
  <si>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</si>
  <si>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</si>
  <si>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</si>
  <si>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</si>
  <si>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</si>
  <si>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</si>
  <si>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</si>
  <si>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</si>
  <si>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</si>
  <si>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</si>
  <si>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</si>
  <si>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</si>
  <si>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</si>
  <si>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</si>
  <si>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</si>
  <si>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</si>
  <si>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</si>
  <si>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</si>
  <si>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</si>
  <si>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</si>
  <si>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</si>
  <si>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</si>
  <si>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</si>
  <si>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</si>
  <si>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</si>
  <si>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</si>
  <si>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</si>
  <si>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</si>
  <si>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</si>
  <si>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</si>
  <si>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</si>
  <si>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</si>
  <si>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</si>
  <si>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</si>
  <si>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</si>
  <si>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</si>
  <si>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</si>
  <si>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</si>
  <si>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</si>
  <si>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</si>
  <si>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</si>
  <si>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</si>
  <si>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</si>
  <si>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</si>
  <si>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</si>
  <si>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</si>
  <si>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</si>
  <si>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</si>
  <si>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</si>
  <si>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</si>
  <si>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</si>
  <si>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</si>
  <si>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</si>
  <si>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</si>
  <si>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</si>
  <si>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</si>
  <si>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</si>
  <si>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</si>
  <si>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</si>
  <si>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</si>
  <si>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</si>
  <si>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</si>
  <si>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</si>
  <si>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</si>
  <si>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</si>
  <si>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</si>
  <si>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</si>
  <si>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</si>
  <si>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</si>
  <si>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</si>
  <si>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</si>
  <si>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</si>
  <si>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</si>
  <si>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</si>
  <si>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</si>
  <si>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</si>
  <si>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</si>
  <si>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</si>
  <si>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</si>
  <si>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</si>
  <si>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</si>
  <si>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</si>
  <si>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</si>
  <si>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</si>
  <si>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</si>
  <si>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</si>
  <si>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</si>
  <si>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</si>
  <si>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</si>
  <si>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</si>
  <si>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</si>
  <si>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</si>
  <si>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</si>
  <si>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</si>
  <si>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</si>
  <si>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</si>
  <si>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</si>
  <si>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</si>
  <si>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</si>
  <si>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</si>
  <si>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</si>
  <si>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</si>
  <si>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</si>
  <si>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</si>
  <si>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</si>
  <si>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</si>
  <si>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</si>
  <si>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</si>
  <si>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</si>
  <si>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</si>
  <si>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</si>
  <si>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</si>
  <si>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</si>
  <si>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</si>
  <si>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</si>
  <si>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</si>
  <si>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</si>
  <si>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</si>
  <si>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</si>
  <si>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</si>
  <si>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</si>
  <si>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</si>
  <si>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</si>
  <si>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</si>
  <si>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</si>
  <si>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</si>
  <si>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</si>
  <si>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</si>
  <si>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</si>
  <si>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</si>
  <si>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</si>
  <si>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</si>
  <si>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</si>
  <si>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</si>
  <si>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</si>
  <si>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</si>
  <si>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</si>
  <si>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</si>
  <si>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</si>
  <si>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</si>
  <si>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</si>
  <si>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</si>
  <si>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</si>
  <si>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</si>
  <si>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</si>
  <si>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</si>
  <si>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</si>
  <si>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</si>
  <si>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</si>
  <si>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</si>
  <si>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</si>
  <si>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</si>
  <si>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</si>
  <si>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</si>
  <si>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</si>
  <si>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</si>
  <si>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</si>
  <si>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</si>
  <si>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</si>
  <si>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</si>
  <si>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</si>
  <si>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</si>
  <si>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</si>
  <si>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</si>
  <si>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</si>
  <si>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</si>
  <si>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</si>
  <si>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</si>
  <si>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</si>
  <si>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</si>
  <si>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</si>
  <si>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</si>
  <si>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</si>
  <si>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</si>
  <si>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</si>
  <si>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</si>
  <si>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</si>
  <si>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</si>
  <si>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</si>
  <si>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</si>
  <si>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</si>
  <si>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</si>
  <si>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doanh thu</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</si>
  <si>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</si>
  <si>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</si>
  <si>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</si>
  <si>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</si>
  <si>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</si>
  <si>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</si>
  <si>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</si>
  <si>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</si>
  <si>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</si>
  <si>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</si>
  <si>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</si>
  <si>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</si>
  <si>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</si>
  <si>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</si>
  <si>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</si>
  <si>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</si>
  <si>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</si>
  <si>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</si>
  <si>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</si>
  <si>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</si>
  <si>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</si>
  <si>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</si>
  <si>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</si>
  <si>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</si>
  <si>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</si>
  <si>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</si>
  <si>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</si>
  <si>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</si>
  <si>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</si>
  <si>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</si>
  <si>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</si>
  <si>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</si>
  <si>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</si>
  <si>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</si>
  <si>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</si>
  <si>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</si>
  <si>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</si>
  <si>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</si>
  <si>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</si>
  <si>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</si>
  <si>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</si>
  <si>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</si>
  <si>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</si>
  <si>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</si>
  <si>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</si>
  <si>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</si>
  <si>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</si>
  <si>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</si>
  <si>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</si>
  <si>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</si>
  <si>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</si>
  <si>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</si>
  <si>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</si>
  <si>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</si>
  <si>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</si>
  <si>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</si>
  <si>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</si>
  <si>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</si>
  <si>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</si>
  <si>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</si>
  <si>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</si>
  <si>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</si>
  <si>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</si>
  <si>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</si>
  <si>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</si>
  <si>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</si>
  <si>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</si>
  <si>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</si>
  <si>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</si>
  <si>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</si>
  <si>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</si>
  <si>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</si>
  <si>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</si>
  <si>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</si>
  <si>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</si>
  <si>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</si>
  <si>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</si>
  <si>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</si>
  <si>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</si>
  <si>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</si>
  <si>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</si>
  <si>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</si>
  <si>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</si>
  <si>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</si>
  <si>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</si>
  <si>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</si>
  <si>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</si>
  <si>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</si>
  <si>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</si>
  <si>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</si>
  <si>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</si>
  <si>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</si>
  <si>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</si>
  <si>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</si>
  <si>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</si>
  <si>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</si>
  <si>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</si>
  <si>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</si>
  <si>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</si>
  <si>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</si>
  <si>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</si>
  <si>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</si>
  <si>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</si>
  <si>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</si>
  <si>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</si>
  <si>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</si>
  <si>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</si>
  <si>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</si>
  <si>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</si>
  <si>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</si>
  <si>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</si>
  <si>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</si>
  <si>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</si>
  <si>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</si>
  <si>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</si>
  <si>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</si>
  <si>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</si>
  <si>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</si>
  <si>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</si>
  <si>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</si>
  <si>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</si>
  <si>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</si>
  <si>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</si>
  <si>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</si>
  <si>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</si>
  <si>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</si>
  <si>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</si>
  <si>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</si>
  <si>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</si>
  <si>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</si>
  <si>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</si>
  <si>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</si>
  <si>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</si>
  <si>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</si>
  <si>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</si>
  <si>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</si>
  <si>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</si>
  <si>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</si>
  <si>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</si>
  <si>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</si>
  <si>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</si>
  <si>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</si>
  <si>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</si>
  <si>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</si>
  <si>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</si>
  <si>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</si>
  <si>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</si>
  <si>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</si>
  <si>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</si>
  <si>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</si>
  <si>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</si>
  <si>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</si>
  <si>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</si>
  <si>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</si>
  <si>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</si>
  <si>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</si>
  <si>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</si>
  <si>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</si>
  <si>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</si>
  <si>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</si>
  <si>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</si>
  <si>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</si>
  <si>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</si>
  <si>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</si>
  <si>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</si>
  <si>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</si>
  <si>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</si>
  <si>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</si>
  <si>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</si>
  <si>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</si>
  <si>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</si>
  <si>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</si>
  <si>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</si>
  <si>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</si>
  <si>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</si>
  <si>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</si>
  <si>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</si>
  <si>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</si>
  <si>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</si>
  <si>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</si>
  <si>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</si>
  <si>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</si>
  <si>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</si>
  <si>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</si>
  <si>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</si>
  <si>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</si>
  <si>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</si>
  <si>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</si>
  <si>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</si>
  <si>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</si>
  <si>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</si>
  <si>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</si>
  <si>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</si>
  <si>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</si>
  <si>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</si>
  <si>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</si>
  <si>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</si>
  <si>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</si>
  <si>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</si>
  <si>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</si>
  <si>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</si>
  <si>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</si>
  <si>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</si>
  <si>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</si>
  <si>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</si>
  <si>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</si>
  <si>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</si>
  <si>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</si>
  <si>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</si>
  <si>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</si>
  <si>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</si>
  <si>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</si>
  <si>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</si>
  <si>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</si>
  <si>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</si>
  <si>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</si>
  <si>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</si>
  <si>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</si>
  <si>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</si>
  <si>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</si>
  <si>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</si>
  <si>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</si>
  <si>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</si>
  <si>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</si>
  <si>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</si>
  <si>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</si>
  <si>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</si>
  <si>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</si>
  <si>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</si>
  <si>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</si>
  <si>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</si>
  <si>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</si>
  <si>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</si>
  <si>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</si>
  <si>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</si>
  <si>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</si>
  <si>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</si>
  <si>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</si>
  <si>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</si>
  <si>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</si>
  <si>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</si>
  <si>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</si>
  <si>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</si>
  <si>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</si>
  <si>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</si>
  <si>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</si>
  <si>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</si>
  <si>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</si>
  <si>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</si>
  <si>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</si>
  <si>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</si>
  <si>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</si>
  <si>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</si>
  <si>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</si>
  <si>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</si>
  <si>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</si>
  <si>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</si>
  <si>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</si>
  <si>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</si>
  <si>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</si>
  <si>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</si>
  <si>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</si>
  <si>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</si>
  <si>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</si>
  <si>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</si>
  <si>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</si>
  <si>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</si>
  <si>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</si>
  <si>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</si>
  <si>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</si>
  <si>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</si>
  <si>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</si>
  <si>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</si>
  <si>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</si>
  <si>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</si>
  <si>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</si>
  <si>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</si>
  <si>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</si>
  <si>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</si>
  <si>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</si>
  <si>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</si>
  <si>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</si>
  <si>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</si>
  <si>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</si>
  <si>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</si>
  <si>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</si>
  <si>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</si>
  <si>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</si>
  <si>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</si>
  <si>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</si>
  <si>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</si>
  <si>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</si>
  <si>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</si>
  <si>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</si>
  <si>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</si>
  <si>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</si>
  <si>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</si>
  <si>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</si>
  <si>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</si>
  <si>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</si>
  <si>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</si>
  <si>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</si>
  <si>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</si>
  <si>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</si>
  <si>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</si>
  <si>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</si>
  <si>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</si>
  <si>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</si>
  <si>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</si>
  <si>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</si>
  <si>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</si>
  <si>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</si>
  <si>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</si>
  <si>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</si>
  <si>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</si>
  <si>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</si>
  <si>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</si>
  <si>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</si>
  <si>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</si>
  <si>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</si>
  <si>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</si>
  <si>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</si>
  <si>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</si>
  <si>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</si>
  <si>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</si>
  <si>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</si>
  <si>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</si>
  <si>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</si>
  <si>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</si>
  <si>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</si>
  <si>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</si>
  <si>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</si>
  <si>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</si>
  <si>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</si>
  <si>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</si>
  <si>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</si>
  <si>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</si>
  <si>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</si>
  <si>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</si>
  <si>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</si>
  <si>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</si>
  <si>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</si>
  <si>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</si>
  <si>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</si>
  <si>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</si>
  <si>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</si>
  <si>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</si>
  <si>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</si>
  <si>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</si>
  <si>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</si>
  <si>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</si>
  <si>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</si>
  <si>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</si>
  <si>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</si>
  <si>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</si>
  <si>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</si>
  <si>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</si>
  <si>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</si>
  <si>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</si>
  <si>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</si>
  <si>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</si>
  <si>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</si>
  <si>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</si>
  <si>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</si>
  <si>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</si>
  <si>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</si>
  <si>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</si>
  <si>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</si>
  <si>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</si>
  <si>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</si>
  <si>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</si>
  <si>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</si>
  <si>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</si>
  <si>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</si>
  <si>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</si>
  <si>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</si>
  <si>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</si>
  <si>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</si>
  <si>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</si>
  <si>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</si>
  <si>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</si>
  <si>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</si>
  <si>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</si>
  <si>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</si>
  <si>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</si>
  <si>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</si>
  <si>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</si>
  <si>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</si>
  <si>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</si>
  <si>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</si>
  <si>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</si>
  <si>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</si>
  <si>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</si>
  <si>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</si>
  <si>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</si>
  <si>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</si>
  <si>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</si>
  <si>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</si>
  <si>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</si>
  <si>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</si>
  <si>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</si>
  <si>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</si>
  <si>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</si>
  <si>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</si>
  <si>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</si>
  <si>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</si>
  <si>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</si>
  <si>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</si>
  <si>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</si>
  <si>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</si>
  <si>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</si>
  <si>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</si>
  <si>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</si>
  <si>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</si>
  <si>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</si>
  <si>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</si>
  <si>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</si>
  <si>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</si>
  <si>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</si>
  <si>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</si>
  <si>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</si>
  <si>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</si>
  <si>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</si>
  <si>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</si>
  <si>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</si>
  <si>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</si>
  <si>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</si>
  <si>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</si>
  <si>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</si>
  <si>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</si>
  <si>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</si>
  <si>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</si>
  <si>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</si>
  <si>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</si>
  <si>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Tỷ lệ phân bổ</t>
  </si>
  <si>
    <t>Nhóm vendor</t>
  </si>
  <si>
    <t>Vendor</t>
  </si>
  <si>
    <t>Tỷ suất VAT kháu trừ</t>
  </si>
  <si>
    <t>Bán hàng</t>
  </si>
  <si>
    <t>Văn phòng</t>
  </si>
  <si>
    <t>Chi phí tiện ích - Năng lượng</t>
  </si>
  <si>
    <t>Chưa phân bổ</t>
  </si>
  <si>
    <t>Chi phí tiện ích - Cấp thoát nước</t>
  </si>
  <si>
    <t>Chi phí tiện ích - Môi trường</t>
  </si>
  <si>
    <t>Chi phí tiện ích - Nhiên liệu</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</si>
  <si>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</si>
  <si>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</si>
  <si>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</si>
  <si>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</si>
  <si>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</si>
  <si>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</si>
  <si>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</si>
  <si>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</si>
  <si>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</si>
  <si>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</si>
  <si>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</si>
  <si>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</si>
  <si>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</si>
  <si>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</si>
  <si>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</si>
  <si>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</si>
  <si>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</si>
  <si>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</si>
  <si>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</si>
  <si>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</si>
  <si>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</si>
  <si>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</si>
  <si>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</si>
  <si>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</si>
  <si>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</si>
  <si>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</si>
  <si>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</si>
  <si>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</si>
  <si>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</si>
  <si>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</si>
  <si>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</si>
  <si>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</si>
  <si>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</si>
  <si>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</si>
  <si>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</si>
  <si>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</si>
  <si>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</si>
  <si>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</si>
  <si>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</si>
  <si>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</si>
  <si>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</si>
  <si>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</si>
  <si>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</si>
  <si>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</si>
  <si>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</si>
  <si>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</si>
  <si>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</si>
  <si>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</si>
  <si>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</si>
  <si>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</si>
  <si>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</si>
  <si>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</si>
  <si>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</si>
  <si>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</si>
  <si>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</si>
  <si>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</si>
  <si>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</si>
  <si>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</si>
  <si>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</si>
  <si>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</si>
  <si>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</si>
  <si>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</si>
  <si>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</si>
  <si>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</si>
  <si>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</si>
  <si>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</si>
  <si>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</si>
  <si>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</si>
  <si>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</si>
  <si>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</si>
  <si>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</si>
  <si>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</si>
  <si>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</si>
  <si>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</si>
  <si>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</si>
  <si>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</si>
  <si>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</si>
  <si>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</si>
  <si>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</si>
  <si>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Máy móc - Thiết bị</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</si>
  <si>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</si>
  <si>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</si>
  <si>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</si>
  <si>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</si>
  <si>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</si>
  <si>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</si>
  <si>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</si>
  <si>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</si>
  <si>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</si>
  <si>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</si>
  <si>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</si>
  <si>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</si>
  <si>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</si>
  <si>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</si>
  <si>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</si>
  <si>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</si>
  <si>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</si>
  <si>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</si>
  <si>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</si>
  <si>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</si>
  <si>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</si>
  <si>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</si>
  <si>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</si>
  <si>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</si>
  <si>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</si>
  <si>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</si>
  <si>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</si>
  <si>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</si>
  <si>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</si>
  <si>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</si>
  <si>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Phường</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</si>
  <si>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</si>
  <si>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</si>
  <si>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</si>
  <si>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</si>
  <si>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</si>
  <si>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</si>
  <si>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</si>
  <si>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</si>
  <si>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</si>
  <si>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</si>
  <si>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</si>
  <si>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</si>
  <si>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</si>
  <si>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</si>
  <si>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</si>
  <si>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</si>
  <si>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</si>
  <si>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</si>
  <si>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</si>
  <si>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</si>
  <si>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</si>
  <si>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</si>
  <si>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</si>
  <si>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</si>
  <si>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</si>
  <si>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</si>
  <si>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</si>
  <si>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</si>
  <si>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</si>
  <si>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</si>
  <si>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</si>
  <si>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</si>
  <si>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</si>
  <si>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</si>
  <si>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</si>
  <si>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</si>
  <si>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</si>
  <si>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</si>
  <si>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</si>
  <si>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</si>
  <si>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</si>
  <si>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</si>
  <si>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</si>
  <si>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</si>
  <si>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</si>
  <si>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</si>
  <si>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</si>
  <si>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</si>
  <si>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</si>
  <si>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</si>
  <si>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</si>
  <si>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</si>
  <si>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</si>
  <si>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</si>
  <si>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</si>
  <si>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</si>
  <si>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</si>
  <si>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</si>
  <si>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</si>
  <si>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</si>
  <si>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</si>
  <si>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</si>
  <si>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</si>
  <si>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</si>
  <si>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</si>
  <si>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</si>
  <si>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</si>
  <si>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</si>
  <si>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</si>
  <si>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</si>
  <si>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</si>
  <si>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</si>
  <si>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</si>
  <si>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</si>
  <si>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</si>
  <si>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</si>
  <si>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</si>
  <si>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</si>
  <si>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</si>
  <si>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</si>
  <si>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</si>
  <si>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</si>
  <si>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</si>
  <si>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</si>
  <si>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</si>
  <si>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</si>
  <si>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</si>
  <si>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</si>
  <si>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</si>
  <si>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</si>
  <si>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</si>
  <si>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</si>
  <si>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</si>
  <si>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</si>
  <si>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</si>
  <si>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</si>
  <si>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</si>
  <si>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</si>
  <si>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</si>
  <si>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</si>
  <si>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</si>
  <si>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</si>
  <si>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</si>
  <si>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</si>
  <si>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</si>
  <si>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</si>
  <si>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</si>
  <si>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</si>
  <si>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</si>
  <si>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</si>
  <si>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</si>
  <si>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</si>
  <si>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</si>
  <si>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</si>
  <si>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</si>
  <si>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</si>
  <si>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</si>
  <si>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</si>
  <si>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</si>
  <si>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</si>
  <si>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</si>
  <si>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</si>
  <si>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</si>
  <si>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</si>
  <si>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</si>
  <si>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</si>
  <si>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</si>
  <si>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</si>
  <si>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</si>
  <si>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</si>
  <si>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</si>
  <si>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</si>
  <si>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</si>
  <si>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</si>
  <si>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</si>
  <si>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</si>
  <si>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</si>
  <si>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</si>
  <si>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</si>
  <si>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</si>
  <si>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</si>
  <si>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</si>
  <si>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</si>
  <si>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</si>
  <si>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</si>
  <si>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</si>
  <si>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</si>
  <si>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</si>
  <si>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</si>
  <si>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</si>
  <si>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</si>
  <si>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</si>
  <si>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</si>
  <si>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</si>
  <si>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</si>
  <si>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</si>
  <si>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</si>
  <si>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</si>
  <si>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</si>
  <si>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</si>
  <si>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</si>
  <si>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</si>
  <si>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</si>
  <si>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</si>
  <si>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</si>
  <si>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</si>
  <si>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</si>
  <si>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</si>
  <si>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</si>
  <si>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</si>
  <si>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</si>
  <si>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</si>
  <si>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</si>
  <si>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</si>
  <si>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</si>
  <si>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</si>
  <si>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</si>
  <si>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</si>
  <si>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</si>
  <si>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</si>
  <si>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</si>
  <si>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</si>
  <si>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</si>
  <si>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</si>
  <si>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</si>
  <si>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</si>
  <si>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</si>
  <si>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</si>
  <si>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</si>
  <si>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</si>
  <si>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</si>
  <si>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</si>
  <si>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</si>
  <si>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</si>
  <si>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</si>
  <si>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</si>
  <si>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</si>
  <si>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</si>
  <si>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</si>
  <si>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</si>
  <si>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</si>
  <si>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</si>
  <si>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</si>
  <si>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</si>
  <si>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</si>
  <si>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</si>
  <si>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</si>
  <si>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</si>
  <si>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</si>
  <si>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</si>
  <si>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</si>
  <si>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</si>
  <si>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</si>
  <si>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</si>
  <si>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</si>
  <si>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</si>
  <si>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</si>
  <si>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</si>
  <si>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</si>
  <si>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</si>
  <si>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</si>
  <si>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</si>
  <si>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</si>
  <si>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</si>
  <si>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</si>
  <si>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</si>
  <si>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</si>
  <si>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</si>
  <si>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</si>
  <si>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</si>
  <si>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</si>
  <si>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</si>
  <si>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</si>
  <si>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</si>
  <si>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</si>
  <si>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</si>
  <si>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</si>
  <si>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</si>
  <si>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</si>
  <si>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</si>
  <si>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</si>
  <si>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</si>
  <si>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</si>
  <si>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</si>
  <si>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</si>
  <si>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</si>
  <si>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</si>
  <si>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</si>
  <si>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</si>
  <si>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</si>
  <si>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</si>
  <si>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</si>
  <si>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</si>
  <si>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</si>
  <si>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</si>
  <si>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</si>
  <si>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</si>
  <si>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</si>
  <si>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</si>
  <si>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</si>
  <si>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</si>
  <si>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</si>
  <si>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</si>
  <si>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</si>
  <si>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</si>
  <si>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</si>
  <si>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</si>
  <si>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</si>
  <si>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</si>
  <si>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</si>
  <si>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</si>
  <si>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</si>
  <si>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</si>
  <si>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</si>
  <si>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</si>
  <si>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</si>
  <si>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</si>
  <si>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</si>
  <si>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</si>
  <si>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</si>
  <si>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</si>
  <si>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</si>
  <si>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</si>
  <si>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</si>
  <si>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</si>
  <si>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</si>
  <si>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</si>
  <si>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</si>
  <si>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</si>
  <si>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</si>
  <si>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</si>
  <si>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</si>
  <si>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</si>
  <si>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</si>
  <si>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</si>
  <si>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</si>
  <si>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</si>
  <si>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</si>
  <si>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</si>
  <si>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</si>
  <si>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</si>
  <si>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</si>
  <si>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</si>
  <si>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</si>
  <si>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</si>
  <si>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</si>
  <si>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</si>
  <si>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</si>
  <si>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</si>
  <si>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</si>
  <si>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</si>
  <si>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</si>
  <si>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</si>
  <si>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</si>
  <si>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</si>
  <si>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</si>
  <si>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</si>
  <si>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</si>
  <si>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</si>
  <si>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</si>
  <si>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</si>
  <si>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</si>
  <si>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</si>
  <si>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</si>
  <si>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</si>
  <si>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</si>
  <si>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</si>
  <si>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</si>
  <si>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</si>
  <si>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</si>
  <si>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</si>
  <si>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</si>
  <si>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</si>
  <si>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</si>
  <si>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</si>
  <si>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</si>
  <si>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</si>
  <si>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</si>
  <si>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</si>
  <si>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</si>
  <si>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</si>
  <si>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</si>
  <si>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</si>
  <si>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</si>
  <si>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</si>
  <si>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</si>
  <si>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</si>
  <si>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</si>
  <si>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</si>
  <si>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</si>
  <si>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</si>
  <si>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</si>
  <si>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</si>
  <si>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</si>
  <si>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</si>
  <si>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</si>
  <si>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</si>
  <si>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</si>
  <si>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</si>
  <si>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</si>
  <si>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</si>
  <si>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</si>
  <si>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</si>
  <si>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</si>
  <si>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</si>
  <si>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</si>
  <si>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</si>
  <si>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</si>
  <si>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</si>
  <si>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</si>
  <si>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</si>
  <si>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</si>
  <si>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</si>
  <si>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</si>
  <si>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Quan tri tong the</t>
  </si>
  <si>
    <t>4C68A711-89BE-412A-BD2D-CB33771CC62D</t>
  </si>
  <si>
    <t>EASY-33329183463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</si>
</sst>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6">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4" fillId="0" borderId="16" xfId="1" applyNumberFormat="1" applyFont="1" applyFill="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0" fontId="17" fillId="0" borderId="0" xfId="1" applyNumberFormat="1" applyFont="1" applyAlignment="1" applyProtection="1">
      <alignment vertical="center" wrapText="1"/>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5" borderId="0" xfId="0"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1" fillId="0" borderId="16" xfId="2" applyFont="1" applyBorder="1" applyAlignment="1" applyProtection="1">
      <alignmen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6" fontId="17" fillId="0" borderId="12" xfId="0" applyNumberFormat="1" applyFont="1" applyBorder="1" applyAlignment="1" applyProtection="1">
      <alignment vertical="center"/>
      <protection locked="0" hidden="1"/>
    </xf>
    <xf numFmtId="0" fontId="11" fillId="0" borderId="12" xfId="0" applyFont="1" applyBorder="1" applyAlignment="1" applyProtection="1">
      <alignment vertical="center"/>
      <protection locked="0" hidden="1"/>
    </xf>
    <xf numFmtId="9" fontId="11" fillId="0" borderId="0" xfId="2" applyFont="1" applyFill="1" applyBorder="1" applyAlignment="1" applyProtection="1">
      <alignmen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164" fontId="11" fillId="0" borderId="0" xfId="2" applyNumberFormat="1" applyFont="1" applyAlignment="1" applyProtection="1">
      <alignment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8">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6" formatCode="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top style="thin">
          <color theme="5" tint="0.39997558519241921"/>
        </top>
        <bottom style="thin">
          <color theme="5" tint="0.39997558519241921"/>
        </bottom>
      </border>
    </dxf>
    <dxf>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7"/>
      <tableStyleElement type="headerRow" dxfId="2256"/>
    </tableStyle>
    <tableStyle name="SlicerStyleLight1 2 2" pivot="0" table="0" count="10" xr9:uid="{9DB8D611-4D15-4128-AF8D-E3329BCC5BCE}">
      <tableStyleElement type="wholeTable" dxfId="2255"/>
      <tableStyleElement type="headerRow" dxfId="2254"/>
    </tableStyle>
    <tableStyle name="TimeSlicerStyleLight1 2" pivot="0" table="0" count="9" xr9:uid="{58382D9D-B456-41C4-B229-09D2A872184E}">
      <tableStyleElement type="wholeTable" dxfId="2253"/>
      <tableStyleElement type="headerRow" dxfId="225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6A110588-41C1-457B-B6BA-7447358B43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8450848C-7EF5-406F-B39F-CA76CF37C70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9D4-4604-8EF4-D8C410ED02D1}"/>
                </c:ext>
              </c:extLst>
            </c:dLbl>
            <c:dLbl>
              <c:idx val="2"/>
              <c:tx>
                <c:rich>
                  <a:bodyPr/>
                  <a:lstStyle/>
                  <a:p>
                    <a:fld id="{5FD0494B-0EA9-41DB-B5B4-538A979C7272}"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9D4-4604-8EF4-D8C410ED02D1}"/>
                </c:ext>
              </c:extLst>
            </c:dLbl>
            <c:dLbl>
              <c:idx val="3"/>
              <c:tx>
                <c:rich>
                  <a:bodyPr/>
                  <a:lstStyle/>
                  <a:p>
                    <a:fld id="{176FAF47-02BE-4154-9E78-72A6FC7EABBC}"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4-4604-8EF4-D8C410ED02D1}"/>
                </c:ext>
              </c:extLst>
            </c:dLbl>
            <c:dLbl>
              <c:idx val="4"/>
              <c:tx>
                <c:rich>
                  <a:bodyPr/>
                  <a:lstStyle/>
                  <a:p>
                    <a:fld id="{CEF52216-9FF7-4E30-A16C-CEE50B9E1DC1}"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4-4604-8EF4-D8C410ED02D1}"/>
                </c:ext>
              </c:extLst>
            </c:dLbl>
            <c:dLbl>
              <c:idx val="5"/>
              <c:tx>
                <c:rich>
                  <a:bodyPr/>
                  <a:lstStyle/>
                  <a:p>
                    <a:fld id="{906DC710-4107-461E-8688-360E25B1BEDC}"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4-4604-8EF4-D8C410ED02D1}"/>
                </c:ext>
              </c:extLst>
            </c:dLbl>
            <c:dLbl>
              <c:idx val="6"/>
              <c:tx>
                <c:rich>
                  <a:bodyPr/>
                  <a:lstStyle/>
                  <a:p>
                    <a:fld id="{B29A2082-E819-4586-98E8-CAA9939229A2}"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4-4604-8EF4-D8C410ED02D1}"/>
                </c:ext>
              </c:extLst>
            </c:dLbl>
            <c:dLbl>
              <c:idx val="7"/>
              <c:tx>
                <c:rich>
                  <a:bodyPr/>
                  <a:lstStyle/>
                  <a:p>
                    <a:fld id="{6ABBA40F-3622-4842-9622-219DFEAF854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4-4604-8EF4-D8C410ED02D1}"/>
                </c:ext>
              </c:extLst>
            </c:dLbl>
            <c:dLbl>
              <c:idx val="8"/>
              <c:tx>
                <c:rich>
                  <a:bodyPr/>
                  <a:lstStyle/>
                  <a:p>
                    <a:fld id="{6309FF85-CC67-41FA-AD81-15B04F36EA4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4-4604-8EF4-D8C410ED02D1}"/>
                </c:ext>
              </c:extLst>
            </c:dLbl>
            <c:dLbl>
              <c:idx val="9"/>
              <c:tx>
                <c:rich>
                  <a:bodyPr/>
                  <a:lstStyle/>
                  <a:p>
                    <a:fld id="{6060BD8B-3CD5-4138-8444-B88A9DAF6FE2}"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E9D4-4604-8EF4-D8C410ED02D1}"/>
                </c:ext>
              </c:extLst>
            </c:dLbl>
            <c:dLbl>
              <c:idx val="10"/>
              <c:tx>
                <c:rich>
                  <a:bodyPr/>
                  <a:lstStyle/>
                  <a:p>
                    <a:fld id="{6DB5EC43-4A8A-4B28-BA1A-E1FE835F22BB}"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E9D4-4604-8EF4-D8C410ED02D1}"/>
                </c:ext>
              </c:extLst>
            </c:dLbl>
            <c:dLbl>
              <c:idx val="11"/>
              <c:tx>
                <c:rich>
                  <a:bodyPr/>
                  <a:lstStyle/>
                  <a:p>
                    <a:fld id="{4366D265-4AC1-4F1F-BFDC-EBC62D653D61}"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3C0D89DA-04BF-4AC5-BDA7-2B52AC14F897}" type="CELLRANGE">
                      <a:rPr lang="en-US" baseline="0"/>
                      <a:pPr/>
                      <a:t>[CELLRANGE]</a:t>
                    </a:fld>
                    <a:r>
                      <a:rPr lang="en-US" baseline="0"/>
                      <a:t>; </a:t>
                    </a:r>
                    <a:fld id="{1C991209-50B9-40AA-B89D-D50D6476DDEA}" type="CATEGORYNAME">
                      <a:rPr lang="en-US" baseline="0"/>
                      <a:pPr/>
                      <a:t>[CATEGORY NAME]</a:t>
                    </a:fld>
                    <a:r>
                      <a:rPr lang="en-US" baseline="0"/>
                      <a:t>; </a:t>
                    </a:r>
                    <a:fld id="{0AAC652D-6FDB-4AAB-AE80-12F2A299B34B}"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8A144D27-8531-4966-8F8A-92AF5AD5C4CC}" type="CELLRANGE">
                      <a:rPr lang="vi-VN"/>
                      <a:pPr/>
                      <a:t>[CELLRANGE]</a:t>
                    </a:fld>
                    <a:r>
                      <a:rPr lang="vi-VN" baseline="0"/>
                      <a:t>; </a:t>
                    </a:r>
                    <a:fld id="{A5B92B3A-1CBA-451B-98CF-0D6CFD05B4AE}" type="CATEGORYNAME">
                      <a:rPr lang="vi-VN" baseline="0"/>
                      <a:pPr/>
                      <a:t>[CATEGORY NAME]</a:t>
                    </a:fld>
                    <a:r>
                      <a:rPr lang="vi-VN" baseline="0"/>
                      <a:t>; </a:t>
                    </a:r>
                    <a:fld id="{243CF44B-C09F-4D39-A5E1-9067EFED1EF2}" type="PERCENTAGE">
                      <a:rPr lang="vi-VN" baseline="0"/>
                      <a:pPr/>
                      <a:t>[PERCENTAGE]</a:t>
                    </a:fld>
                    <a:endParaRPr lang="vi-VN"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FA91B770-07F6-4B35-81F7-C4CB0F7F9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D51E9F6A-EFC6-488C-8E42-B9EEB01CF064}"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1EF4D830-8BAC-456C-A58A-26B35A1B31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B44281BC-E735-420C-982D-788670FA5B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8F4BE5A7-67B4-46B2-A572-9B870C896E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66E925F2-EA39-4222-B760-47EE978044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3ACB9F2C-C18D-4DA7-9FE5-6DAF19FCD6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241AE239-A487-41EA-B085-B2A80EF00A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8FBB86D6-B562-46D5-88C7-55A2844EA6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24DC7907-BF1C-43A1-ABFF-D0CBCC877B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66DC046A-4A9E-4131-A840-D5342E6795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D00C4B6A-4D72-4478-86FE-48632A268F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4EFBC92F-D77E-4EAE-9A11-ADA0BC132A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72D69363-A7F5-450F-B714-FC8A700AD2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6473F138-0260-4BB4-B720-1C91508844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D79D72DD-8244-4B1D-8D18-DE21DF8360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E047F87E-1BA5-40D6-A932-9DBF2AB21F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2145FEF8-73CC-407C-9C5B-F44E1F7ADA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767CF5CB-4C8C-4DCE-A05E-F11E2F4F1F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694B65CD-EFB6-4C63-A861-5A27BE5BD5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76235115-FA5A-4246-8E32-E2FE480691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320E247B-25BD-4779-BE82-BF751F7BB8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0FD66214-6C5C-49D3-85A6-2AEF928F6E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783499BB-848C-45E6-94D0-5D65F04DDB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75F19384-A8A6-45FF-BE65-6C4654E6C3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90BFDDC2-8EA7-4C66-B2AE-EF98D185E5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vi-VN"/>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8852E84F-B0E4-48B0-85E0-0EEA8A49D8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6373C7CF-7C90-47A7-A0A6-F658912BAC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9DA36337-1BBF-429A-8144-961B3286BA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0F2E09CC-9642-46D0-AE33-CFD5516535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1C39C91B-DA0D-45FA-A4EB-B4F5B94D050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E-400D-9BDB-C2C912AC3EA6}"/>
                </c:ext>
              </c:extLst>
            </c:dLbl>
            <c:dLbl>
              <c:idx val="5"/>
              <c:tx>
                <c:rich>
                  <a:bodyPr/>
                  <a:lstStyle/>
                  <a:p>
                    <a:fld id="{231ADCDC-7BEF-4F4B-B64C-05311FC3518E}"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E-400D-9BDB-C2C912AC3EA6}"/>
                </c:ext>
              </c:extLst>
            </c:dLbl>
            <c:dLbl>
              <c:idx val="6"/>
              <c:tx>
                <c:rich>
                  <a:bodyPr/>
                  <a:lstStyle/>
                  <a:p>
                    <a:fld id="{9EB15866-3E85-49FD-A6BC-6F06E68BE17C}"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E-400D-9BDB-C2C912AC3EA6}"/>
                </c:ext>
              </c:extLst>
            </c:dLbl>
            <c:dLbl>
              <c:idx val="7"/>
              <c:tx>
                <c:rich>
                  <a:bodyPr/>
                  <a:lstStyle/>
                  <a:p>
                    <a:fld id="{3B2484C9-A9DD-44B8-8D0A-D6258024E1B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E-400D-9BDB-C2C912AC3EA6}"/>
                </c:ext>
              </c:extLst>
            </c:dLbl>
            <c:dLbl>
              <c:idx val="8"/>
              <c:tx>
                <c:rich>
                  <a:bodyPr/>
                  <a:lstStyle/>
                  <a:p>
                    <a:fld id="{8ABFC941-DCCE-49AB-A6F4-8166E936537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E-400D-9BDB-C2C912AC3EA6}"/>
                </c:ext>
              </c:extLst>
            </c:dLbl>
            <c:dLbl>
              <c:idx val="9"/>
              <c:tx>
                <c:rich>
                  <a:bodyPr/>
                  <a:lstStyle/>
                  <a:p>
                    <a:fld id="{25792107-29A0-4FDB-805E-E2F44C30C5BE}"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E-400D-9BDB-C2C912AC3EA6}"/>
                </c:ext>
              </c:extLst>
            </c:dLbl>
            <c:dLbl>
              <c:idx val="10"/>
              <c:tx>
                <c:rich>
                  <a:bodyPr/>
                  <a:lstStyle/>
                  <a:p>
                    <a:fld id="{A4144A04-A6A2-44DB-9688-FD043F5218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D9A93D6D-D8AE-479A-BAFE-AC4D22D016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3E605B1B-8960-462A-A72A-1BDFF3B1C4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8EADF3CB-EF10-47F5-8E92-200489ACA3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4BD14E32-C57E-4ED3-BE25-B940122021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0ECC3487-F112-4373-8BD2-8A7D835C47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53AD04E7-CF25-4D58-B338-F2A62472209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9DE-400D-9BDB-C2C912AC3EA6}"/>
                </c:ext>
              </c:extLst>
            </c:dLbl>
            <c:dLbl>
              <c:idx val="5"/>
              <c:tx>
                <c:rich>
                  <a:bodyPr/>
                  <a:lstStyle/>
                  <a:p>
                    <a:fld id="{15301758-C6A3-411F-B253-4E3B2B6679A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9DE-400D-9BDB-C2C912AC3EA6}"/>
                </c:ext>
              </c:extLst>
            </c:dLbl>
            <c:dLbl>
              <c:idx val="6"/>
              <c:tx>
                <c:rich>
                  <a:bodyPr/>
                  <a:lstStyle/>
                  <a:p>
                    <a:fld id="{6940DAFD-5FBC-485E-B545-52EB8D5D93B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9DE-400D-9BDB-C2C912AC3EA6}"/>
                </c:ext>
              </c:extLst>
            </c:dLbl>
            <c:dLbl>
              <c:idx val="7"/>
              <c:tx>
                <c:rich>
                  <a:bodyPr/>
                  <a:lstStyle/>
                  <a:p>
                    <a:fld id="{7A039018-15D6-4CA6-B3DB-CB7A2BABF66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9DE-400D-9BDB-C2C912AC3EA6}"/>
                </c:ext>
              </c:extLst>
            </c:dLbl>
            <c:dLbl>
              <c:idx val="8"/>
              <c:tx>
                <c:rich>
                  <a:bodyPr/>
                  <a:lstStyle/>
                  <a:p>
                    <a:fld id="{BE2EAF1C-226F-40C4-A6E1-EC8FA94D7B5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9DE-400D-9BDB-C2C912AC3EA6}"/>
                </c:ext>
              </c:extLst>
            </c:dLbl>
            <c:dLbl>
              <c:idx val="9"/>
              <c:tx>
                <c:rich>
                  <a:bodyPr/>
                  <a:lstStyle/>
                  <a:p>
                    <a:fld id="{883DC0E5-6E59-44ED-9E66-94F96B5E08D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9DE-400D-9BDB-C2C912AC3EA6}"/>
                </c:ext>
              </c:extLst>
            </c:dLbl>
            <c:dLbl>
              <c:idx val="10"/>
              <c:tx>
                <c:rich>
                  <a:bodyPr/>
                  <a:lstStyle/>
                  <a:p>
                    <a:fld id="{7AA859D1-592F-44A4-A1E2-BD05F6E373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50224B9D-EFDE-4904-AE28-91EB6A68A9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D1795830-5F5C-4E28-9513-9FC87EAEDAEF}" type="CATEGORYNAME">
                      <a:rPr lang="en-US"/>
                      <a:pPr/>
                      <a:t>[CATEGORY NAME]</a:t>
                    </a:fld>
                    <a:r>
                      <a:rPr lang="en-US" baseline="0"/>
                      <a:t>; </a:t>
                    </a:r>
                    <a:fld id="{3471A762-C034-4E31-A30A-8321D666B213}"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DD569970-92D8-4A5F-BC5C-F4EA41CE03C9}" type="CATEGORYNAME">
                      <a:rPr lang="en-US"/>
                      <a:pPr/>
                      <a:t>[CATEGORY NAME]</a:t>
                    </a:fld>
                    <a:r>
                      <a:rPr lang="en-US" baseline="0"/>
                      <a:t>; </a:t>
                    </a:r>
                    <a:fld id="{335765FC-2F09-4C18-B731-E5CC8B4A165B}"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1A78DE4F-9E6E-400D-8E09-A3C1A7B53C21}" type="CATEGORYNAME">
                      <a:rPr lang="en-US"/>
                      <a:pPr/>
                      <a:t>[CATEGORY NAME]</a:t>
                    </a:fld>
                    <a:r>
                      <a:rPr lang="en-US" baseline="0"/>
                      <a:t>; </a:t>
                    </a:r>
                    <a:fld id="{4C565321-D07B-4294-9A01-D2F4A1E54B5E}"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DC94AC27-A370-4407-A7A5-1CE0CA2364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F30F9380-8AA6-44E0-9FF3-3ED907B2742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65723CF8-8FE8-41BB-91DB-8143E0226F7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3C911133-B50A-4079-AC18-1A4F5738F6D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52217F3A-6275-4F67-B57E-BFF7CE78190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CC2BB97C-132E-4EA6-A4CF-D64BB67F722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8DB3F84F-8373-4790-9A48-EDCF539347B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3BAF9999-3C37-480B-87C3-F708CE65E8B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0676F89B-ADA0-4B04-9C7A-04A0D4F2890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4F2FE1C3-E7AD-4A23-9E03-A6098AAA8E5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94C7373F-779D-4EAD-B3A2-A17C8787F6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09A1260B-D084-4C00-8B01-1D57299A07D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AC-4E93-BDD6-6BD4DD360261}"/>
                </c:ext>
              </c:extLst>
            </c:dLbl>
            <c:dLbl>
              <c:idx val="2"/>
              <c:tx>
                <c:rich>
                  <a:bodyPr/>
                  <a:lstStyle/>
                  <a:p>
                    <a:fld id="{53556FBA-D3C5-425D-99E6-2B70A650A74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DAC-4E93-BDD6-6BD4DD360261}"/>
                </c:ext>
              </c:extLst>
            </c:dLbl>
            <c:dLbl>
              <c:idx val="3"/>
              <c:tx>
                <c:rich>
                  <a:bodyPr/>
                  <a:lstStyle/>
                  <a:p>
                    <a:fld id="{6970066F-004E-40E3-BC77-EEA13198A3B7}"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DAC-4E93-BDD6-6BD4DD360261}"/>
                </c:ext>
              </c:extLst>
            </c:dLbl>
            <c:dLbl>
              <c:idx val="4"/>
              <c:tx>
                <c:rich>
                  <a:bodyPr/>
                  <a:lstStyle/>
                  <a:p>
                    <a:fld id="{B61AE1E6-C91D-4CAA-8815-F89F6938ECA8}"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DAC-4E93-BDD6-6BD4DD360261}"/>
                </c:ext>
              </c:extLst>
            </c:dLbl>
            <c:dLbl>
              <c:idx val="5"/>
              <c:tx>
                <c:rich>
                  <a:bodyPr/>
                  <a:lstStyle/>
                  <a:p>
                    <a:fld id="{E0267AC9-E37F-42CC-836F-640950E0EA4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DAC-4E93-BDD6-6BD4DD360261}"/>
                </c:ext>
              </c:extLst>
            </c:dLbl>
            <c:dLbl>
              <c:idx val="6"/>
              <c:tx>
                <c:rich>
                  <a:bodyPr/>
                  <a:lstStyle/>
                  <a:p>
                    <a:fld id="{24AF583F-D9E5-4994-9E0C-AD7AE27BEEB7}"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DAC-4E93-BDD6-6BD4DD360261}"/>
                </c:ext>
              </c:extLst>
            </c:dLbl>
            <c:dLbl>
              <c:idx val="7"/>
              <c:tx>
                <c:rich>
                  <a:bodyPr/>
                  <a:lstStyle/>
                  <a:p>
                    <a:fld id="{1AE5ACAF-BB52-486A-8EA8-674A33629F5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DAC-4E93-BDD6-6BD4DD360261}"/>
                </c:ext>
              </c:extLst>
            </c:dLbl>
            <c:dLbl>
              <c:idx val="8"/>
              <c:tx>
                <c:rich>
                  <a:bodyPr/>
                  <a:lstStyle/>
                  <a:p>
                    <a:fld id="{64A4D635-42B9-4DAB-BF6C-B8BF2A576E1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DAC-4E93-BDD6-6BD4DD360261}"/>
                </c:ext>
              </c:extLst>
            </c:dLbl>
            <c:dLbl>
              <c:idx val="9"/>
              <c:tx>
                <c:rich>
                  <a:bodyPr/>
                  <a:lstStyle/>
                  <a:p>
                    <a:fld id="{1C9C99BA-E39B-4231-A8BE-4D36CF4B9C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A3CCD432-CBCD-40D3-96E5-EF2667C8112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4DAC-4E93-BDD6-6BD4DD360261}"/>
                </c:ext>
              </c:extLst>
            </c:dLbl>
            <c:dLbl>
              <c:idx val="11"/>
              <c:tx>
                <c:rich>
                  <a:bodyPr/>
                  <a:lstStyle/>
                  <a:p>
                    <a:fld id="{BCC08314-7033-4D1E-A3B4-CF65E5831439}"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64F47E5A-11D5-4DD5-9581-744609314E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3BDE238A-7520-4F01-A603-FA7DD24600A0}"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9D9-4B81-A762-6C0B778AC1FE}"/>
                </c:ext>
              </c:extLst>
            </c:dLbl>
            <c:dLbl>
              <c:idx val="2"/>
              <c:tx>
                <c:rich>
                  <a:bodyPr/>
                  <a:lstStyle/>
                  <a:p>
                    <a:fld id="{FC30236E-1F6F-4548-94D2-E88D6D46217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9D9-4B81-A762-6C0B778AC1FE}"/>
                </c:ext>
              </c:extLst>
            </c:dLbl>
            <c:dLbl>
              <c:idx val="3"/>
              <c:tx>
                <c:rich>
                  <a:bodyPr/>
                  <a:lstStyle/>
                  <a:p>
                    <a:fld id="{0453E59A-B27D-4F6E-808C-E5F9E3B768D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9D9-4B81-A762-6C0B778AC1FE}"/>
                </c:ext>
              </c:extLst>
            </c:dLbl>
            <c:dLbl>
              <c:idx val="4"/>
              <c:tx>
                <c:rich>
                  <a:bodyPr/>
                  <a:lstStyle/>
                  <a:p>
                    <a:fld id="{D931074A-1B21-416B-963B-545265679FA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9D9-4B81-A762-6C0B778AC1FE}"/>
                </c:ext>
              </c:extLst>
            </c:dLbl>
            <c:dLbl>
              <c:idx val="5"/>
              <c:tx>
                <c:rich>
                  <a:bodyPr/>
                  <a:lstStyle/>
                  <a:p>
                    <a:fld id="{86610276-E671-42AF-A414-EC7FE5275EC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9D9-4B81-A762-6C0B778AC1FE}"/>
                </c:ext>
              </c:extLst>
            </c:dLbl>
            <c:dLbl>
              <c:idx val="6"/>
              <c:tx>
                <c:rich>
                  <a:bodyPr/>
                  <a:lstStyle/>
                  <a:p>
                    <a:fld id="{E02B964E-F878-4B4A-9830-0CD4DF287984}"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9D9-4B81-A762-6C0B778AC1FE}"/>
                </c:ext>
              </c:extLst>
            </c:dLbl>
            <c:dLbl>
              <c:idx val="7"/>
              <c:tx>
                <c:rich>
                  <a:bodyPr/>
                  <a:lstStyle/>
                  <a:p>
                    <a:fld id="{2CAAAB43-C3E0-4E29-892E-F2DAF70969F4}"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9D9-4B81-A762-6C0B778AC1FE}"/>
                </c:ext>
              </c:extLst>
            </c:dLbl>
            <c:dLbl>
              <c:idx val="8"/>
              <c:tx>
                <c:rich>
                  <a:bodyPr/>
                  <a:lstStyle/>
                  <a:p>
                    <a:fld id="{2D997654-8F3C-4139-833F-301DFEAB8651}"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9D9-4B81-A762-6C0B778AC1FE}"/>
                </c:ext>
              </c:extLst>
            </c:dLbl>
            <c:dLbl>
              <c:idx val="9"/>
              <c:tx>
                <c:rich>
                  <a:bodyPr/>
                  <a:lstStyle/>
                  <a:p>
                    <a:fld id="{E4D3CE81-47A6-4C59-A797-1836C538BE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CB1F8084-29D6-4DA5-8F9D-DC150336AC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D14409AB-CE8B-4D23-8201-49AEF1CBC3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A4C88528-5827-4CBC-B02C-73EF7038B13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B6F80EB0-A8C0-4979-8062-85C2ADAB5364}"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FDCCC468-0D9E-400F-922C-00772B1C4E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661B5296-C1A5-4079-A173-7AD84305F3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C9DE5153-F933-4097-9D33-26FB8D08FC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AA1C803B-CD9C-425C-BEA3-B743F39B96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77EBB97E-81E4-4E5C-ABAD-0B220419B9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F0F3AE16-6B23-4A27-ACE5-C3AC29D99B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4AD4D320-4B60-4AC0-AEB8-E5F7BB664B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AF2394F1-4C43-4461-9F16-DED565A14A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FAE8ED96-C023-4774-B438-B26ED5B7ED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2B194121-3A37-4E4C-8D63-F57A0E4974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6FCD9A24-15E8-4B01-9374-74746B4859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72EF73A6-3D67-4014-8ACE-5B3FA89680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4A7EFD62-ED0F-4408-87A5-D283F28E7B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E0811537-D76E-43E7-B2C5-AE4362AB32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AA7F1261-BC5C-48C7-9C4F-081CFF3CE5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5E7B99B6-ED70-4F3B-9320-7A427F96E9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F3E2C211-CDFD-4C4F-97C5-D6FC50C368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1AC6CE7B-9D49-44BC-97C8-19E1E9741E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BEC2E212-39A0-40A9-B268-001F799E5C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A6F3B79D-2AB9-4BB3-A9E6-EE4E61310A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899FB916-373C-4B3A-BE86-8D418A5647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38A01ACE-4348-47B2-A1CC-2E21A22AF3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C18704EB-6BB2-4179-AADB-D84C861883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197DF06C-2258-4F0C-BE55-181D83EFE1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_xlchart.v5.4</cx:f>
        <cx:nf>_xlchart.v5.5</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_xlchart.v5.2</cx:f>
              <cx:v>Tỉnh</cx:v>
            </cx:txData>
          </cx:tx>
          <cx:spPr>
            <a:solidFill>
              <a:schemeClr val="accent1"/>
            </a:solidFill>
          </cx:spPr>
          <cx:dataId val="0"/>
          <cx:layoutPr>
            <cx:geography cultureLanguage="en-US" cultureRegion="VN" attribution="Powered by Bing">
              <cx:geoCache provider="{E9337A44-BEBE-4D9F-B70C-5C5E7DAFC167}">
                <cx:binary>1H3Lct04tuWvODxuOgmABIiKqopo8pwjiZL8kOXnhCHLMl/gAw+SIH/gDnrSn3B72B096+Ed1v2R
+ye9j53plJB+dKGrI7ocjsiwjri5z95Y+4UF5J9v7Z9uxd2NemQ70es/3dq/PK6MGf/0yy/6trrr
bvSTrr5Vgx4+mSe3Q/fL8OlTfXv3y0d1s9R9+QsOUfTLbXWjzJ19/Nc/g7TybrgYbm9MPfQvpju1
Xt3pSRj9g8+++dGjm49d3e9qbVR9a9BfHl9XN3316PRv/+vm8aO73tRmvV7Hu788fvB7jx/94kr7
w5sfCVDOTB/hWRw+CaOYEUpC/uXP40di6MtfP0Zh/IQgjqOIJL+99OlNBw/+qszwQ10+a3Lz8aO6
0xq+zuf/Pnj0geoPPrkdpt4cbVeCGf/y+HV9Z/qb7vGjWg/Zl4+y4fgFXj/9/I1/eWj3v/7Z+QHY
wPnJPde4BvvZR3/wzLu//Y/+Ufq3/1b/ZqN/gGPQE8ZozEMSfdsx0ZOY8hATRMLjH/Tbq7+4590d
KHTzQ32+7ZyvDzqu+frzfyrHXPztX4dH2Y/t8HcCBj8hNA5xQtgXvwAuHgAmeoIQThhN+EOPXNz8
VJNve+Trg45Hvv78n8ojT8vqP/7tXx795/436/zfQwXxJ5hQigmjn6FwxILjEh7FlKHQiWGgy91P
NPm2S74+6Ljk68//qVxy+rd/fXT97/+9r/6BLkme4IQnSch+jV4uSuInjDAcA1J+e+mXuHV68+i6
/rEm33bJ1wcdl3z9+T+VS64rSCaQUf7nj03xd4au8EkcRgmKUPxtnNAnhOOEhpGTTCDXgzJebrn3
qOOYe5/8U7kG1umjf/+v//Fv/+Uf7BpMwzgmJP52tqdPMGApjMPktyrtSwX4BTVHnXZe/vn9Scc9
v3/w/7V3vqfc/fr4we/8nfUxIk8iTAiP8BfI/CG3QKCLIfdAHfYwkH0tWL+vybcD2dcHH6j9/7wC
/n51/LV92N2Ym/3nvuNegfzjTz9/ReiHnEd/1L58sdfZx788huaDx1EMGeJrS3OU8+vDX1b+i+mm
Lx89LX8v8R4+eXejzVESf4IiyEghJyFiMQOZy92XT8CBhCLMoXhgEUZQtfWDMhU8FD+JCEGIM0YS
GrGIPn6kh+nzR1B8E/QZqgl8gDD62vk9H8RaDv1Xs/z670f91D0f6t7oo+DHj8Yvv3ZUliUsjNjx
/TGOoQsLQ9BhvL25gu7y+Nv/iUs6NAgl8VlSVW2qMJsP68Rfrlq/GHDyZhjX03BJgjO6xTvWBihj
pu8OS1TJrFplu6uCRJ4q24/pPVN+QzGwiqsXT0hC4pBgHkXsqPc9vdQgucWlis5i+lG0H7o+x9uS
BuoyIp/E2mU/fhuUZN94H49jxEhEOJQPjh3moS65DOh2tpB5Sy3mT6M4LHclWl8RzT5a1i27set4
NumozDTfdIYIey4XVZ/UNmkzVdgTi1GRraj+INRMszrqxt24LXpnNvZCiGeVZB/MVg4p25KLAY+X
tCDPKoK61NRrm1VzmE2KnVjJZNrM9hCZONgZFV8ubOmzTZk3Yhj0yYj5KzWas2BSpwMSZ+saDvuo
Vu8XTV6XKy93hehEhpK+vmhn0mVUskwUxbu2WQ6smtShq2RwoldxNRJ+Fy70EpHq3FZDc0hkc06O
zp0qtO7GvqvS0nbjQQT1uZLdXROwjM+SpkXVfLCTvQmnwGYjDs46KnNTtN2plOp9wyK1b7fl6ZgE
6KKcl09RX9fpVsok0+1g0m01YzpG4kTG8hqP/b6OEE07KtbLQI47Fk6fGoluE9QEWWHtluqKvphw
fKdpNe+apXwPUfOiG1S4p6o6b9vlvBzHs6WgJ0FflllSTAfMaLOzrUxSGXd9qlkwZjGSZTZodDba
7WmXzFU6DupAWj7vsClw2st+25nWbhlLYnOlRinOaETPWor20Szmg6yDq6Rfc9HC2qzX2Z5sUWfT
AKstJcPwqRpDnfZRnHFRrKczUfkGNgktaNGsRdCcLDFqcRpyu75VY0VTEnWiS/kUzMlZh4M+2gk+
xLdMJQsI2Wa1r7pyPmuRSjI1N3xXsfgla7Yxpa3ZrnE5xzsKy2C3ttvtUC0sY3h6z2X0vJejSScm
Lizne8OHLpPYVlkQhFva6HneTVXUZW08Xtd1dzGKbkyTUu+jbdpSvnRXYyQPsUFDalf9sk/Ekkph
bqq+r57NYmImM7SesjJqq7NlopdlXNZpGZYnNUfn8UjzLuBqJyeN02KhTRZa3e5E3J5aRc8rHSw7
0tgwC00bnuJYNG8truUJnro2rWp0YqfgMAdnwaLf9wE69KHImmKTaUvrvWX8FQeFUwEIyjpcrym2
UuwjXR7GcM5XGX9CiB14G+wnhEga1vptzGmqS3yCR6ZSYfp4z2Qf7gsJnotCccBT87SuxVux8m5f
lBI9XytM67QeEdtFsmp2oRR416Cm2c3BlrOBjxmpwiGLR/nayPXVIKdTHssrCCGvzMzKLDDV9VZt
H22z5XgiWRKI7byQBd0NsnkrJq5SxZaTCU91Jjgzad+T6G1A5U0xdxo8RZ4y1cfpiobqgPFI0rIJ
X9fDylLFcZzJZX3K+NTlZZOIdOXTeTSqfLUFurCdfTrUA08TvL1lzSAynMxLGjGDUmzwTdIHaxqG
7Xw6y0ilQzKJXbGW6gApAuVGRqfLWHaXk6rfTLxYMzWiLVvYhKtUFluQyjKqTkoa2X0Zqw/ClGQX
LOYNVeuS6ZmKLMRxlZHOPBOd7lNSly+WtixPUNgEp1WgX8EYtN0NgXgtwvW6C/sTFQ7BLhqmS83V
mC4yNCdl0R9Cay8NKbLRdrmQ8yU19SsSdFlITkt6KjZ2EU34rFDqWb2qHFLnueqDEytkn2INSyDs
ZT70S5K2srvEZsGnla7R9ZZU3Rkfm/4QCf66rOc2XUk3pAtFt6oMwkNZ0Jc9Gk+qsYGgWn6cKFl3
dBKvZrm9RNFwVUymzkY+kkx2Sc6i4Q1J0LsqqM4kZe91r6d0G+n1uoH/SoVO4yao0rorl6xZBd9F
7fpSDvV+VvOnhQbnBaKHRaDLluF8iaMmDS3eskoPeqe7JcnWyJBdtBanCeTstIRQmQ7FfNMtI0qT
oTg1UTVnRbmUqZr4BV3iM1Nbc1kG+tK2fbVDfIJlMuGdNFWyD6a12IfFYvZmjt7Yxd6Og91rw1iO
4iXtOhtkix4/6igIbxbET5etTOeyv6AdYL5K1mV37L5PmrCL03Kdyh1u2hPdErvfVEvSaMSnOon0
KV2H02DQbUaa7Xysp2bXVxinFAcHG5ln1QpOF6ImKe/qp1OP+0OH8AtdRBcxpJarQfG8XHsNAbYf
Tqt1jtKwrXJiyl2vKpVKROFlw4LTYWo+NLw9b0z42q61yURX3ELmKy+jkt7OUdTtE17IlC1CZUvX
oZOer5fN2ncvAlKPO84KkU4RmXay0C+TZrnbiuTpJPr9j0sN9odCI4ZeKsIwP8UMBvjkYWHTJtXS
mTAA94TyadBVLwUfD6HCQ1Zs4eWG44vP7/u1Zv61kvpS8t1CNabqsvp13v/1n3+9/G0T4fMg+vef
H3cMfv/X9dDBX/dXji/6+jvwnl9ffKyGH/zjD9X5d+rvLzsS3/nwQXH+oAn5rcM5Vq0wu7ln8z/U
5V+7mN/L+c9P/F6PR5SjOCIx4yhEUAn+Vo9jqNQjCsUhFOsIyuKv9TgmTwhU8Aj+4iiG1IG/1uPJ
E6jBYa1HmDFoGVCI/556PHqwOgKMjrV+kpBjeXqv3KWErMMmBpsXPd2t7CZYyek9G3yjoP6eZKeQ
tjVFSoxiySuz3JK2vQ1k+d5P9PGV95QeGxsUQ9Db3DRsS2uJrlrSzT8rzb9jEQcnnFMurGiWnMVV
t7ND90y0BTn4aQ7uvK85H4M2WXC15DGbLjgSbbYJPv+khfmexWGx3heeUC0GNYHmyUALqC2Dfj9w
3u/8VA8fSre9IaHEes6HVbC0SbhIwxUzP92x0waVddWYBJyYy1LOezqq4py3EOy9dD8OYO9bZi3W
mhYbnfI2GfMkEfuKs5949GHf+BVA+Bh2763Fpa1nW7TrnAs8hPh07mutTzZISvLGzNtmM0h4uEmD
Yg7Ooz7Cns7GDnBtsjW2X+2U9/VyV8X9Dg36o5+1HORi3I1Cd2TKLRp58SLeenFW461cnvnJP67f
eybjRhWsMSOoboJLjehe2/naT7QDXjShqWeITblkbIW+blb982gzs6fmDnx1EIdsknLKp3JsrkKR
RKcrjF48MeDgtxSRqcJgAOWl4qnuabkTxfbCzzIOfMdxKym0wVOuOOFytxZo/MAJam9+LP647H4f
63yFwXGkdN+nFVs4HcPC5LiE7iENxFLkE+m6K7nxVe+KuA7Pfvym4yr51pscLCfTrJqOV1NOjpU6
N4M8QVM1+PkAOXDGq1EY1qfJrYpxOmMyp2Jad36qO5ilokBiLSKT07mun3ddJy9VHJ37CXdQO7ZT
Ete4n/KO8csCmpq8bUv7hUnwhUjwf57MkQPZJBbhRKfQ5EFn+VUjquk6CDq/SsGtTG24EaZjDWZp
quYcxkfhoVub1tOjDmbrxGy0XIjJ+7Go6xPZ1PUzW7PNMy8iB7XLmhSLDsE0vVZ4PzVsTo2cbv2c
6qBWBJy1U9iZfCSUvwsCtL4dN4R/kru+AyV3Bmv43MD8Dxb7WE1TtnC1ZHUvn/9Y9Yd9x9eIcNyH
vh8RsJDruJRM542Kl09SxPi8Hzf2PFglbrJuKtb2wHsS+1kqdIC70FFC3wdJJZzLs8pWn+zWcL8l
FDq4VTUue7MAbkWynMMU9zrC48sfW+l7LnBQu0xLo8YxMTmfq4smnM/WrjzxE+1gNuS0B9klFD10
2NJuCt7FMCTxNImTaCvGh3kMAVVmCtvLDbX2BJrh8Y2f6g5mJ1QIa5pS51ydrEWZ4qHN/CQ7aI1x
Y9vQYJUHTZS2etkVNdv5iXaw2sOIH1d9oPJesGeTrV8NCfJyJZBwHmLJQlMZNOMGWptgSLuQXldW
+lWSjDtADSus1k4ZlcuAXxKhYXarxCsfm3zubO8Hgagsy2pjMB8TjTzQwu5Wab3MzbgDStNoHLWB
hTl3r98AcWkfGJ37ae2AchjHYSHHqZ6p0GVnxEmjIq9cx7gDyrga27WIkcnJiD8u7XqBg8VTaweS
GzNtMIla5aiNM5jWpOXgt7QZd/BY87DYEO1VXrLhhiNzJUXtV/XCZOTh2h7VaoOhhPGxrSK2X4ZW
nkzV1O79XOmAcsSYVtKCUUgsswh1u6nBfq78w85dghPV9S3Mfsee7SgLPnK2ffJSO3EwCcQuYQiF
MIUIeQ+zyhcN7Bb5iXYS5bAUA22TUuVgm7Qo7zgLvXICSxxEjiSJdXK0dRVs6UBuYVjg58XEAWSi
WdmXI4Qo1pcfq6mKU7LoD372cBC5LlY1ExlUjq0VqemmuwJFXtmGJQ4kk6hktRSNztmKTwxD+1bM
fikhcSBJ9YhgoihUPizh81nRt8VxQP5jkxwd9scWiyUuJGHv1I4MgpSdBhmmkxRtCfuKnbzrOhx3
u6hJlFdjwRIHn2sPm5ghilU+r/Yy1vg9EOiufvwtjg78xrdgTtLkZbuOVoPx9UjXlI9DmQZBhPwW
+5FdcT+zlXoIjTUIUjLvz2iin62z9hpvMuYgdNl41PAOColtTao06ZY21d00/sS53zOLg9KhsVtn
i0DmK1r3ZTWlpBB+MHW5Ex2PUbnVkCZGForUctjfCwb82s+dDk6h4Jw0nSBuJQns5duXUMzu/CQ7
KAVORdByBZLVcU9tjNOBXfpJdkBahnOQWFSArSmdUkPZ9SBgP+vHwo/B71vr20FpOJOwpHbReYFk
a1I2EsmvetrHw+tiitmrH7/le8vFAShX0gCdAYzT2PK0pSaTSeFnd+oAFFfApykZl3kzy91s+9MZ
6nEvramDzlZD3DI4kXmoP+pQpU3jtwqpg81wozocNtA50t2FjNrTehzrnzj0O6amDjKjqZnjfmBg
6r5i6TIXYdo2niUcdVJoHy3LoGsos9i8NadyZXq3Dg32y0b0+JXujXQnXvMi4mDvpAfKz0TSdms9
XemgM8CzXaoBLG6T5jDJYFfbwmuUyKgDTzCuCRkDeAIp48QIcoGg5fRbgA44W03oYkegJiWW7hr9
kofU0x4OINFSTqySYGq94N2YJIceqEpeSscuIBkpSViDPUi3ZoPlKUy7PUU7gAwniEgj1OD5JNqd
xRCuSuQp2oGkjHrRmhUWCIHwPWFxsc6V3wL5TN67t6zrZpF9Q4nMg63BV7BHv6aKNNhTugNJBPtb
DCcRxBLSNClS7FrznzWDxy//jeQQO4BkVldbOcHgkM2CykM0wVB4tYiMaQQkpo/ztq42s2HUab/g
FTswVVtRtVPfAZYo2i2R/lAgIzxluzgt5CqHdVF5q7ZmD/QInm6q8RyuHPf478cuOaGAqqSW+WLX
vEvkmVCRp+IOVtcGhcD7BNHDZF+EPX7Ja/qFZvF3TuThyMlDrTsFbLepRWDvTeZU9GnRBQevMBA5
WE3abmINsKtyzkrT7kLB+cFUhaV+gI0cwC6DWgprNMTGbuNpV0NLR4Ff46e8k0RrBSSYgLcyR1sT
Zbxu9Y51JPYLvpEDWYWYLEg3yjzeCpZZFgOXrfEb2LLIwWw0bdayCiA06CSPOWCV2q7ztIuDT2j2
WzxvkP+5mAzebaFS6IQDr9d6vgA/XJBTt+Ko6cCr0BplEohV40A8RTsIDQrN6NYAjNjcZrBj8dzI
2S8GRw5Ci2lsgLncSDCLPG+s2sEW795rJRIHoTrEfGkMrEQdhDtOy0MJlC8/0Q5CbYAULsNOAWFP
i6wcxTiko8D9rZ94B6ANkDHiQqxAlehqdGWr2J7qLYnv/KQ7CE1wwbuqkVDQNfiuUdXbIEk8Z9nE
wee6GYonJGTe6uKGBuqpridf2Q4860oEwxLDKhSK36FWAvt8+tnpg6OMb6Rr4qAznCc6RBQcOgRh
gffc8nHd2TFOZs8V46BTmmTpMYfA1dYcp2juTmbdeC4XB551QAQQhQFDVC9Pt644iyT12tRmxIHn
QKQoK1RCiRTgNypO8mn+WV9xhOE3TO4yjirS0qAYFXT9YtXxCySNhGMIJID10k1oNqmstvh1MxvW
7JN4NNGuIlrPfl/MZSQBf4SIRAwyrxf5qWX9lhEm/chUzOUkBU2jzKyPm1yG11k/orNqizwbSZd4
lPBg4VgZmXdyfd2T5DXUlm+9IgN20NsQbLt5hNEUH7bw01wvbLepIfjZwOQ7IMMOgOdNr0TLCXoQ
1mQmhNK3M0C/9tPdQXChx0K2PZhl1dXzuRjfVSHxzN3YAW8IfIuqH2GxJAk9nYr+1Waw34QKDnU9
KH4p0PqkgS2S3JJ+b6vy3CT6ys8iDnZNsNVjuwELfiJNBTsNs0jnyXPA4/KN+rkWJFDH0jfsodKw
aaeVnyeRk1z1WIqmZdCq1mH8Fs/s0IrJD/Uuu4hPvdgCtECrUUanc7x02dpXxlNvJ68KmKQDrY5B
+YjL56orLnWb+E3pkQNMEWk9zDUgZ+vmIi0mOAhQo/CD1zpxuUVQx0T9duzfOR/eCy67KUNAg1sz
P/EOMCO7xnCKDeYlxhYv6gJOkC3Ir3hE+CF4aomRQse6NEIkSpUmIoVGzdOdDjIjVNBoJpCxNVmK
NKbxXUc3z3EMcrApg9JMRIUyx6y9Koi97MfWb624pKJpM6gvGYi2qs7HAop1XV55udKlFIkETjfC
+HnMuSleY9tc4Zl4inZK3mBZyWIKAH0yNRfFpF/3yeI5vnDpQ1YLOA05AerjWX2EGHAhu96vlg4d
YGrctogrwLyx9QkNyvMuGf2mAKGTLYdaJ8wamGDSrd0z0T2dluGlnx8dSNpNm6ZB7ZiHjfloFXta
wllGP9jAqYgHCc0kNq75BmpHfM63MngKrHJP0Q4iA2MqmLcCIlE/v2BjdcV5cOpnEQePybgSvBEI
sGQKX1VReLFRPzxSlzs08Dkk29yNOZPhKxkGJi3x6Ff1UJc7ZCxemvaY0OD0ymFVIBwOuvnth9Dj
sZj7g7k4HmTXtAp6liGB85Qb4m8DtmivYpO6/CFUxHAkRkFeiKPixC78WQU7rj7epNxBZUckUM5L
OeY2KN/NSfiyD4QXA526/KE5tjPhG6QcHOs6bfrApuW8Vl6Yp9wBZjRaauYKQ30ScJFN/cTTUVOv
NU5dEhHUD4jUTTzmdOpfJoZfm8q+8zO4g8wKQlNVa2j7l5nqrEn63UpV4QV7OKL1cBnC0dMmKRdY
huM212nE2ymlndl7ae6SiFgg5qE/Dp8DW+11i3ddgvyc6XKIGjjHtAYKBnKxXtYUNhfLtA2BBeWn
uAPOpTCLaeNV5kUrdBpb/lxK7TdqoS6TCI6wxrooIRxOEwGKfNukdR36kXKoSyaiNR63cAJ/Wm0P
ZdS8UqX2Smw0cXLm3Lb9zGuoImhUjSncA/ASlbMXK4S6XKISYUrjCTqeZuFLKpZu20ehkX6L3KUT
1SKoinnQY14Dbpawuo0XuB7Cb6k46FzCohFbBbwwyHCoTse2KrudKQs4h+33AgehcGFHVFRjNOZF
IU/YOl/DWXmvbRbqkoiWrjK0O061A1nBdRkVHDgOrCR+IHJJRJWI2VZAusgrGcO5Y3LGqK9oB59A
2yCBEHDczQ6kSeVYfaznrvKLWsxpNQsbaWqYhZpCib0O5udryf2ilssh6qNGRiYCDtGscJBWoTBZ
sMZe0w7KHHxubDZBMoBRQtFcJJt6KqrGqxekzEmdMNAO4l7y44ymWVMx6PMBzmH7Ieh4Cvh+JVTS
dYJTAhBsJwMH2ZmQzze4VcJzETrwVOEWizVsgKPNCAz1hiscBjdewGQOMMk6BURSiONRBCMaFtQo
07Dn7ae4yx8SvN/mtjrmThIdVGtezSx+5aW4yx+ClpsQTIMxlzV/OY/sTC7ytZ9oF5gY4x5orCov
SJ/2aMjaOfGDpUsgahLYntwi2HESHbApkyWE60sWuKzAT/H44SLkwciXUCxjPuHgBA5R3JmAvfET
7eDSqo4OXQDxpIFbQnRfZ0FjPW3i4FIYCcdXTQlzWcOGzMINL2lppOcycXCJwqG1BsP6nkPxjnTT
RVRGfumeuqhcw6RYA5j5ctLt+NhdzVvh155QB5VYNhID1Q4KIFaJD6Tq4j0e6tZPuksiQoVeOJxD
hFY22dChY/Lpqkzslx2O96TdD4RwBB1H3QyFfolfcFydRFp4SnZgyaKJo2aG+N3KcTkdtVlSOsTY
r0JxiUQcrvNq1QgLhdPppJ+3c4vkiRd2YgeWhVhkoxgslC1uDjEOX/CW+7XILolo61cKFGrgmPBm
+GRte+i53yiPunShboiTmMwQYFkzjgez6e2kVd3s12rGDi7LGI8D72FXQ9n4Ao1BPory2s/cDi5r
XgG9UQJJI6Zwm0xUn6zU72wQXLj8cHEX4dywUgNyVBWlgsPUrRJ+qdJlC0EO7vFmYZGUlJ7CdP28
CP1CoEsWgvMAZT8G4Ei4+uZdx9G4EzVcVOdlbJcpxFEymLEHuG9VmA1EXEThz7ifR1z/cfsXrlJ7
aGyYEgo4qwfbv5vkNHrfAS32fR1jDRdRzW28nfJEh8/XMCLK87u4OCW2SIoaDJXw6Lks8eWABr+Q
6xKHKk6BRljwMe+HpMuAqvhexKP2C12Rk0CLSBi8IRi6M1rsRS+eErZ6bRXQyIEppIqpGDTorbXa
hRpuH+Tkpxc6HmuHbznYASoz9SRiBfY2U/2pn8krI+vqJ6XQ0Wffku0gtawqvixVNORjWGWip+pq
Jg19U6yLX1B3uUNwsKTD3LIRStse7pkyw00zNz+brnxn6R//Lwf3kyjMEep1RTAi7xju040IczfW
A+6zskhMlZWtDJ4Xw+AZIchRjfskWrgirRlmYBORRr9BK75kk/Gbhrq3F5mpH0s+wUhx4yOc7umU
SPt69jviQ10y0VCrutCwKvN+oeRTFYYTUH+WyXO8TY4L955dEFGw9QHz7XyNp/VVWNjmHVFd5Qdb
l1FEhKSKoR5Ms9DhDKOgSYeuWZ57BWbiINcGoxXbDJt88ax72HjiXTZjvfj10sdrhu9bZmvhVJiJ
oNOoZgvnq+LnAZn9Qo5LKOLQ+MNNezChg13gpk9NJGeV0mr7STb8TFX5RmRwWUV9TMqmr/mQL5NB
LUhu16cGuAn1ztp51mnCpuEaZrHySlUofNU3xgZQRnTsYxJ17XllCGsOfWv4uYrK4FVCiLRpDDn2
RW3a4V2bCAWXz9Wh/WiCOBgPkBR1cYGgdD2fAwmy5nEujjxy60eohUzy0Bm91GPUoa2H6Z2Eq1jH
y2bgPxnHHEV8y1hOZNDL1jOY2rf5AHm9yuq6LC9sqfj5tmAJTM9ZDFdw7LCo04oOwi9ZuvwlLDuM
1lpBaz+Y5m1EtxViYCsbv9LT5TDVdpmjRcz8DOrCuwpu6hyG4NYLdC5/Ca5n7RVvQXSEL4FkrzZP
izgZHq6sMnOtQG5pRZZUgApR+xU9LnNpLlBNNTSEZ2FTJS+OGfgltFfdez+DOHGiHya4dJiCdCXh
wt213I31Rz/JToJHZavEXI5g6rBLbXGewG2TXpJd4lLRLCOnxcDPer0P4G5ZNvkdv6YubwlXNMRW
g+SYjPtVJxcLsNH8lHaAupA+ltMAohFvDkRvOxgs+6Xw462I92N9NdYRnA2CxdfHU5mVJeweJ1u3
7P0Ud4rueNV1ibHkZ225oV0498/nPvEcsbvEpaaYtp4yEB4FKmXxgfLec5E4iCwrQTRci83PWE92
cSLTpbn2M4iTuONNwZXHqAdPtk0GV5bAhct+e7DuPUjN/+bs3HbsxLlo/URINtgcboG1FtS5klSS
zo2VdBLMGQM2hqffo/bN/kP3Vku+iBRFiosy2HN6esxvNHaLzTKGZcR4lx3r0mR0EI5Cg7Ngia3C
66K+iaAtJkseaynTQ9rOLeE4a5agERcVoNFh2XBe30ecy8twqPo/koL3hO5fwtxZtmR55IVdNIVl
sgbtoz924pNS1vETP4OPAI/32WJDgPS3PjWcXlXju62es3CpmbvNHsbwkhJgysdv9Xy4RcmzbqmG
jc620DUsVyCXR/FTHY5Z9Vm2xIQmAfBBGHlNprxi9ENDp9itSEhO6xKUL+DXBeNls5lncdjHZXO8
Oj7rlvbgAHe+4rwkSlYgiIk+3cbQ8Sjz7ujxv7tsNYQ14wfYzD0PPu5r8zIv/IPTjkLOoTJGZwhp
MTRyk3Km1d3MnHJ1OE/8+dCbaaYY6giOzXuvC7poXYhOuqny+Fm6BMeJhkLgwkvsK/IaeWTN17GX
TkpfftYuLXsTLKbH0jEJWjsjfsdXN0EX7vlO07JBq8gHzctpS3LhJfB7cNqoYETy58gVUw096p2X
O41BrW40uSSUuemT+Vm6NEVeIlqN0WEwMF26sQ4ygizLKWSiO+7PZ/dQPF38DZ8h2pUewOT+Mh7M
KTrws3AJgHMmlx6rftFx8x1HxmgDo7zxFqddhZ8JSO26KRBQKR59muQtwEGvmFfq+E5Py/OQcVgT
Cex3DWxTI4Y1YwMQ7i5rn5/VS3FnIDPwMfhYKZZSCLqyjZnQcfTTyfP/WcRssBmQKVPCe3csqRq3
hhAen9Ja9FtGuAKDn0Z/TLk55sz3E6eDDz8rmLqRxoqMHSkXITJKRRlsvlMyjnuSP7/0HdrqDa0V
pKwNGi1tk0k/ubi9z/cM5n9KUhMwfrCLrUipPPVx8rtPqvechDT8LF/qB9m1kzRH6ff+Z9A5QMlr
N8cPxf/zscPATCusbfYSQGqTHnXyZYvsq9uUnCJn28/mUL08SoGWSB/1m9p8WtrejQHAz/yjoW2s
HzSRLUM4mYRDf1kS4pSQgzn/56zscuJgZxy2TEYC7wk/W7ve7RM865YO4bUMvkN4agW05LYnn9Cp
7JQa8jP9aDhmGldU29LySV6mtlLXVUTjzel1npVLaINMQCdrbKlJlOq1uwxSuG3jZ+VSmGx0QeDc
ymFCoQ83j7C12tlXt+c+rcwxRG2M1MlWog8aKiD+OMKmxm3oU+QU/rTKY/H0u5dJHi2ybCPmONun
hamnTi+1kaaslz1lzE897lSA5tFpWY5gzdmICl02ob00sbga8cttOk4Bs2H7JEfNNL6QbfsQ8ogX
Meyq3Laqf2iWxqC38O7RpaEqyiUgBZdgcwMI8LNqCY39gV83RpfdxvOe08fKsdUJ/ME/N5OwYbaO
R/hBTYF+WvSYQ4nmFhnOqiUTwNKHq9GUql+6FE4RpdfFv51e5pl6pDa4M+0gV5eSR+U2e3k1h26B
4Yw8ihMTAyiNL9AygA66YR+ukqyeW84ZnhYltw1dZ0I1hGeBuXhJArebZKW527Sc1mWvGvBNidVl
PXgfDriz1W34w23o08KMADuwnDS6pF5bCn94jY/us9vQp5W5M7Q71XzVJfBYL8JPPvuDmwyfn0VL
IHgajSOELqe2u3XbXkSOoBZ+liwtjdzt5uGpO59U6RD591UX/e00I/y0KmnXCDSATbr0w68V2S50
qN0ywbNgaVi7FUltgpHRCX/0Gn55/4UmCrFl/LMcxs+CJX/oGKw4Nl1GsBVKLlE/R3CjErP/V4WL
7jCNFta41Zn4WcFk142QMdHYzIP63gctc508t538rGBqNEskYAdrmbRTJtBKAC8lx6FPy1McwbT7
I1vLvdnE20Km+kH0kRuoBdaTp60c3lQIQt5aBr0kKZDB0X1gx90t5J9FTJE0jW54jR13eOcmJHlb
1W477lnEFMDneQuAYS+3NbwFyfIAIKRbDnRWMY24ewVK2lvKY0nSaBbF1EZuJ8GzhulocQkWbHIt
w2+xuQSj47Dvq+t/jmpRaBs4EdZrSY2X8agprRZvTrvKGXKURA12P5Q3Su1FgLQ0BdA+/6Wc+fda
OD9LlQJmDZEdZqOOVnG/YRUVXtgsblHzrFXqbThtcCdayrnhb8Ee9+mQwA7PbVpOqxJeVopAKb+W
lYfLaBgUvk1yXt1OVO9u5P/7OqGdCBLgwpYyTvprE0VFY7lbKfKMOJIyampT9Wt50O5j488576xj
BeWsU/JsAIcHWDeVvfF/04Z+GzV1rBeeZUrhGs9x061L6Y+/uG3zNqnd0p+zIol3WvlixWSL8cgg
0bgCaeIWN8+KpG3f/Wl+/6CrftmKULfzhcfr8h+b63tc/5fQeVYkJd5AdQQYA0JnE9xtUCx/V1PP
KwgYasUuq7dUNA0UqMpu3/xZo0R2mDqYZVpKWcG8dYq1gqEv/Q/5x/9nLzhLlHqYfXqx6ZZy8I7p
OoUN/HeHfnA7VpwlSq232j6c8fnAHYg8dDRClJ4dmcFw9/xzvUr0gUuIRecyoTDOk33/la+dGzmM
n0VKfPDBUffVXI5J9DQ0r3UVfnTaw87ypMqqlaEfZy6D1qRbEvxs5ehWoTjrhFZZ23loMPQ8okUJ
m2UabtqthZCfiUbbYrdmAqS57D1vzmfYL+dh50aX52dFEMxPx/qY2FxSCv5NRx7WZXQLSGc1EHzG
483ocS7jPc5JJNIBLsNur/J9Vf1PArAlBKgk1s9lPYrrMf3yiXDbw/zgz5GJjYHZJgBhUj/IAQzI
4tXxnHXWA4VH7UsPCKZybodUJzaNp8EtITqTjPZ+bNGedKiyH6vqa7zZ+uUglf/DbbZPZ89klLGA
w5kqKzBYeCfS3jqmRGdFULzuctAtht5iuebtrpssmibr9gWeVUGjHj1AbDG6os2tHXUBabhbpfZM
MwK6r6qSqusR6/w1h9XLUEgNGbHTjJ+FQdN7v1lwDFVJoQZCKvcaT44XemecUb31vBbENpCqUKiF
xdBtn/vl6N04yvwsDMJ2IsQiMb5ZN5qro/2mvc6xgnh2S2MyDoDY93hhluRu3YM0AjDQbcpPGa6s
+2M2rI6K0dP55lu4JnRgGrkNfoqYOxgk2ptYWLAlSA8oj0LqtjbP2iCy1kypujaFqg27xrI6buse
G7dk8awNgjhyjmAxb4rWCx88KS+JmdyK2Gdh0BgvlK8oYhdw19xSMiePvqgdb0/PuqBu2xYf0k5T
1PP+aYYLSTp5iWPef1YGJV6PqsTyPim6gnNcFJcgkrs+Of8z/gRwLWObTeBpXwHIGvtbmOH53YoI
Z31QL6TxOhthcCE+Al3zRWxuCedZHDT307DsQ2AKr5sy2sg8MpHbwjyLg6hUuyc3X+NUKHPjx9AH
fXdalWdhkJ5pb1i4m4Lw5q/O669bOzvOxylkIkjusxw3U3Bl7ydTX5PDjf4HE+w/v5AJ13i+lMoU
punFNak8mho2+k4HZtgW/Dk6bEtogysOU8w2yhVp3sSh3lymm51lQaZvUVdR2hTrSh/9qgK816du
mgN2FgYh9zbdoA0+QK6ekiQaUW2enbYqdpYGRQOpRyVbU2zLkeEH3YLIOH0n7KwLWmbS8rrFyzx6
4qWRP148friVUtk/ZEGmEZMinSnGBdcce3uEF1Dwf7q9zVO8hDWF4Rr9yMVo1e3owxST5BR12FkT
ROJ1RJ0cQ0e8zbqlzqbKzXaFnXlGYqa7iloMbe1xTcw7ZCNxe5VnPdCsFQFYHCsHRq5rOg7NW0zm
ximBYGeekUKrF5/tYIqhIRkP9GUI3XIqdhYCNZxUhuJPkWziNy6vMqnCX07fyFkIVLOkOYYVCyc4
2HUko0ljVNsdp+QUKYd+X+amkabox+aj3/4YvchJls/OJCM1jIm/jJjsgFjEBH6r1OqU2LOzEogA
Bzs2Gya7XgC86eQNvUpOhx12phiNDBAwiqtk2LAPaQg7kBB8Dbf3eEpfZ4qV0vaNKar6yNuoXKfR
KbizswSo883oG8/ThZVwcdcyhVGx07UGO0uAiJp3RQbsftW772Ydo9v5cPRdYWcRUFI1YUsrPHeS
zD+6g3803d64zfZZBBR1xINOHmPL4EHTOCPH4Tjy6d6ko/IICQ4KhZ72dBe/pviL0wdylv+slQz5
avGBQE+TQ8mdbp1yCwZnbBGZQjkvQ6wLZXkIGAhUimu7eI6jB3+mOzJuw0q/p9sLpTqHOOULM511
nO5TiHw/YEfbjEdfgv022f22jW4EOnaWANHI920EX7UCN7wqHd/RMUnluCjP5KKljgSKG4EuZtYm
me4P9WqTbfmPbOr/VgL+WchnZxlQsh44Lo1kKQgqsqQgu5y9JzklWmScmk587BraxLiFnDd5A7Nh
hlkP38x8mxM7NreO9DVLyZ7Y9kkeVm01DDE75lZaZGcdkTA8xAZql4J2wT1vbA6yldtmd9YRxYbE
c5MsGDrZ/HTjXtmifd7tSz4rieq+4qb2tqVoib7YBj8AoFk3TBY7S4nCKtCyF/NSVMPQ59zs/QWO
6YFbvD2riYSISA/Nz3sSHCmkTj3bKvT5rsItMzvriZqmly0lA54eb7asGyUfknULHXOz8LTMdbJV
8Aqtl0KZN3CcHlvduB3Gzhwk3iF3Mlu3FBMVwB5S+hu+fj+ctuwzCMm0Hhc9jDaLY+r/YrxqcCXi
ZtPGzooiMwZMRn67FPFSF3UX1ylVbhJFdpYUHUev2hg9CYU1k58qZfYUYNXYbcs+i4pGUtX2oHiX
kIO3aRQF7w3ohxuJhp2FRdqocVkV5lwjLqQVFWO2xvy30ws9S4t0Iwxg6Xh0weVXsm5lMHv/cfXK
EA3/Zcc+K4mMXx/SMIHn9quc2aBIIrfuQ3ZWEq392m/hgk/FpyPL4C9Fs6N1u0VnZxQS2aaO19hi
C7GOf422esEe9h/L5/2U8W9TckqJzRb6VRx3qEolbLgHXWi400mwE/SVLtE3tzd6KiJRNMKRlXAs
oyGK021Y/hZmcitJs38Iimr4yXaTj3jBm5u//GWH2C0SnfVEiO4eGkgxMkn2KmsCkhE4m7gt0LOi
qFonOg0HBpeRehSqw9WLcrqSZ2cqUmjbceTomi5CNnl5H7bPXiUcCw9nXVEPANBMtmApuve7W/R9
f+vr1jGLPQuL1mA75npiS7E39SOb+2xeO7cQdFYVCQVeThRQfINVXaNQKkUGlJubcSJE8Kf0ew7G
Y6SYlXhai0EGOc70Thd07CwqCkev6T2Iioqk7m4iHLK4D530SuwsKiKjrcMd2DYYg3noozCprN3u
FthZU8TtEncAjuAzsTSFHCQOnWrd7Cwo8sNZtbOHgQ2cnx69KqnTpQndkE3sLCpqEh2TwNdLEYl+
q/J1UkOVTnJCg4zTVniWFvmge8bgEr6/zSmbuH4LArceXvYPXRGf1F4rJPyd7f3cl7bYdCLdtquz
hkjN0QTfaKT8fcdu25qkMiFuH/hZQeTRDn1fHYYOuugOJZRcTm7+muwsHxKAixwmMPjAvUQ+tqLH
nHe4GnV7l6fQ+S7bBt6TDAULKnonPS2vfbzGbovzrB86epbMVCmMXsuapGO3jH1m+0q58SnYWUbE
vX1oeDcNhRj6LlXI4aa9cov4Zx1Rv/qzEq1aCj0fKYRh920t35xm/awiks2SLIr2qoD5pb5ukh+Z
R2AY4Db6qbK0oz64zl1iizpBAZyPL2GzuoXls4zoCDw+t9NhC2O9Ogdta77YkTgem89cIWh9FxnO
uy3GLv5coeybDty6xc6zlki08DOgvtoLGPktAFsZ/7YkrRuBhZ3lRLPPZty4Clv00b72KTQdQZ8l
at9+ub3S0zKVwwgGlcUr9fDIemsuofovjci/SzmZf0psx5bq2hq8Uly8mt8JXi+7VMM2/z0q1oEW
BqB489k7on5xq7ycZUaHJdMeJcQW4frBWzyAnhzfwllidAx9xaATtQWHNcaqu3TlbrYE7Cwx8nYG
OnmMWZLb8txE9EYdfXHYWV8U7YfXrzW1BY4YgDiOR5fWs+NB9KwwqpgA/X2ZbSFY3b7hvO7pdJ/9
4L9OdZT832uvfzl9nUVGTa/QgdsmUzGg+Zl9gjWxvDOh8fiDXNFA+wG4Njp9Wqq2hhfvfrTL+N2G
W7CDsyamzvRpjVuvQcF/mY3HHdxqgNSxRyXnj7QPubqnc6fru9mofX1a9qpOLi1BD3S5AuU150Pn
c13ua7jFjwwuZfQyiAC2DoZXoDykgifVV+ZxP866A1tA3gk1zvnCQ23SIPG6rVhrFABemK89fm1X
wqpbaKGbetmmmGUH36294KbyzvQ++4wkSv9gZFwf+efpdbjIDzjiy6WKrwvUzn9r/LQ94zALCQtw
/UA3CmIS//ZwHwkkDk45FaAHdVRdg31k40fa+Ob3YYFTA1euVwFsUWAfUY424P1POhy49eJe14+F
bKLm+NxMsrPXNQ69/Rqh7XQu0cLUxffekhj1yHs+BN+ARd91EcBqoc7icG3elmrnVSY4JImZpuPU
lX21VfNTD2ro/imE42idtyMa/LK2SoYwgzMBF9eVHmK5e7dSlzkZ2p0944a53tJE+F7yY8ekzyUY
tRqWmF0SNF/qxgpSehvQBrkN5dpf47D3qywJcD9wCSPrPW/8kOwCPsMeZ4xpET7vdT182PymGS+V
1AN7HYGcwNOsw/COIxtjkqlq6eLUrs3QXgmIN8FzK/25yxS48rifOgworXLo0X4TtRsE/xvTlZcl
QzSu+WGhQs/ItlKQ1pUIgWyibBxvcQKBXapYcnzeFsi10iaIJy/bSFux9Nh11F4BnCbJpV901WSx
nfUX3XUUXE9JNn0LeOhFvw4QrIIiEBOtbgGFb3uqpwB+Px7wTToTytvuIiIiwLshmamyQ03+d/yY
BTTBqDN3OOhPYQr+47R81U28tClKaVFS1HwhBiAiH5V0y7CK0nUIQv2iE7YLmS5+ZY606cdgz7kV
3nDVbbzX2VKBIwzzm+MQ2TiM6JvegiheLvPkQzbLOiLqzI9lW107sTCbU4iYv29NZU3qkXGEL8fQ
aJHHpE3MJ6VZ9AWFAyHzaePJnPZiE9ttwT93hY6D9UjrTrH4GVcH4ZICi7yNN9HH+LuSNuIy9ULV
rV3aAvBj81lruX+leyKh4wP7vhl/RXUyJzmpex08dEBh/vKP2pKbF3v27xkWKt/2qvU/0XhoQ9Qs
am/+IKr2IADMhNtxz+UGIGPWsHmil1X4IXvZ+p2Tq676bih3LfzxJreoVenCtXlWRnfDFWsr0NnI
5+nnVjNUzgUQ2rqAf5DX3LzdVF+SEC3ckyZMAWE599HbxkfvrjX4l7QG1SX6sk5x300XsDK7sb1s
i2Hdax2KbviN2zwaXoCV8WMNLbEIwju7BkBIpoOpuByyFtdCU5CGJKj3DL/sPj9NIWHmpjzmxw/T
Nr1/A15UYVuqpgqvC+dC8RFtbDX92GqvHmBaugiq0klVqKKFTT+9DZSQ+mesgr76ucCFQuVkFkix
67oL+/sa+G5bDiE9uudjbsLPnW29IGuJ2fh1HqVenrCbejZjtR7DK25OIz8FfrHt39A+EiRv1UjF
XTzhXh8t0WKp7qbQhr877fdQ77Jo2B6HYUC64Pdm+RLyRMN1Term99qZ9WWUVkRpP2FFedly+G3/
sdGHJ3J6IMdIQWjbgrxGvqRuZMI3QbxQxk82ERW5tZ5W1aVBquZlKo6q4BKhy6zKl7j2xlRGC/cu
jedt38MhHlQ5tkceHNg70g33ne/T+8FPDGJNjARSCpZKsQMvPD8f1XKZ6uW19ebkuGBLiPCEVSuw
Ow+xYOS6doLQ0oMwY6R5gA6Xz2rnqJfRcEm+zzSI7uNg3B7D2WvGuySq++DG4XHhXxkWwfqIAHjX
71OmgILUtn5MtrBGy0rDjsc4HNQDylqI7gF0I362R4NormMbbTLdGW5cUizQ5BuInftTIlkXZUA7
/+U3KvnJE1X98CcyDa9TVB/4EmoqaRaSOs6toi0CImCZQK/tAsxCHy5YbVf/YCa+Gtbqu2Eg6oIL
KJkD7jNcxlXcamsLRpox5xLl+iUKbnNASZrQ/Vn0dk4DcfRpAjhcKoF4wnfZvCKN0GmHTtxMW29L
DzAJ2iQ6chGFOhVjND40vv9oaZvzaP4qNs9cfdLUuYYhUg6X8ocjmneU8trYy1e4uuWiN0kmR88k
KQVH72Yr8K+wO3fRYxJ3n/Q+a+zn9kckxHoFnJXloWm3T5Gpxlw1QHaDLDCrLIH3n8ZnG1fYfri1
dyDa+SlMmD61DCcIDzs8Qtvwtsce9sNKJSnDy82goaApo/sj3cWNNvYxMTO5AHtv4Z/ay2yN2jrb
F/LUhfovTGN4USA3Fihk/ZBMHJcg2HLIWkXe781v+JHUF0/jRjmG0RkSANtdpZW3vRcqqxKyZmTS
CCuavpA+ftZ7dBdM0ArWHBIfHsVDGlX61jOVPEyse6yk3fIw3F+7YZ7aa229v5hFQGir9n41xyOt
xJgKuryNWxvfLWE8X6ot/N3W5km0uC7OBswh78YVK2G0mSLxA46cx3sEAJbdmhFb0OCtsMDyxYxs
K+DBcpVB2KaxlSbzO+llbFIfqkhEhb8KMNFH8oo6VgAMSpcF0p/SVs9pMxH8n2hAF4JBZ9Kl46wt
UawIq5Ru6DFpUXRO56HjL/CrjxBpqhy/kBjyA56eMp2iY3nxBQ1/b2G1Vnliav9TPQZ6z5XpcNFD
/aZtHiinHLUDo+n+BLehKN/IIORNxJ1sM/x+1M+411f0GqEyZe/IGNDHkHhyTJlAL2pq5zH+e9z5
kE9N4MVl3FXhl6nvuU2DfbVf4RMZkmsyq+rL1nXbgpwPfaF3ic9iiy9zBpdZTPXxljDcPl1igEGz
fh/8L7CHGed0bur5SzQp8XsWuDm973uN2dEt1hSWk4pgOF03BwIICmVPoWe7/cM8JGK4iwSJ/evs
CwLFde+t7DLRuWd53A0Caqdhq54WXi361gWs/dYfa/uuWJdsgBBZ4rPyp2XfcD+7JzoXa4dnZWiX
6V6DpKZ/LxHM5d7kSDqd+hOKraiRbuor6XqlkVTFdVfU1TR8HtedTX+Na7T9XkOoltI5DKDkn5ER
4+53GyjLAQX34xcj+3G8+LoDp64d9q4tIjg0fSSUVe1lGiU+SKVjtHOKeoWFqtTR/LxumziQmsxr
Cx8qq4eXSU2iyXo9BBQbS0PWFBVWvlyTZThoOrdiVxmanumzAuq//aiAm1ie54UQdZ2IXuS1oRVy
wyRA13G2WR/dwPgthvVqpqDJ2UhIgaTZT/YcR8EHYN4W6J8pvQPWY4nuQWj3kY/x45gvHfaZL8QP
DvuT7xXknqNR3nqbJ3C5c/QFN+K1hTtpUKogZhWmogmD1BgqZUYiv8e+EgqbbnifXcHB2Qar2Lbo
7OOiaaZXb7BD80xpONQ5R8pL03UEFuoF5xa4hLPlYPEFufULWIs1uppIjFB6mH0/ch3J8L6xjMu7
mIoV+pow0hIywCWuUtMc6qPV8fydKUDxbh109F4WNrBNz1grt9+jF0s/legNfht2DxjOQYWdKMDw
R1YSWjRR5GZF7p56Yzzfr83oXVoE8u9MB/zTorz2DsZzOFA0g73DVkjlEw9WZtK2NZbdJVI0DEcA
AyQ4O47freHLZ5zq4ijtprkKstknhV8JefHarV9z48WK3QLmWZuNhlH7utJm3bNg7EyOvS7+eui2
AikcrsQD1tg0fPVIFNtL3yEXeFDYeY/nFulqqmG6eK3CYSQ/yLoER4bDTjPcVm9vx8uRUPEBwsGk
vhyeZ+hdZHHDdi8mvX+C86T8jbt1I7JFjUN9U0i3GtwnbYrmB+seVtNv/nPXvidGg67guANW4vgz
8RsWvkSCHZdpH5Yow+1fYYH0tOkCz80xrTz2yOcjwQkRxjEDrEyqfUGhjQUs1yETJJN12yIfiwL+
qurJ+9DORiISrW30Gm+R1M8HX6b5ZaN7/2PYBuujr3iUXrpLH+FpWYIZxN3p8J/4IM1LvbQT/N+3
+qtsdqu+VjQcTRZUaDMLktjzciwAkAJEt7zv8LuaE+z28Tpn9tjm+ra1h39n4rVuQK87mM2WEWdh
AnZT9xVJXRemA/MbmKnjQT4eSdL84lJuryiXB291xLfxIo9VlgsMcJEkreHeYUGGHrmrofzJG0vN
pYpWWUjc1KXSHn5zJYO21X1rFiue6pmIN2X4M7yyWTr6aJr05SovETzog2yrIeG7hIGt2/tlCjaQ
07pgBWdP7OhyEVMiL6tlonnSTXB4N9iikAc/nrcv1RZ4j4MXsTUPwm5ECQEtSVFxzDhXXKgKgvmx
Wnz5wzaDbFOCTHa7zJzq+D6kfVTsSdtBTeUbhXtuGsrpMnHlfd5bylIUEaJsiHl300Gv3qUNf0+G
PDE9wcfDi8MDOUUXefkQ0UDcRKWWJjXiSF6TrTu+j3wUd3QT5qmVOAmmie1p8xgjhu8/4D67m8ux
Iwbe1sFMhaVH9W0a9D5e1BYNiDbSTuY6VJRMz6jJ4VBufKSHcB8VP3GG7j62ywqlbX2EhYqN+Thj
syz9PajCe2LXun1BGb//JeI+Udkk9zX3le3vAl4hv2nn+WlNBABsgAFjG5sSFnxV0G2x1Ac18bgo
e4xP69Ss4lLxLXqmcFVdi0qsOJb2O+F/Y2W/F2tItHsfZmU7jQNtMj0MnZ0K7mv2dYEes0d+lZjt
0tNxxleFoNik7VInZQiMKkv3Jhq9zCbK+Pei5SLJVTS8h4Su/kjr8ak1LMjb9rhrjl2lDZ/IB9gx
Hg8TsUY/+kFsPx2IFerSiQ0t5jNACBdFxygsJ22tfzcIHX2SC2zLMOmybzM469BvmDUW3NVBOxwE
0n7lDwt2nWW3ebUp8xKyCPtoTb3lVcq4guOw7JP7sdt+QfQZHt8X9Lf/GnwDmi+uIdu0lfueWQ8g
2Nsm9p2kO0H34RCt9+SwF846Wl/6XtrHym8KW/Uve7+wDcUJPyoR/CHzASGQDDzz0A/1cxcxLcx+
LB9r6us2Q8cRTERoRxdVsj4GVz5e2PHBOwZNU90x/zu08+1fxtcBK0iPmJSZgFt1bXY0QrUdPB/+
D3tf1iO5jWX9Vwy/q4YiRUoajPtBWywZuUdlVuaLkKuohaIkav/134myu12Vdnd9bmCAGWAAPzgr
M0IRWsh7z3bThU7nZhg7lF+ltjYDB94RTt20yj1BtvRwthiQsqHTUdocrJJ4OPmTJMcyI6O58Dls
IwmFLaW9hUxam1BNixqOfa7zd5AMvY6wBY+AYXTW4F1WuHcQATnw4mDNOP+UzeKKa6WrRLcr5v06
Q7fwLYeClAapj9TyYMpt57LwqObhiIX9nOh0epJ5pdyNWzYQ/WAVKpCyjcBGOyqyXDcJcovMgyNn
sLwYeofVpkfORhlqx8bOh/lueJabQVKxbdx6LHf5gmd8By9Kc+uWvs3Pmi6vcFM7Oo/G2qmLQGFD
kwFK+cbfL2ygOgDPM6DAJWqQ995pGm2EPQNjXfiC8WOJUyrHRF2n/CpxWW3yC53pFF0PHUUTD70c
n3vEcZHQHil4xlF6gxfabe7dIgytSMPWEjw/EAZE44gmwF92bGCLfaQZ5ha/uhIq/YvJK/thzyFm
o5t2zKruylOqYW9rVpdyg4C/9H3sMcL2zEa3vuLJLTt+aecACCLZ5bl1ldEVESGBLUFE4Ek3XodN
1Ia9NxoWhXZ6lhivcIcBTS6SYHrKLxjQTaoCC6uOc0V5TfakLtwxmtxWsWAgOBlnBcwxbFNQvy0T
R+EM3k2qNDSes3lxotHFvJGwnHpVfxn6BasbKK52vrSBBz6BCWmXIPVKkoUIT+/TCCmw461imHQV
6bQWUOxMaKcDbCLyXgwFxl8NqQXkYOiHBsWuMHZzUWLsG43SyXXz27kmVhPCXkmmsOnWub9yh6KN
VT2gbUQLosok9XLbfweKxKe4divegrVCoR0Y4FHNDdStY4MYTbxgV3lE0DLI9CDHJHWBY35p7Uw6
dgD4AuYOPGTMumy1hYVWGekhQ8eq/XwJXEeZ8VCiyJJzIEZK06eM+b4MfOKUXdBjFtaTLPH/qJAK
PgVKrfgeiNXvngB6C4yqBxfah1nR4QKp2l277YQDVJGeCUx7BWpp8UQ0Zttsq4YbfuNPakpjkeEe
D+ji6itSkb588ToLoU9NVWRFVCxEulAUUFg+TKScenYeDV8t/4WNugHwMLZDEUP5a6F9UmXvhK42
xA9mlOLLv6ci/egN7pksizzVzdZgnua29jvvEliZ8++yMR+kKp3d2Jqortl6PZmjqi51sNbyt8kY
//Ey/2f2pq9+5S7M3/4LP78g4avLM9l/+PFvR63w33+dXvOPv/n+FX/bvOmLJ/VmPv7Rd6/B+/52
3Oipf/ruh7ju8365Ht665ebNDFX/9f3xCU9/+f/7y5/evr7LcWnefvn56VXldZSbvstf+p9/+9Xu
9ZefbYIsbeeUG/0f3x7kt784fYtffg6ffjp/Gv78VW9Ppv/6Lp8c20c3TQhSf/2TfmV6+/U3zidO
KXMETH/coyfraa27Xv7ys/+JC5u6PvWFd7IkGI2l8JefPbwTthDfoa6Lj2bDUfr3T/bdBfr9gv1U
D+pK53VvfvmZfjWg/k5CuZ5H8W9o/2xgcZyQj8z672RU2iJgjWUjFsFRCBKw1cetn2ZjF1WzlYZM
2E7YjKiJeEpfGUVkTVyWEjAIJYEsO3Imh2o4GFFl20XUiFD1RIIHfErcwctiVlG6Ab/AQZikwCVG
0QXLMNHQLbp2i46BweMnHmtTP6WSgNDK2RYgV/cs6Al6Zi5qD3cYzfNUtynqh9pBxDFjUdE5NWDk
PMYI0CLiWLyeZqdD0Yw69pjio81TjcAUxx6CLG0v3aJ3t8Rt6s/zAqsEoYim7531HUYpkzRrXaCO
WMFhpIO3qXJgIcqxEz0qLyFO9+gD3ItLI8BJoCsMeoWmqOu7IuQte68w6D0gs80jmFSeMlSc1bra
G7djPcgZZaGp7s4G05LA2KM5y2l6tKvSPi+rRe+6Nc2An65OiKzOx2pGvtuKHIXQoRXadyR5dV1p
JY4umwhguTzHOAOTeByjUarV7BZXAvBnz24n13DM+nO/srore20PC7DcnJzLdky46i75KB/bQ4oU
dLRWRiFKZu30EroLN+GoIKPOxw4QLmU8WPmE/N7WVFjs2+ZKYKrt00TcEe+PzoJTddG6TrxO0gkN
Tx8zXrKAQhvjx1nD9IXrFPuqH+/LqY1a3sm4HEoqHrxUd7dEYVaMqr22vwUM5pyVdLq3bKzzpsu8
rbKwq8DayJkMXcPmGg0M0NJA8sk/WwRzQllMgBjoqXkEpKmOtWudGachoK91glZ6sw5jeYDkNCm6
NBqzMb+EgWUKpONY4bL4uom7FgSlN8Wc8BTbNUbIXjmrHl+LgqUmXhHHGPW4Q02bgV6kwDgp6vrN
Svz5ihdqagNn8apHqH4XEdsZyD2Z+igzIfRK8gW4upxSAHa5HrIvPatEgjyM4rZwaBbXnkUfcYtO
AXek3lfo7TflAK5mtRmkRFVzGkGOfop39gXvPMCkKE0Bjit1n1nZBmTC+ThM4tFYCjEYbBragLZ8
OZ8IAqRWtv7AdnDSvnxYH6hHiAeXGNiMP2Q+1gxyKq0g6ml8DHeGqAftd1h56ab+UWDqV7XBh0O5
OEEUR6KcsY8e1N9FPplVRY3pjtN0DWZnv/bwm+T8MrPPKodAKTaHJWB54Oh4WK2IzjL0G/sMrVNY
AApd1I8yb+zT9vjdJ8N0YmC6PidYwQVW8O+Vnh92ZxdIXsRKSAWVo267Iee4WoDsqAIrKpxsi8ln
u3VSDG0G/ZH77Q/X4/RRoLdF4Diltv/RDvJnOzk16Xvb2gdesV8l839pQz/PXzpt9Hv/cbv+bof/
823/f+yOfkoP/+c7+lY//RTktfzjnn563e97Op4IJjx4wNBAn9Ruv+/pHi4R9maHEOafIjZ+29Op
/QmaKQS6M4e7mGZzkoP9tq9T8okRbuMeg6CFApV3/8q+DsTzwy0rAJwx4rq2DzMtPueHis/xU1Wk
lIGC5NO6pYOuw0J1n2kpz0fTHdTo3izMTZOqz/MEuGMR1LJvN2XXbky+vCCR+kKUs8IcRK/cuIpe
GDHf26zcD9q9d5xqBw5/jzzYfaH683S1zsCCvs52fp5iUpIzVLs2Xy7GNm2ChVfnlW9UlM3q2Kju
GfwzD1iO8SS8XIHJFYDb8hVzuLwnNekmrKzmsi+yZrsAeAjBlH3JnbGGBgIS69ax+xAjMQ+lnUZO
Z4MIohWWXAvU6DK8IrJLBq5OQwp2vOk5uWA5VBgOekxTLzKiE9Bwk/b39jLzBJz789K4R3ce5gBG
3uZYc17gqUWnLbPxAlNoD+mIbPWKD3ko6g79S55eUaLtR2ucVLIWZAlarD2cI5itUfdQowhgGJg5
53DzMhcaYy+qZomabN3OCzZqr5ZBu9LjUCIaUaZg1hv57kyOTLKyH5963x8vnXzZN9AjR2Qt3HBp
Hx3MswumLu1CU1e3tcD3s1pyvsxLfMqyC0wOUWTVp1+azIKoAeBsCEcymLE0ZhBiBJjrnPSajUFt
r+9FhlkcpWp2iphdo6abObeOpfGOjPcq8ph7UYzNw1dIZfRqSPNGnYVNr8B/ZGArfHlRFgKzIIAE
mKLZdhX2OdZ6O5K2yOUv633byZshr7EtwvY1MltHYAogWuqXc8fJod9h1rVOb4fVvegW77xydJhb
9QZiseMA+pw7u3I9sukKZOSZbNxNWg9h49g7JegBmpWztRNnIEsDqxmDrrqc+iXqzPooBgKYGkVU
uhP9DK3MeAYZ1WeHTXErDZDTM0gklf1iAVkDCIhaYTeuxR5TDjemuhI+fg+CdCBJRrrEeUdCY0Da
cJkvkRTqylgML+KN17u09wJJY8KSdb13i4MWKEFvJQhLkXD/80K/iOzdnS7sbqPqLMqquHjxwGGI
9nU1kZOzmGZ7U1pBBpFslwY2hgnmY5DClVCu29aK++zKheagQT0QQ/8bNuTozF3IxjKUaNugF0qh
lrbCrr/K5O0sUaPd07uhzoMMhPVSXPPijNl8MwFEEeeOgCYI0JR7QCxhUHgyxEiJvrzsqkNH6rBp
o1ElNn1xu9uVoYBD6NVrRc65+9iPY+TTJ6PXC2ZAebdnrXwtOwxCnYEEsfJajF/sTJxLUm3KdJey
NeGQ5JPeQRK8lXhzHZcowQDy+bt2JHCkin3dMxGs+mxsUFCpy5zShNL3wrdu7Hy9t/gcpmMfdmCu
3WZ50J1zCSkQxKE8ohmeJIYR1uN0PXoRIpZjxKy2E0iwAVEs2gvQNCXGV4D61HleHadeQxA0uU1g
wdHtW95Dw5sQiSWQal3X88H4d55zhTSxYKaIXYHQxXRnPpuSdmoujV/t6xwaFD5Hq14jYVDzFP6Z
AmwJyH+4J72X8HqJKZqgheB8rDIuKgsDkoClzH3YuAj3W451LyMD+QF4haimfYhpb5tJ7Yeqi+j6
6Fn6gaosKGZAp5QGNaYst3jiCVjz/ksHkZuAEWGAegLMaAVt72s3bTCOOaq9i97ZDhDJcFDi5dm0
PtrulFRVJ4MpFbtqTUpBk2bIYtqNF8vQRay2TGj5x2w5zlADWBAWavsmFbf9VCcTt6bQcg65ipj9
mSxP83TbF0ej7mDL2RcpdEolBghM4mECnbB0fURKK8ysMpG6QM0Vjt7d6nlh6bRxM8pwSGcoS1qU
ajmQ76nWL6KA1m1MjDgDYdk73Q214g4lcDkfEVMB0UvoQMyHzmmoA/sCfcgCbqbKojaDHACKx9G1
oO+hB5ccLMA/GGG8GRm7zxUGTypvA+HCEiLn4UJV+RTKBlHQnvYuM+MCNvM/M9E8E1Mcmxx9DemX
GFz7ccn0RdGAaC4zlcK6U02Hhk5OCKlIMpj5pcyM3DgpzlQGEgPRDhignsuqiEffwd7SMvA6etgs
vod11TQ6amauQm8YzwGJWjvZyCw0InVOehcI+IacBkOK5wGLZjw3/orbmQ/BAHlLyfQOI6pvp7Q4
B0eSyFLgqVnANaRTHlZ8KUPql8Oza8rxfXH6OigKcHK25JFddxs6Q69Xzu2rJmINpDcVcFFTOwBA
VyIzMO1j4PD3c8dfwAUfFMme/VWuUeG6N4zVyMt3I0VGYJu4cSDGS2pdJmiORYD64oHU+bXv1m8+
Q1ylfXoanFcAicDKGzdpuaMDDpQ0RKXwpc9s5DKY4XnQjU4y1sqwMxhnAfpUBcsIBS3xVQFnQ86T
laUHaBBonEGqxu11LyAYCSlDCo8YMBjJLrtik83yUtIWMrUa2z8WIRELMzs3sgM9P3unJT4pYNnZ
9Fq/0BZkZQfGMUjXGs1iJ9gG7aoOwcMNQAdFiJGITcSnIk0aT6PdkvoVxBISNvhUQeKL9zMtDVRl
XrOc35UDNjhamQYC2BWvz3Hl2v4SclG8ZeMcyqq+BKxiwOWZYwprJq6n/7DWIDgZ1frMdodnyBm7
qO3YHqFX5QXIUhKU1CfBRFMOnbhcorFcnxc5EogZdZcY17qEANTacWh50eqXgV5rGi9FL0K5dDzM
RHqJwvMILfXR52iJFoCuWIXd6UvTQe6FjBAZ25U7Xw02kdEAoj2Yhibf5XNF9s6kXgmEvHvZW2fd
ifWohmIJqWthB84lGCln6zM4y60aFYTfupCFN5eUL25oGo9iMLaBTKDliQWiKJiLoQkxDPKt6bv5
SjBypJhuHUB18Tkn05U3YrMErhDqvI+svNUYMuYffOJ/AZMxhPMkwMiN4pY1jGwKqIDwHHZO3DYl
DSUf7nNTxNpAIDBI/2m0/CGGIpfGAjJU5MPY95qrNepnDBUE1fcZjJAXGeBSg0SVBKYOUweJNKEw
BYtbTV9sVIYB1JJTqGWNEs3yuhDCTCTk6KkB/gGzygrJra1pzPPFvjZ+W2xIYfLNYFYTZJO09pgL
tAZVm/E4g+LpRqCqPHcaR+2qwc8ucXaswNTy2es9ih2psOH04DGGfD9a/QgdMx2Pru/PG4SNnGKf
/UevL6H8dNTnuvGsA8iAGNFobAMuvgoG0W+bRvkBARMVCANcpxOyCtMmRW+c2Z8rb8QynA3TCagT
ibCw3GDYeh/keH6CaQaqw5YC1dBj1lsVCiW96ao2D3woF7CPmQwhd6sMRu+UDr26WHZ5+oSRZ1Wy
wumI/WYCAlVZBNoRhmdnXtuE9Ox9zfUMxRKm3mMORFIhWizIejFGvXauQAykt+kK8MIvi8/2kPYH
ivHnGoKzbU2KR8S8isBTRickb6DKWVcU5dKDPLxGfBObDiNxkcQF3QHYJcge7SKx6PTgImUV65u+
TTFaNyytDGu012UXnm83u4VMddhKGzVAmfufVYUXuyt8xj7s08+kkvWZ7cslaOZTXVIxbNO+rQJj
jJd0BYq3GjPYdoW0l7vCGtPzThWfQeDucFNXV1yuT9yMpQxtjDr+1Wz039Bb/9MO/H9se30yNv/z
9hpKxLf6p+vhqc7+2GGfXvp7h43RoVBdYEOFU+0UtfJNh434M/EbnH6Cx//eYdNPwrdtwObgY20q
TnF3f++w7U/gXzHq0AbWDSwezfdfQM5xrI8dNvNdImzXdhyGLIWPTnFh6jaTJKv2pbKGOO0KGedp
XydacRjpK28Nysm7N+V0MWrIVMs829SLQOebTlMwjPQxPVXQfXWYXIeEWVMdpT28z/l6jYHgNIQH
Yg+14RyOUGnd5LAax2MBbb+j1uWGYtIVlJoFjXx/uckRIhakin3ludbQBbEatGW1njPwihGWGQTU
yAcDR2tgTQx6TjTQm2rWZtOesmL8uXoYBnpcLAseLNdvN5CFHOaCY00GWY6CF2KQukDjXmpQ7kPL
Y227Yluk1bV2uAdtjyYox8lzTppkKPJXmzC6qbwa0l29DAGUg6gsBwieSovwrQ0OF22Nh96sQDk8
6AMH+QBdsecFOndJ0DGI2yooUxGd+cyQxB/2GK4XKNmKEDL9ISQlfQAwnJ9BoXK32CNKWGv4opGw
kzRzfRiLeQ7WphxQx0iTGJ1jir2A1sbdrwYLo9HNK5PPEqqB0h/uoQLQUSVqK+ynIYsshXwpS9D9
6oh7OOrVrYJoL+ha+ijQfjqV9wwmhYbjtF7zxo68mRy6jDSRJnxTEGVgsHB3owuJTu+gUiFii9Lj
yabZ20SdW/hpoInyfIib3cnBtdBvrfLrM58gVaNcYARZvCnyASQECDl5QL1RBzlJz8HAVydUOAv1
SdltdehoHRvpJIgTSXi2eiHihFkAF02LE9jeMBCySBsFA+JXEldtfCUFvxqmbgN3ynOW41rrLD8n
0ARHphbIxR4bkPtFPwC7SMvY66Gtahq+RotIp2jS6uBC4HioGbvmJ9WnJsWb03t3fKxeoC7wk9wh
75AqkYjWDOV67w6oJATOQjmiXqzp3USMt2NFepXiZpaivyDd+0nZJzN6kKb0Q0TzbOEJeRKLvYN0
Itvp0bUvMc4NXMKKlT3Nsadn/gTPi5e78UKB/xQ5O2v6Fcv+OFxgytQlqoYhrNsKGL9goSN69ykV
HhRcrX2jYFYJi7V/p1Bngb8hiTPUaVh27K6ebS/gtT52JL/I57Ldlyw9awqDEYy5yCNa1pfKZdmz
kTaJ27q67zN6UZT2FoLU5cuUCxWndoluOm/YXolxDQdoi2MLY6GjdDGXU+cCJXAhekct3zTpHJmm
2qbUi9tVbKB+37HOvuYWwIURSo55KL8opztmlB/AoEEkgyCKyKkmkciikglmr5nQQKl0MKR6Ru9w
XyMK7K5Nqyx0p+Yl73IS1QL9JfGHz/5p3COCUPaDVbMQggx0I121fE4Zgks0965TlWW32sdjVlm5
iCXXQ7gK2m6ZAhtHraoMAAJBLzAtKyw+q5eobrZj4GjtZSEhcBBZdnTR0UdMi2XbFK0AZS5vinHS
2Hhn9E0uxOcg+4tztno+3GXZuyd1+YQpJ++yGzBPChPwDkQxtPctGEMDX3UwZdCmL91i9hX1zfV6
aj24bKcIIFsVlQ3oeTNKHa294SHhQxmgBn4cnEbFfdMDtnCogUgVVhEzzyC6SteEPQMqIHtfRlBd
4uFiY2R6+sq9DM9dV9/WfnXIMgZOVb5ayHQ4UEcsIST9c4KZysP1yKszjiRVgIEFShVv0ZGCiBhm
ILTjHq0v6zT1NqKAeLTKJjitDe4Jdi7cHpHfkEeEo4HsjaSnlde3E+ozGQAJ08FS3fAWXE+Z7+tZ
vOYcnxOP2lvrmT3X4sHPnMdeYG50J0ew2eR9OhFKaOSaeMxhYlsmYIKiOIOjwtug4sXMP8ucN05/
8rpc9zNfgrIv4Oyw+TPPQH/WeQlWtdP4bK4KWwaLf2ahR11RXcd0UiqWrVIbypAQzT0UsW7jb7Ic
ynomh1exrteFUxbRYC1VSMn0ipGR0LHl2Znlrmk8r2pG34xloC77B8CWftRzviFV94CG81moMQ/a
2UbnVMprUnn4buvBzZedb/pIYt5F1NblbT0VMijbEkKgud/Vjn/VyQnWhqW9xDTNhFYsj9DyoLVq
ywvskg2e7wIgMuY8J5j1cU2NlcWZdwJqqbjGYPLNNGGyt69bWMXm7Ab87aPrNO+FO7/QzHIjw+06
HJA8G0J7d4d1CQm06knoZcInsJLalDfU1Jjql2c80e7yGdHfry3sQqHLhhHjFZWMp0Zi+BoMV7B9
oL+WQl4Kt3ok2XpDGtzWYm5uLETQwijpWXuTwQg0Vp2Op3K8q6TrB92k00D307pZkf9dd1AvIFtu
RRSf1492DOulQHdKjg122QjPlBPbaXltuOo3MnVVUJ20jHoxSLgtAZjAJt4EDMnIgYJ9OclQMcCG
0Bw8474gMALTiH3/3OHDHRrvJhJSbanI7lKYKBGGmB65q1Q0DGaKZgt2jhXzUnzEId8NrQ2AvkSU
lU8R/FsKSMrKBuPsYEq4dkWbYvDMCQYalwTRh1DYQre8KRDzmfCF7/sRzHku1psC5jSK6GDI0ZY9
GmQPKKdRmwoLDGBCYKDC9dpgRZsfKsxuDAD3wKThwwdUVPUGFk08in4KOmG+kPVaRstsq8iqMVxZ
uc5947AjHz0W2vZ6Dyo6BNUZdwi8zNZu2cyVfWOleAdHZQT2Dg44FppKbuFRWPwEVHbStFMyDFV6
joh30ADCuundwgdkNDebHn4clHUIgfeXCvPN7OGE//sQpsr7DmqTfM4/M4aJeWJJQN/eaeQibWqI
W/e9XelE2SAPud2jleL2Z2wcecLY6G0d1V57A+5D7FxZ6EE6Fnt0qJORWFv39CAOs3CCasmaoFsH
wC6VeOS5aIMR8fkQcDQgSfR4lZqT+8SX2Wa1RsQOToUFJ2JuB9gN7rJ1fbJcywImQYf4a0H/39Dc
/C8jDk+5Sv+8s7kDafjTQf9pX/MNcyg+UQ/tDFg53wUA/01fwz8Jj6LBZw68LCAI/9HX2KAHmQ3f
DoEcCdSag1/91tf4nzwMo8FvfFdwUId/pauxT9/ne6qb2gRgDZonxikMFxAkfTucRrcq75HNDpIA
XE3UFV2G+0ZpKOU5dS77MmsSG8bwcPKbK0yyYbclfNyQ9rYshpHJDSFN34y9fwNXXdI6HRLXKrbE
jg952dJfWWNXAv7qdlBizBsIrCecTWNfuGXR7vw+VcDsfeXveg0nhxjdPBxG+xq+ZLqDbbffKz4S
GD86OFT68oH3y4K+YsLy5eo7OGRD3jl7pYQVKDY8i7z0txBXFZjmZaVBNfImyDHTI2zMdARqGVsW
rHrp6GOn6l77gu6GrL9AqCrsI87KL4CNAP2VdEpJkA4CwcR92mgnmK2RIBTAB1rnWmMb6xXuUxvA
SoQBNu62m2AMxByE/eDaCGsYs0fjWO57xufs2s08dIAZbFYR7aBjYG5+TW3Pj3ydQ90LyV8Anf9m
wiITYLRMihmMpKsiC4knwUgaGc71ZCcogIYNyt3hYVlTZzfXqnmeMqA5+Nh6X4/kCx2bPKo6tbVh
yCubnmFadpeGY13MIXdYtem56+wHiG/2VVrsV3fGR7DcIgQcR1ERuBd5SnHN7QpO+4yqne8Nj+CQ
7bhLi8OUQx/qV7gmDhyJa0rbPey8JrDU3AQ9wUTNuUIJG8KbW2yhvESRTkd6AMGKHJF0vXTTyo0V
STuU8O6659yAKHQLymJZ1d6B9YKejZOZnjsYGEAn2LXet2YpEvjn4PHIuXU+LGt9Tgfp3KVDBudY
VaVWWHowesOCnRU7dOLL/61pv8obTymx/3xNOzzpn8Kn/I9Izellf0dqnE8CqxOsTgSr2td16+9I
DfvEYYSlnusAkPmqnPkdqfEcR9iAZH5buf6xokEmgb+HTBIuAw/gyl9a0j4KIWwoZVzXs33oLFE6
fEw8Kr0yW8fVl3s5w1roleFSLInYzlOL2Io1Nj+Iy/m4fn443McEJ1JkAhEWOJz35qpys8xvGpyh
GpNvrsFvQs5vhZtAxb5ZpqHGwhbAEPqCs8S4Df/e98u0ZD0Ug61d7SHkSCiDkWhE3AKzYqioT97v
H6Qh/unhcPWoTaF0Ee6HXaGdhpHklFR7xFueZwI64uq5BdeidX4cQJ7+6y8HjO6PX+6bo52SPL8Z
kGY6xFQsJY6W6h4WZT+wrDJ27PoH5/CrqPp3WdevJ9EhgjMXYKAHKez3x3E85AIooF/7Lvd2De/j
yde7fgBBU9lbEEpv6XjvCOt8JMs9nAWA2x8q+Fj/+pf99kOcTsa3X1YD5bGmqdq3BY9zcF+sXDZr
8aOkzJNE7Q/f1YZaiRMHdcfHQQnZiDEJmF5f7X0b0sghjV2ng6FDhhyYHtDFL6t9KXP973y50wOI
W4bB5PMhhkn5CC7KGK6kQ7YZ7D3a/+JM+gcSxT+7XRB1DV+pQHHET3qr786gm02rgcoI3jp9nhZj
1KDI6Gh3+29cKNdGXSawnHkfnwGYHS24B91q/+gZ7LUr4mic5elfH+OrLOsPl+mbg3y49X0LWukG
+RN7CRoTSiYwJjXkSZeGZGor/UU+NBLD95aqFkHvuzcuaZpDV1DwPgqi28y3r4wH9Gy2jYKEd8TO
qKuYNGUkQcpEGJu0s731SzZadAt/63ojoV7qJ/To/lQO1xnmEodAAJZwwDDUG4KYGYSiiWFjwR77
g5Xyzx+/b77rhztfwzMHAa2o9o1WVjRn5l6uLdzOMMIFWYk0ttTcFEOVBYwtb9ncn7mn8z5DpZAP
P8oG/7PH43ST2lhVIbf/mEeGpNBVsRnraTpA+KOtNoAOE7Sody84T7zBhGC9uzhX9o8ezK9xTx8v
+beH/rC2ikrAjDbgvpL4ig6+ann6znNzQrpaCwlOJzB2QXSSdy9bstejZcORTt8R5HcjWpDi//oW
PN1hf/g4LpBjwSDEg3Tw+6eptExjY6ms9gtAIYgCHzuz/GgUxwdB7a8rr+vbTGD/5+iAPhyktSo6
FBhWsAeZs2480tw40nqxa7c4cwwEzXK5BcUAj6Kjj7m0zME2b4T+KMn6dJQ/fNVvPsWpdPhm6VU+
vGZOizVRLiUEgORttN9NTU5iD6Bx9vrl3zizvgexKO4y6n2M0yRwkPXQR2C7MXkf+PL/kXcey3Er
2Z9+lXkBdMAnsEX5oqcoiuIGQTl47/H080HT/1YRrCmEbq8mJu7uKohT6TPP+RkYUD510L8PQomL
16AONlXM/QkGD+J9pEJMH1TpqKDhQLnb+SchdF0HqipD150NXu4XWZ1VQEFtOb0iu9tb9uFyhN+C
rvORoez3nxCzkRky7vNgOqOjqmXfkq5ptqgbdytwB/IXWzFNBwGf17TWG6eXJegaMNSc0Qxvy6ZK
HVsvbtDa+WYXcuA0g/7JDxUQoeOLpAJwKCuBtI14opzyXRsHFPXFQ2cCdCzN5FNvRZ/BWH7vbTte
dZKeolsv+6txGIyNjNvkxtWG+0AGKwGr0RGmSs6q78YF9c+zy+O0+dNudTIx3/ewRA3mONjti931
GIzzS4s8vEYKDAEt46D2oCwHJYgdrx3MBdXKcyerLSuaAume83V+5MFND+CvU+IEZ3TfQ69tYuCE
vFQvD/eHLUclEQLqmXQDQGYhzw6CgRWOZEkcHjOX0huK/Blo0QXDjvfPAHac3zF4UJAk0QVs3fdd
Oogy7YM0C49DNhzGxv/cGBmF6vaLUcsPcIW4NLcLzTobkrQmpAlmgjK/csVlnNSKX4MxDT4l1Dbb
MnXG9r5GkUkRumPBOL7cj2cDappmK8bvRNFsYUZ1hXV504THslQcJe9Wsl+uQqjSHTVVvdip3ZJh
3YcJMvXqScTZRNXwBDDrgPKcChgz1jYRvC890BfWw4d9+n0UQ30/dunU4AaTjWNfHhvQgLkO2Lp3
Coo3Rfvrch+ejcXbSuHZSu167tBgtmoheRXA4Lp4KNvuLucuhlgNMG7pEfWIv92tp5adRJv1Xw9R
PkfTITy64MLR+3NiNV8IoUx37Hd76e8YQgCHsCyUVmczX5eQP41QDTxGYfsz8bONbHevVNy/D1L+
026jI7C3VRmMq0GTR7QqoiW7sLOTRFD9slXZtrX5C7wYUfrijjMNn/lFquurQZMm0cKFu/N0zf/Q
TpvHKZwtlUU37TInm2ac50UV6VJwpLz4iobV2CC8WH2Vgm9/P0NIJ0zJBBuexlwM36WaKLXCDiBg
Z9WmspXnhJy6IxJKi4gUXhspRP/LIc8tbIiaQjUt00Z2dzZNlDzRARYQ0tDVh9zyvuARe0waqvKy
jVhhveEPF0La07Vz3p1kSwzbQp5ct4zZ0w1JUNBlmktMLfgiMgv9BkM8SVbc3vh5/eb5OKl1fQyS
r/B2mUlZRgGi3jfJvoxgjEgJV/YMYyebVarFnuwoQ9dC1zPcnRXqxj3Y7UdNDQrwxOjZetwF3iS5
uyrkHB2rVk22gwYIwMbo0KBmD7DzzevaB4v5OqTpTyXPvnPqv8bM53p0f6D1xkUkkey1m/a7FIFV
qpwIE1WIRZmpDY0DPQKzBC6o6OO9VcMeJeXpVgjomdXXeJLYAvqKrO9NohQ+WMXsQW/DW5Qnb9RY
WsVm/5xHLfCYfnyRZUGZuQd6kZpwZkNInqpamtMBDFCt8n/WVgYnoi1Kx25jathF9AB1PnU8VUZw
JGkPtW9mW7WE+ZiTmB6zrts3DWj8lJpkI/K3UvfuJDn31tDhr9LKVFYa1tEgA5EqtOUMNQUqi7B0
l7y+zi2h0zGfbbTZ0Fq2imLesbfbjT7yzoQfADDXgGlyeUZ/vOKwK52Gmq1WIJEZVtuEAjyop2TI
JFQ5x1FFPqv/GcJaMJL2ycTWbBCgHlP5puF3XP4NU4j5DLdVyM8yiDB0kmYbY23GqjwWdXRE2BHc
bbr3uNP9dyGmhX2yJxVmr3m5VETH1POtNWBlgbBTu9CO3w+Hjw0hzQIJF8NRY/aC5EEL0MiLoqM7
dNedx46eHqGKNl7hWFRIyJ7tmrh4FG1KMbQALgkHqf3mpgO34bajglI9ZWYFPhulmQ50pA+vJ8Pe
MTURxMsDJ8vBCqtGsRmrCN5ycXAj4SGAWIwPva/DdkBZNwe2Se0fgG0Y6F8u9+K57c+eGI//bt9s
rowd8v2l0kXHyGwB/wbZ0TApzSLIFPRajVBPcAXiY2GGnju1ToPOZkeooRuDMUF0rNFQIwmjHeUK
cbzKWzhOzs/CP42bZa8QxhNF2RGHpMRu0IGCQCa63H8fUwwsNg4sFEnQHyC7MdvLY42dpRvt8NiF
Cth75ZAjdrQdjDpehXLlaBN4oazT175LviRt/C1NgmBfGjLoFnQwUJQtl3Kv53v3zy+a7TRoEEaJ
nwfopynaV5PrM8VppHhl5fvlpk8n48el8SfObGlAFB+aaCROqHT71uvgikHI560frnxLdqxmeID2
Buer218OfHZYyaBw79GYunMb4Eb2DSmV4+iIgN8jdKFDxIvyvwsxWxYKKt1dMmbRUR/GBnwABgM2
a/pykHNHAne2/7RjNj0lChDoBSbRkVzxXQ1N00fYpY3iL26QPV4Ode7qTTZIqDa7GKWh2YoT6H/r
iEyx4nTIJ720i5MKeYgbCPMPvfH1crCz7ToJNmtX0bhtqJoKeyUCRj0ZhYqrQfpqqv3CG/rs5nUS
aGr1yRGglhVCdshfcc3+oRWbsDnYobfqknDCcDgloM7LDVuKN7srynreijygYUFqr2TJcCyr2aBD
B8pfPsTlr9K4vRzw40wnr8+7QqhknJBfmPkhKORpLK0yg2MGfNlt7mEsLIzVmSfMFILKojWRqkFd
v+/DpBBVCXo3OLKkbuB0uPBQJ/+SiokPR8bdNbbYaKCaHXkIOMQjURhOMSQLGeuPE/T9z5gNpZuj
2ICOSwCKeMoRxptxNNYN+CQKflxX9b9e3+/DTSN9MnM0ztb/07FY/FzLg3dvd4DKLw/euSaB+LBt
hTyoZs4TsVpd6Z7q0SR4e8dUAQk2duKmNmGKNCq8v16Wd5cjnpsuvJ1kipbke/jvfavCLuOW4E8R
ozFD3jZC52xRJeFDkKk8SvpTV3SSzNbcXgj1/gBVWOpOQhwrmJGf/7INfP60ZjdvA2JkKLp2QP9X
Vz/+u0/PDqyySASMKT4Nr30PisTR9WBhXn3Y+ma/fuq8k3mlejHZj4AQ+fBdtcJN3FZOaD+XWfBP
CnMnNcfZhu42vgIGjoR3UVzrG6AiVbkwmT5cI6amnESYbQzh6A+GZVJHiG76+Ka8yeKF3fvD+pgC
nBQwZ/cUu7VARJlUQ2J7D6Zx9NdhdqWbj8WS+53ynk7y72L0SaTZwHdIoxsWUO5j8RZZ62KED+HU
cBzXqbSwYZ/ttJN66WxYEk0KEKPUqZde8bJOP+XB394Zpk47CTB16skEGzrR+l5EQdYerhSyxUb2
M3N3RbOwHX846WZhZvujq/BmbkuN8o196EGkVU6yz9OdBrArWv+DVXnSotmhimquEZU9XZY8Ug14
u/zxc+uRpJWCKAjwGdOa7SZ+Zei6NwJD4IbojU5zO4ksjp8uBzk3kU+DzCaygZ533PlDfDSaF3Xc
qG/2zi9/WPJCRylLcWbT2PYhlXQhjdnWzC3zJtXeSgyRJWPX7wbvuvG/ivar5O/TbHu5gdMQvLvp
MxuEoXFJ4FSEMDYborgBaF4aNDC7rfD9btfbpN+Cj20Ol+NMu+OHOCeV4tlopQg1poDxqeI1GBqs
zWDhRD77/alAIQPABJUya0c/ti3+ERMCoHXC7peIvv+D339S9Jx9H38jexyn3b+Td/3DGC9NgGki
fegfRGegmJtnbvEoqwaDBa0dWN9ri2BXuq3EoYExoPyABVT/HMPN5QadnXEnZdXZjAO/OSguPLoj
BXtghAd/XWi3TbJUzTk3LhZIFnmSz+eiO9s1A3i1uIOEv68UtrkC3ni5GR++P6XpEXT6nwLVrBlB
JlqpctPwiBZNCajUWziMP+wys+9P8U825SjsFKsNKYBBBMIpQQ2fs+GH2i2U2c624k/NS8y2fqUv
B7XPqHmhT7CzF5rwYaSnJpx8fLbhRwF6DZ7Hx8e6c/Jo1T0hwCDjOLPQiI9n8SzQbI0kXIkTOShD
UDjHoPmslyt8xvINKmtj8AXSdLew5j+cyO/jWbMnVBrCEgdwE+KFwgnwQhFtXNoefxuXvVuXsxiz
fWsUyiiVbRUeLes+bz+JCnrzKsC0tlio1i1MgTmqzhgDkYRi6jz7TkM28fEfrJM/k8CarRNbjzTf
h25zTFF0RMfwvxyK2TJx87qvi2kotPIplfdxufp0+fcvjfVsHwlHdGqVhknsvYE0EY/FkovlUoDZ
nXgcMqkMe6rARbvmCF7hHXC5BWd3kpMRmC3DASsrndQMyxClptZpQIxF972xEGVpGs3WoBVp6ujS
kqMrbZqHwN5fbsTCXmLPlhwMxqSJpuUAxXZ6ZV2V3ddoCaW70IZ5EhBDJ08paoaCN5x9hd7H5TZ8
HGkdrDV0DU4k3eT1/n5L14MMwiYkiWNaVb+a/K3ujFe3+jv33wk5wW3KsuGECFuHgTKbsIUWoho7
Pdj9aLxT6+DazaCFXW7Jx9F4H2M+pbIx75qaGJKwMdK4tTFGCaGVDSH3xqX5e6b2xJvR4LJoWtSL
J8rMu6MQKCx+IyUYbaHrK2CFwMCR296JvSfuq+h+hICmR6hClcnWNJeytuaZbPz78LMFKsIYKWbZ
BCLumQMev9QqJauL1rJrdddJ4AabzogEdPJgbcbscnHthTvExtWJA1uskSh/AcPeIesWPlBjLRDX
mQTi3UHfgyR+HifqeN/5V76CIFE8GE9QSND2cRGSSprbkfvfPs60X43QHpqRAvlgaBvIwntJo3rT
4GVsl9i+uJkHirYd61VmetXaNkE+lpMQdmgpWylJqFumqud4MbhpmKOovKWWSinPPKA8IJxSsWBh
txkk87bb4Zj3HFVVvGkm6RgZowenVdNXFPDQ7vRyCJhx4WR9URw8ITr0WMwUmq+MbEj2ODTFvsmw
vysj+wugwMcwShCkCdWdT+GAvG0Z4jmifaq9DNnwzkZGyi6ach/l/a+EBMEh7Ioc5bwu2qP8mm5T
qXmwsuwhs6oWszS5XclDVDtKaUVr6gEmgoQSYJ1A/RnZ/P8sQXO39+0MyMIkQ5Sk5RoV8K0/SMKB
Jo4gWh1exXZZrsZUflRiWd8pkNuh6SuGE4s4WudKfpNr2qOfoSKkDTSyzu7tGJkrVHisNcS+wkHj
Fplii5JdosPgHjPzrhQxAugaJSHX91A+ieXbMpa+hxIAIm8wf5UV3neNraIQ24OEgeWwAuAd76wc
4zGlt1zEZQIbqaqRyeSN9lYZ1O+WVlY4iQUKcgEDSlRw0LGFhGOqtmG9Qv3hCluCqZAQNOjjIRFn
S8ljYpgkyesIB/AAfv+oSGKb5qa5dVH5QR46y6+9vqp2ugagXDLLHcasqVNpubXSCowxZNGgpKBm
D5AZECxIkNTrBFecvB2fket/aGPA/ZGeoAatT6oFti9WvYpSQz/kPYJ51XPVgYltFNTy0lFK1mFd
RS9tqB+tMb4PW2aRqZTB16QKlGMWlcFW+G281l30nzBrMTZmlNzhR9sh0uRdJSVkdrOK29u2DtxD
5cXyPrGipyqHyRaWHQdBPozbIUlvk0YhRm1+zZBYvK4m0YAxjEADBTXMyzI3sCeFUOYXQb0j7QFO
L6pVtK6ZnCpsWS3P6i2mKFddn9C5diOcsOhfipxfWRky2m4ArwMQ2JXmFhh7hPGdCjq7V4Nk23XZ
gOkGWkF1aT0Xyfgrn5C/OJjWuzaW8Q4BMdugvrXTGn3YmRS6HSy4P6W1/AIgBX7aM553r4aX30g4
BTmaF9xaXRBdB5a+gez6io8YYnx5ZO15WXc3flQN2IOE5jrwkC1QbDxnqLIOeBscUR5wylw9+tnA
z6nBO6DppyjoL0H+N9cZgxo2QqzlJyM86AhuQQCONzp2slg6IzNl+Y++fpVJd2mkHHSTGqdS4Fkm
Y3yVm+V9KnDxymDcDpELZqOuVKrYYDdh5ifbQmq/8HbZm0UbbQuw6Gu8VfDkQo9hVar9szphS3TN
v0ZsLOdnqJNuBp46UYNqCFpWTf0chMlX30CBq2cV+yVVz643Dn35LUR5LEPGSqof29hzt34y/rB6
A8u8IHd61/oUePJrY4l7LcZlZgJeoHiWrPISMb0ya79nEzTDCEWxxkdz31rubThWMsY5MZJf4ksn
hZhTKpq8thWGHk3VGktVqhT4bVwjpXfXuZNNDcIOD1LRo+3okzNDtWATyyJdtVJ+W/Rtsyo1gegH
pJhV0er+xvA6ZSNGpB6M/CWyrW+4HXwmoXBIA9gC7BcoS1sAKPQ8fq08bDdNL4hWiSbfFY0Rr8hl
Hdqhv5ZTkn8VxnrC1DYBMs8IiRCHm6nsSPEooxshQQ628QBwsqj60QkVWau+BtYjo8+XpPtRTXYp
4LK1JOK3psixLqMOugaQOjoY5mCkFvhXrdwfgsb9qvmS75hmc7T6/KUT1pVdqaDASmtX5s1jyg0H
9iKHXTVoL72MaCkIdd/JPOUm98wXVDcBFvboGoLUTHPsIgoQ2lYi38GKRzz+2TaHK4/BKOP8YCsP
ajnc57jIwlLfZkZxa7nltcQJBy6nEJMmy2RUweSrzceoV5MNdNjPSQ2FvMWLcTtWNdmrbCeRVcTZ
a4U2G6atORX69lYY2B3X8lUcWRtVDR1TKVZK5fNbimpnaq50JSxciweubeuot2AM6BsrSh/UOEj2
oJBghMbgWrRxbcgSMhRKYm04n411olQhEDxN3aS42t2UGkE9O6l2bYFjj9xzmA3pbdi3ydHUgpsq
Qi0zRn9lFdegStBGUL5IRYm4PMpXTihpqA/26FSrVUwCri05GmqEzgtUMbEOROhV9wMnhoG7tjvF
vR4BO699tbFXbhMjp2HhJ2Jiaop7F7YcE1f5Bmoyx42IBFC38ipVrlUTBHtnaWh54oK+KttsuNOS
YZ8FxWcrKLamoZq7MqmljWb6yGMDWd9VZYYQj2SDl9NQchsCy9yDYyqc3vNUQFV9uR2yvN31tXzw
s+rZnvxLkTxyXzWUkkp8S151tbjvRc4umFbfMcKztk0R4TiXRnexkQxrfLEiaL9Ruu3l5qWv3JzJ
jwVmL6Pzhz8ziKphbO9kWxGOoaGqV6dIwqaNJW86BATRcENr1Az6b4HcPo1a/tbbun/T9f7Pwgwe
FZzWNjZON5OsTs6aSfZ6McBljk1pM0qc5AhSvvSoE60sBnKl1CNq+eD1tpJQn0t4NEdJK5q9r/TG
zhhwyIwHBWNFcNGIgKLE0STfWqVAzmJEyzcYteyICSXHO/zd684KvufdcBPJ1YPSyu4utDG8Sqtj
MxS/OMBDnGnRrjMGBOjDNLkyEkxxVI02qWYGss3r18UQ5z8VKa8/Ifkg7rCe5I7Yqv42xdQWHrdX
rpUiFWtFJE8IgKCAqyFCanSSvZerlo3OSs1d3qnf/R7lCkOdThpRBMdaDRNyF+GVULo7r4y+h3kQ
bGRUGqjJ5jejj99S1CGVEsiYTNPuHkO/Ml94R3x8mr6/Ws/ST70WhvWk7HIUFpIS7ITyQI09upfM
hRTRmacXZSdknqhz2Bpwo/dPCBJEfaK6PFgyjbFqpz0e4SJl3VjS0tvod8LkfeZGVwDFmzqWB6DV
5jk12GwhhvfEYg7ekxx+0kE+wg0KcKzo6mbHxVe6QnnsRzJw21DHr32ALE5WW+O6NfpfFKwbNMHk
ScI/Cp28TK+Vsn2UuCebjbY3hiLdWEajHkRifkvRVNvmoViHdvQ1w/h1yw3xq1UwewLv2Mv9r0Y3
DmFcfHMN48H01CuepRggyq69ayMUh4BUdrs0M75HLfFdXLpWUseBIXX1z3Y6QlLOEms6VMbpeHF/
nzT1dOh4PnuWPx1EoAwQ6ECsazqiGs6qnjMrkCmPxJxixnScldPBpnHC6dNRh+MnN+Xp+DOnc5Dz
MORcRPD3xeSc1KcDM5+OzvT3ITodp/l0sDacsNF01NJXGzEdvu50DKPqnjy009F8+ZF7Jq34fiBn
k6bp3CQaIwZS/hw3yW0QargIHgIkV4cWCO3nPPgphpfLQc9N1JPJM08tduR81bIxgmPcjdtSGxxb
tDub8/VymDMPeGUqWcgTMlo15rIRaJx3HUQVkgRBfzP2w/2Ao0Vj6U9Jn9ykqKP+k3D4SbPcoY/N
WdalUjVmYNCTiRrdJBm3t8m6BPGZ/had4YVgZ7vQ/q0dCHSOKt37tT5qtYeMVBMcW+VaGL9i5AbK
oN1cbtGU4fiwyE+CzJICYQBIbzSrANqdvKob66UrXk3rMy7rXaY8kaq9HO5jZoqpeBJutlGiOlYV
uMKD7o6wtlJehWUv9NrZNMdpiFlO50+LJipVqz113hczf26LV6+7VrmjaEDG+5BzNGqxlpeQ3OMi
LpZmym+c+qWOnS06fL/wLUsYPb83kAB0V5advcUquKuKi6Ud4X6WTbfPtOoezdg/WCa5lyiSd66K
t2kVYT87XV1DBI/XGHug0jHdb8vppuvW5rdBMu+Sqt7Yo50eMwwoi6ZtuCAUz2Vl2yhMwZLv4OU6
3ijdC+TMUDPj4Q+D4CFA7K81p1S8ed2U9mZSdzJrRBOrkjfCKBm3lSWijWtYB1c3P/WBrWG1g0FM
USAei4IRMv7IgntVeGMOS+Cjc5MeygY0RbQtKefPui2sQk+jtOYfk9K+QTj2FY29a2jDC7XvM9hl
LvJ/4hizPKwIhwT2OXFsV0q3quHju8tl3CqsZON5w2PeoT0WlgHJCNIilWpfV263qS33K2YUo4NK
5k2QqaiUNPqr3ImnQm4/d1r6hnNOhjZSfMM7C//3iDu57Ed3TYGTQye4hmueexMWduGIvICXpYWf
K1nD664uuYxa3iGizZfX3LnLyWlTZxUY3ME8AR/WPxrSt3oKY1lin0vZU/LXJYapTy2qiahu6NA3
3m9Yjd1mZLP84Ijzk4rrvPYchgtFnrPTA2U6zTBsmWvQbE8MzBSdnFbj3mdJL6Wy7wxspaKluti5
TRGSwH+izDbFAvEvzRd6cIz8dDuapPPgf734Opf88kl0D5fH59yeeBpttmFlvZ9b5aiShB71jS/e
vDZb6LWzETQVVxZuc/D0pn8/qcFKauACBR25AETZDVkiJqi3u9yI30fffL+zNWRzIUJpWDfNZllo
xEbcAJc8ti7G60bbGoeuM94Mt9tiR8Ctu6prFH5w+oyoMatN/tCOqC1bqHwi91kHq75PISYbxl1q
xPd9gQI9yu7rIStv40Y7tLWcHDzsOHx0mRFdjuV1nxvbbrBvfd5yKGwrW7cjFaknC8PzG6X+vmXv
yr+TK9+73usESBl0uSkQrCXeKsN9KH+uv1W7bnC0a49cuIMMvwZoERUiuPvJg5CXDBQ/zvv3v2FW
fcwxUZNb8kpHrDe1cofYXLGE1v94lXofYjZJ5IrpEwpCKIGTd7cIV8VrN1+rS+fzx8X1Ps5sCdcc
QfjYUohM3nT3S15VqzH5apESJL06bCLrLq5uRbL3cLioNm21vTxPPy4Fop8wR2dLe6zMkTa24fFF
etaeLn/7bA+efHu2kHVsRlAro+xmpY+pvq8+dc0t9Z3LQc7OhD9B5gcXiywq+pIgarSuDh3p7v1/
F2C2kHGt93UXZ9ejaWI76uDSYC+MwdTHHxbUSRNmkxm9r8SMJ75wV1PbcVFTPIbxpwW04cJAz2mZ
iVELUUyDAau73/MAvdxLZz9vc9xRCOW2Mt/uSjWKo971+bz4xn05/Se//uTzsz0nQKtXhAGfV38h
7Mw97/KvP/MkZBmcfH82BOlYJIM0RCHuwc/qgI/dA/pwkf3GCzxunqE6rUd7qbJ+duFT+OS99pso
O4sZw6ZKc0CgR+VpELepsQ/RwZaelODT5cadH5o/cWYbzCCnDRUE4mDFvXYXBubs8jtpxGz/UDoF
xj210mPh1OYDF8X/7rdPW8zJSZ2WZkFNkd+ef28ddaFjzu5PJ799tj9RrYWN2PDx1F1XNwhAx3hm
7hdFu8510SlreBbGzkWWKwldZDe3j6axG+qFtXdu/zjlcM7u7hXlYOoOVnAsSRqlzZWcv/SpQIlo
YT8/N5FO48wmbNApqOim4BxGHFS64qvmLWyESwFmM1WC8ooq70TpRlXgsxZt/n4ynf7+2VxF33/w
+5bPH+7/iXSGBblPBpFqITUx65owFhRgSAsfB7yzsm27BIWbnnnzI4LtCUFSdF5Ucgbv10HrNmHa
uCPspQEZUA99gp/tVlW+iAGLvKVM57l1cRpsNmEHScHX3IUqhdGfV1JhO+QF1iMHtVgYkLPb7in1
dzYiRSTxuvchXVrZbWJiLZAcjWN4q2btKnXKN6vZ/f0MOI0360Z0Q82hFPCA7fJgPeN0e/nz51b6
6ednj3WqJrU6BDCZg2e3fYvMNUIIC2v9TDrnPYd0WkMnOyLgS7Uf0pDBUVdbDT33Ea0WtdpjmdVJ
q24B239uazmhHc5R0LXaSqBO4DYGHkQu3Rm8b8iIUu693HHnFv5JmDkKzJOLpKYeHB2z4j7Qr5Jm
qSBxdkqf0Cdn94e8lOWhTwkgxI/Q3C6+w89Q4xiWkwCzDaCitJaYAR3VVN+H5+Kxu5Vvyk/V54I6
4+dcX3iDLQzL5K5yOgl8ivB1ocA0bzZm8bOlFh43h6wLFt7JZ+fzCWdythHgn9ZCIYEJOtll5kA0
8C3CFO1vxx56nWaQzddB2VPyfd8WKpSIqDdsneGk7XDrLSFJpx/5fuuc6Hv/4UVqs0VpqGEAsGgi
Lb6owT6WHtyXvr2ud6p5d7khH3uLQNREoHcj2Au0/31D8DC0yIWTDAfasBmvUCPmAffXG9j7GLPV
r1OS1IUgRpivUbR3inRJjeFcK06ZiLMxl9UEB7eBCIfEizZh/5Dj2HS5oz6udh1WAvZV2N5T8JpD
+FXDRVI7JsRz+UX8fUGQ6gdcb4SmMPadf7sxB9vArYRLtV9sJ6fUDje8Mkw2l5vwcT/R34WZHVwm
Dql4KNCEXhEHbo7BJsKBzlhp2C9ejnSus04bNDuy0ONSbIB8VDh1R0KD+Z98/g92VczujrI6tIHU
8Xm3fPWNW2oql3/+uel0go0Vs9Wt62HWggHl+/k1uMLPZt7ekX1diPLxegRuldqIjcYGaonzPSTy
yF+rHntIWoMoCe7NEsgauo0ImlxuzrnROA2kvl/jHVxKy2gZdzVeK9+1cH/58+d66/Tzsy1EiKZR
VTx1eJF419zyGrHRgTJcDrLUhunfT24Q+AtpbTp1Fq5Aq3LyKvn7ZMB7GPFsddg8eFqqk8zZCqGC
6tfwT2btKRZ6tiisHP8qkTGr8jvMKDAL/OseOkUVzBdFFqm4GRv8fpQ3ASsuHN5nBvnd12dLAslY
TEinc6KSoBjVjt5uY39pCM4FOak3i9k2HgHUhXxNENC0jXGbD4e2//uzCEUq7M1NrBIM3M3fz6Ow
0/Bx7ade6u8NXENSdeHyeWaivgswm0aDrkk1Enu8Nz/1+Qb01eVR/niJ4h118vtnk0jyjbLntGAd
SGvM0h8fpSW57rMNOKnGz3aLYMSCMlYYhCERoAqvu+jpchPOB/hP/X0u6VZ6cZh2YmpCuPqyyGA5
10H489HFgnq7Ys0GuMCo1Q4BzB2jt/BLbjjSAeja5QaceQFSIzspLc0GIW41WiBTWjLx6sOPr9u4
+fZWkp7LRR3I87FOyj6z3RXsXjNGqNAc4x+h/SqHP6Thuc3XPqZloQjXwVLjpt8+u3mirvCnBDQb
flf3Wq68nX8s3W0ZPY03MnzC7CD+XZ77/9nlBX4JzgMkOmyO+v+7KcL+rflfu2BmYPnub//HGcH4
l4XCIyqBJupZpsV2+D/OCMa/pimBHpNF9mbaxP5tjGD/y8bwEoUMKLSmosK7+Y8xgv0vtjvEOmzE
UAwyazBb/sLCEgT4u4nCLVjFiEa1dEtF+doEW/Z+J5Wr2paHRqCMpKMU3sXWVa6oGSA241bK4SxF
Yd05owgfbCM6VE304OnusK0i9aeKGdNajCFif+7gtK54RWMcS6Wyf0gz7WhUEQg1i/Kb1uUhdu3J
S5i42rpWo00ucPz2dG+fFBAI5PyzCE3jqGv9fWVoMMX9/s5v+nsFVTYAum2/0sNyj7hih7Utfu9y
ZODjVsliJRr50QTr5kgig5VvF73qFLVW1lejsNdjnKTdyhi84VvtySCmIeogem+Uj6EtfmChi/u4
q/uY0zVDuR7LYudKprgeMrR1I+lzW5KUTYcfRQ0iQbWz69GOso0plcdA2N+KvH9GjAW7RS/PnUFF
WzXvXgM9O6TAxukyI9wUjVz91CaLknYyK/FbcOeWju5PD+Ruj55oNmDTpdwPpmTsAw2BX3jT4Ej7
11xp2lUc5zd97r4V+phvojDFLNFFmDDSb7MW13WvxFUQRMgej4hjVXWHpGt3I7xIPq/KWIpF4n6I
JwWvEJ6KVgA+8cxii7NmvB6rAD34qH/1i+FrUDSJ4wEAXMsxArnrOoaD4mPEsk1GKd9gyYWVOESl
N6PrvwPnk1a6K+NXlYobMx/DT7i4AXs04ihea0EAZlnV1F/h2AePQ+fii6PgHF71Uv0ZtXwFMUle
9G6DI5BpXZuGv1UradNJyb5y9c963Ny7coqYQ3NvjHjrSf2QOJjTb/S6AI7b/MpaYBMq964kC0LM
i9sJS+8/quC567ZWQWNjJR9G+q8hVH+ihIQ6pkqv4avV7TTIISvTFQa21qp45YjRrzN/8DaJ4m8p
LY1H2SC/DAboM9dHZTVIOGOGpaXvg7HdJLwnVmFVvGpeGODs2sN6GoAxj8pYX/mjBhMkLD+Fti6O
eoKFnh+LfB3G+he3znguq9JD3eirRndDh/BY2HfxPRrSYNAH83NaVvum8vV1p+NgGGlyBKB7vJUH
F/O0rHqTImmnCLBSki5t0AL9WVmG72BdfW1kxTZVRL/x9fgrOnJMMReP1gjtRitFRASOQLcW8icR
bvFgXMtBtwqMWsWRzsKdU+TCafXm1++t8K+Ohf/XbL244Pzfd/uv2BU75yxwdP7sz0aP6DqS+PgS
q9xNTzZ6DYMusjO2aYDJ+a0E98cCR0WqnbQ9khXIYU6f+2NWjGwch7gisLUwOZX+Zqc3Z2quUA6m
Wj8rD90lEEG2PbvS5h0LN88z/xiNebv2IkxP+yHWV0D4dQfz9JcMfh90CZXNPK+SldT6163WaU5g
ZDdMk2KLeUi4UjAMXImYHSVzW/8KWp60wwqz3koIaa6G1jPWQx09Au+L9kmGaVVKYpUL+9ruuzdD
glSi4PgETIOrT6t0T2OhOE1a2o4w7MHp29aCiQnafahwQzfUjPu3aX0Z8+KqCvG11fv4thEebOMU
Ak0XYfNdQhuywxRjxyI9dBHUwNbsf4kif8mkHuoR2q8gcVrAfsmvxovtbdh0VyrYg6ObuD+RfPlk
eMq3TMsf0wwbPFhInAhFWqzNrhLYCot42/ki3pW9ajlu2HU4yqqPnamnKzNJHrGu0B3TGjaNMN/c
MluFanDt2dmmafxkHQWIuibxtSYnu0TjuEgs3P/M7FXypTvLMn7+b+7ObDdy5AjXr+IX4CDJ5Aqc
m0MWWVXat5bUuiFa6m7u+86nP1+O7Zme9tjGXB4bsDE2LJWqKhkZ8ce/JF2FQZtZvDWih9xXtZ+6
0bDwuBzvbGUwmzZddu40Uijm/dFejLelG4nXHcNJkAw9ChjnAuFSYOfO9WA1BjIU96UwqRS1nXSH
ru/56yQmH/aCgCMxXlekU1o3XE1De6Y8n8RY3ule/3VvG8Z+F3/ctEK4SREhRH73znKzrqp4LXyh
0hez3eJGV4mM3J94+6qURukhlx0Ibow3j8hrohw7T3+wtjkPvMK50LxpjqTKfRzXLMa9FkPfZiGZ
1sJMc2ute9HaS1iq5MhYZUhqKk1y/jVXMidhMlNZkxuhk7NKn7RVDiXylU9QF3Yf7cKzo6IqCzIr
LcIr7dy9XlWaJYvhD5d4y6XGFZi2Z4pMlX3pNl6LbwR5mKZdzCdyGrsgU2mZIh7JzdSq+zzvzHBs
CJSVhGtWtmf73kjepkzEMbHcW9kWV1xw+3FQ+ZypFntIQOfnHhluOCbT6Ndy1y6cBT/Gbq4fdJX1
qRP6ufX5W0YIqFBpoPMIy3VVCaGzygrVJp7IXllwTk3ytSVQNFXJosaeW35D2GhP6Kij0kd5Lr9k
xJFuGzRalU+KfhhBqsosLQgvdQkx1bzxbSLUtG0mDQ0wOacFgaesZ+9xu9z8KSsRr7jtfaXSUVvb
0fjktwd4Ya9LjCcPmt+jjhzRnbMvVu1elF3+qElrgtE17n4pjR7Bkhwv7ezdHBYZLTtSrLiF3l9p
g+Vvcvs+m11Nruz6Sok5pJPxqRjwkku1/qgjN4W4/Zgs2o2Zrc+c7zsC84yj3tkisqaaDM2sQ7Jh
2E/1zpfULBhtzPNyKXYSp4zFjQ9NK2w/hivrdsZTshfnGOFflcSXtLjtsantx27on7mOP1Hi1iil
jGHUh/ox6+V7KwirAP/Nnzcrvuu9zfM72RSHEQmtjNV9uNrfyXlv/A6ZbdFtNyRnIrJSCty5a2Hu
IsrFaDYJZqXT3ZViV1fa3RrR8qGt6Qa0obnbi/Zce/tXbbJPDarfBvVvoWTAtRIECyUNJrnVRC4B
u3Wr+8BDP7wVCIlL5gWUdUWUpxmth5IbL0p43CCCUoKMkS/QIFbMcX1HCZXTXhaHXYmXt3GZA3Ok
RXFQNvfxcI9gv45GJXoulPy5VkLoEkV0rKTRqxJJT7/qpTulnFYS6kyJqUclq54H0nzRWWuL9jIr
4XWn/IBRYuv6doInCNlWibQ9rY+xNG7vxpaY285+HXJBW1O9eRp09Ql5t5s6sx8PHMVhr8qQ9IXn
WqnB+7oNOqUPz5VSXCIZzy2Co1ulIkeWMoZCKcvxwYv9TInN6clDy9yIuBAOoVXZjJZWqdNdpVOv
0PPFSrleG9spVlr2EVH7iLi9QOS+KbX7li43BfL3Xeng+dCeEqWMr5z4tFXS8T1E855Sz9tWTgFa
UNSnWXq/Ko19gtjeWszukDCUXVijlR0zK4cybqYHZDf2oerNLCSxbLna3b5AtG/TeU1co5pSN+1K
54TFbkIeMdonoVRQPAfXutJFFUohlSKVcpFMpUinJgMN1f6rmkon/cfbqCUdUqtaaa50pb6ylQ5r
V4os0027QCDSEkqtlSvdVqUUXFa+0FQrVVeX7M5t63jDY5c2feYPenHuZXrvtOZxVHowBsLYR1J9
kSmt2KhUY0u6q8DkLIjN+rutlGX1dmsopdmwd/cd0jOzTj56pUUja4BcR6VPK5VSbVGatS5r38ep
u96XxPUrpWuzlcKN51dGzGUfm75D15aIh5hx30hcatH6wKFsuiQNjNx+NrfKuOkNlkxpbFT+Vk+P
cp5esrh70SYk1NparlRVamNATtEz/gKEjfK8dNuMYXr1NqMpPuyTCy5omGynhwNJus+aOcEh39eP
1pLtsSaRPWhqTTvum/w09tvnKh1fSlTNRTlrfNEp0jjMDgq3R79Pv8JoOXgXtoUG2Co4e/wSRAHt
0EQlpjooyRv32uViVjYIiiOml5Qksj6qHflL29QnTenoe4F4nHxhboyYIPdi5HiwtekOemJfidHr
fbmvp2HYsbGzstcejPDgLjbWjOmgRysCG9yIdOugbevL7C1b2K3WRyrjOKiG4RJne/vJro1Ta+B/
19VDSYKmsZwnRxMPrsw7pDE6y5BimbBfoB9yY0MccrM7bSKuoOzEeSiZvM293w/LVj7P9ZofPV1L
Qz3f2iArjNV3VlT9bEJQxCY0cIswvnlmiYtyuXeU7QKbJOTWodN5pMvbZZiKHUOGwXAPw5qGhoHc
W6yWe3LctKVNS81wJQZ66ePmcthld9KclfnLLlCDa2Q0p6W40nL32ehjeXIL/SYt1/t0RjK/FvE7
D+x4mAW54BTyb9XcvbsEkvtNh6EBIQNPezNfY3OWXJTDQDRom5SnWFq8nXSGDh/z7+nCECjq46y/
0tmghw6O1IFrZI9mnX/m886Dzm5v9mQyAnpZcbXoXPBOLpOwbQuBM3HVB1ppXhqTFfbzihXFWPlo
nezbcdy+09XhDueNz8OeGeeOKC+iwc3+rDdg7lYex/5iJgchlqiw5vRY5pYM5tWdDp7spzDvyfnR
Cpsecm8TXJSyzi9t00Pnp6WRWcvvhC/dO837UJObxTTqD02ZB20s7/POTfy9t1Ii3/r4YlvsPRSm
pOkhGz4oLPsh7dJT3zbE3aZnL3kQuTcgLHGYKHf3E5zcYET0GRKlMYaMvrer2Ue6XriM0RsRF3Vu
XFA5rklXeipz+exm267OlO6nS3nv6qX0R7R2RSZvV33ifBubDP/6hHmdffTN0Hwf/48aTD+adusz
ZIO/4mG//7f/b+bQ38BDlTjz70dR/8vfHrIv2vNUJ397+jL9mMr6h9/wz6nU+QUMHQ2ky2CqzHB/
hx9tglltVAjkiSiBBXDnP6ZSoqZdzgP/K8oRXcLf/G0qdYl5FZwy2AQMs3T29l+ZSv8IUyv0UclU
2DFDgNUtw/lpJk2zau9nM3NOjTYd2sFsbhc0nL6Wm1DO0RjyT38tj5KXZGeEqyL2hMzUmIz/tJ3q
a7Ns69JbT14iTrHYQuaY+70v/otrLEv/n5FVXoisTV5CgQG8zT8iq17dZNtaSjpAY3GQnHV2oJwj
iiJxj1UZ62Q1r118rRl98rqSrBsJW+8PPKv2izEQeuLgO3CQuV4/ZaVXIQEw1b4uR6c+rPZ5kgzr
fE7GdUeCyFsy7tYXj2kw2BbzA+u692k2lxfLzrPLpdvq57aakktzKYkOk/NFLhWY6tlufqiqpQsw
3chwxJmeRN45n6pk6Crcedzprk0bvHRswlGcaj3VLizxam/34+g9VWlq+rlZmiHEmtNGjgRQU3kj
oM2GdV0/laNVhDQll1meO4z440UqhthPmv5o6dNzPW0bQ5h70qr0y2hUBx0AAVeVeji4TvrhZdl5
cJI7C3Mfn3iYtyrZjk0xvtNfG8j1ljSox/jgzTmSj6W9GIGck64ZImmOfWChd8FcnbSWPR2Kg+za
OlxNfTkWldGxcbMvS3g5YeGld8zX7/UqPuAi0MM6xLl19qk3r/NpkAhMFgc4M7mNTbxLuyI9zJjS
+G1pfk7d7kpmw7Xt5G+EljyndW34g5iO64blTO0uEY4ze5At/YmozsNWlJPvkNVTxCTm9JuFT4IV
1sN4sznytrXaaJm21wy7h2gYJeCugbhvWNfVJ/P7eZPj7GuZc16a7I0rODB0LSokA/ss8VhCzaw1
Br5Bic3W2Ji2IO/K/rg4YmSibC/qKm6PrqyiFh8pXBiac5rJb91O2hTmPHlgF5oTpob2tdGEHuz9
elOV4jondudklennrNY/xZt8ymSVYwdi7GeZu1HvVEeQ/WsmdayixvHRndJLzZidoPX6x7JI70yv
erXN+RY/2CmikcuYyunJZjNemeNxZmn19klI3JSWHThY8I5RO27hUq0gycb86HEWgCxdM7nyjB7E
ydUfsiq5Xbb1WuT2XW1pl6MkrMetEjpazbgu68G8XlPiKtdE3w4j/QdGRhX+JQM2BZqW2KGwpu4x
d6dP9gKIXmlxfCzaIjtqsSWPWuGBMVTLk1co8yQyhcAy3G/LOGDA0bbi6BbllWbr9w0ambjp+ijT
99PAR+l7nvtRar3Bn0yUBKqoJ6KHWCvsGs45pucevMHhhGw0IObuaFD8C7DxqepecZ/LjhUgIUbP
PdmCtkmLN5/qkRHIi/kPS1Ym7gxFqJvNAWyfkNAFjRfHrSXiPrMOyxwn2EUMN5ub1MHa9vblXpmz
b+L3G9jJyiHWAVs0S5lbrNNFohfdcdeGgsD2/NO86DIwJzkCRMRXXSI0Bm8dmAXlnT9o5bOGH9Yx
61NmKfEgimQL4qGli+S4/yVO0N+r849F86cLQUywXGRr2qdqJKNR5+/WPv9wWd79fQf6Y2z2z3tr
LHVBQFFacu14mK0qPs8PFBRtQ31nufTZ6TLc5o5+1O3iL3Jxf3qJnzkcDkNbNWb6ehoxwQrKZi/9
RugvUref/vN7+Rc9nHolnbUV5jS4QwDq/vHNsItrDGPo11M+M6gLw6NUzjdGvNuBbudxlDfmY4W7
0Enu42mHiepLkZILCpxha2kJp0t8jOZ+P3C+1rxCSdyJHuhvOm61/aVuh7/IPyH33BZEDOAiiEnz
v8Q87qiJk2ox1pNhNQC3L+NUYqXa/JfNvq1OyY/bb/UyWKVjVQjkzcfz01KzKfQpI8hrPWlpfNlI
u43m0apviiq7Ns1ximRqRYPeTYe8IjGlqIbvWeHskRkv94j/MT8iLSrESRopQLIfk3rpaTfxzHL6
ZfGdfZkj0UzWYcaf7jAOblBX8y0KWezprO8El53q3Cv9XSwPmWG9Js14kWxu6Zfz/rAkFGBMixBz
Wal+nGr9qUBv7HdmftjM1Q0yc/o89BUealqzBPj6mHT0Sc48X8sgX8VbolGOGDW5va3hjAj3lr4h
joCAmTz4i52ywrNwG1hEtS+1kLdNS1rT3EdW6tiAJuLRlPGHQ/MzlxX2IKKWx/98KllO/+unTzA9
PY9uOf9CzulMKNW2J9bTbj1oDF6rvMDH8798x3/6IgTEC4k5Fav1n5hMyzBnebHSxuHMwnX/jAaC
G/6/MSAN1aT9fJKU+b/KvYc5+jMJvTfMfqtlTLUw9o6ViHbrsbo9E+yGT1Xe3xpKHSuWMao888mR
QNKLYbdqfHeC1J7C0SnbwG6bgow+fTi7Pehmn6CkKIvJA7wwXv7zZ/9nJ/+Hv/dnNnvqGaU1cz2e
+rX/MnF3Tpp4Xp0Gccj7f36lP7buLust7iEW5p5FrKkLj/KPpScuKlfXjW47mQhQgkp3S3xdZuMI
anFMc/led9V/oYT/2StaTCuWi+Kcxv2nYrdLtrFFy1M9rzy187yzxBK301wy5sbjcZrdf8Rk/G+u
MX8b/pQf8r8fH5+zOv3bXTp9/OngqH72n4Oj9YvjwZNGp26ShKroKT/yVjCtsyQ7OcJ0OYT/XGfq
DJtSOhwKTFmQuDMU/b7OxDadr4/Bkf0j1f+vDI7GT1cfJ84U5GjbHEQ07sSa/lQAiJz1Omsn6a6x
DcQni+k9bn1VPZqjO53GZiuChn/5Df5+aaWxFFgyrIFQdxDJdTKX/lXT9NMYD9isyQfUr3diKr7i
yZMcakf7nObOuUvFl77IrjxRXWdeO/ijux4Ko2fy6GMt2uIKZvHc+23l3W8q4aAeAEhNCb5ErZ5B
ZpVu5W5pKxsxPb32HhPxZq3X89qQAGUqwa3Y/bX0tCCb50cic26SfGj8Gt+hculues9+cAdWR2b7
3rYZD7Owc9+z0keMSs9FUr8J+sdfE0dTvg1sRcwndP/ZcYxFFrQ2OzugqONiyEejsaJZ277a8fIg
MmLUM9dBWy5x/fI0uApVDpsAKswBc+pL3ACuNsd87B12uQagO4r3VynAmLcYn1W2vE5+3Noy2oCi
teUVWc7glJfNUN+WWRo5a/YSC6s6uWVH+zON9e0G6+ewOoIFxzrdNLurQth2SBSxiWGZI42AFVmk
1+mz4WlGMMjOY28bX7pWg9njUB+0tfbwkDPWw1jhXDSZxRCV2KuGSc/ook0YKdjzMhyquR/x2MM5
coE3BIDFOzHEepm76VsTayety/uozNgIDLgwwhIixbBu7O6YzPoN3Jdj1fRlYBbTt9iudX+36i8U
mCryWHseF03/5MXe9oZBl34Cat+ifqAjJoRkDRx7uDAG3QhwWLjPyMFK8vypaYQIDGzr8H18nWfj
rZ8VnQoVh18VWXLMpQ1rarphmHlpSqKdkp0fyOYa6o3hJaFbWVNYGmylExerrCVZv/TN/gythjDV
hWFMaLPpm3RVx7hOysBia5zm5Rgsm8sZspkJOyHfun0iXnNLWh+M0uRQVAOZqqMRdAtunUMVN37Z
Y/cwVmCMUBIYyKBxsY1lmz1mFqtOkte7xa3ugLDFhRB1c4HRmufra3zVl2ZHo2lUV2s9pJFIiuFg
TLEBZ2iTy4PnAHo7HpEDmTbdeUZ735JAMOSYVNv2vLFl7aujqLprMQG9e2lLfPu4t+6VsSa3LVvt
i3g0hicnWe0qmHZrjX6tfv+bNZ4uH6aIUpb8+wKPTOnb3/5v/WN5//3Hfq/tqkUmaoL66fxQ2SGq
kBLtAZJxBmEX/lbZdcVJpIh4knZL4EH5W2HX3V/UKkUXXBE8qcid/kph/0nNpjoJg8kM5osJ+xc2
zU+wWZ6vGJYNjX3uCqyxR/PDqaO2Hl7whvq6etXVjtUMgXos/OonvcZf9ofP6k/GQ6g6P7V8JtQZ
KDeKecyUwh33x8bGJXDX9orCPNuzeF1N+nXJuHhuhy50Jv2jW3E67amgTryfiOP9XHJFiJl11LTb
TuTiH0eMNxW8mTx2dOv2KO3ybZXdcU0miCob4QsxzhenGl8e6B5OgPXbg93Kz2tu7RddlWG8a5fn
1cL5dslHK+jd8oNzvz2X5WYe2hEn1crcoPCn80Vpwa2UqVzDeYVS1+f9fmtN2fipMMvrFfwz2Nql
vxqHbSRPN5vax8KTL9BO7+bWk76VsbNPMBsYndiBdebeSWneFFn1DuOlDRZvixrPxoC3dYHF7COY
3nsuJw1ayUi83rI8zW16MRK94hc9bqrUoA5MUAviHe5o31eZP1qVwCe8u5z6qosyDACfJ7trHqHF
ru/gfgQgLxdGUo/R4A3iqS0s52hOQ/kVVp97r/aGR9YQe9gb7Ox21iPMqPY73fhLBbUOC8zPWHCc
872icokkyEgxb7lX/ZqLlkH4ZfJ04zBkw6sHqhR0kmukry9MyDqBsU9kCWp1c9I3Npmr6MMhwf6k
bhb3OuWif7TWLIkgL1WHKsGq1amz76sx3w1q+zghmMEKecWuFe9mmHp7lNbJQ0P8TSCF/myP+40n
uquxpe7mFYnNbjmczClZQ92pp/sybj+nLbGk3JAH/P0xCYOoIUu3O/dkaOO4yt/rAQy6rLetNG+D
1TQvtxgziLkrT3imDReV9D6lW+YFSZukJ8L2aDkabJUXUZyScXsZ+nHBbTm+ytIaF2DoqIcyW6pg
W2MW0O6NnWomd458c8Z9OxcxnIZ8r61QbttF0/TPvA8vWMGVig23a2vsQA4xw4MAVHD3gFFy7T3V
VahbeYqdeAdKttSN5pfCPcsFAulm9p9lXb0l7vq1MY3hVHJz+9O+39c5tMQKxPIYuyV20M08ntol
TTjueFm6OhSTxb1NkPMEeiqeEjM9T7Z6W1M7ndAePGDwW/pSpvA7ChrOpylDI+o6+9e4SHE9cl2I
rDFcS1OfbyZPexwN2kF7kG0ktIbFcipusdPdfHdNblo3Py4QbOXOBryI9QBhszCXi273nvB6O5iD
vK030rxlmryMZvPCh/R1pjulsRORbhi3dpV8Js76NKXFTVe5vIt1Pm01T8nUx59TmKc0I44MMGs3
DsJMrvdkaw8JFe0w7M7neBqundjAU5ri6G/wnoCMLBEQL/5RD9pd7zpv6e4+WY03hOVi3FUlm3VN
HKsR01oe8fdY2nvgtjY8rbaFeAXEDOi5XRureT+ZXn+ZLsYlNJsMAL+6NgWfzJY4+H7KxQpBJnmC
TW1nq12ttyVGm4dtMqfAsnKeS4FYS58e9Glpw20r+ihOWBW2epz5emPH19manbd5BdyGMKAgzpKS
3X/dqsEK6hpG2ZAIVoK7xOfSeDe2AT9eDPeCplveGIY/3MQk9SZ3ssDwwGHWdfjCNxIHyzg+y5bm
JotXjW4VZD9Xv64u6E68pr5wGn04ohLGQrCp+xNij+Xc7d15xdH0NE+LSm+Xx5EFCsnw6YO5EIhq
be5jn25GAAxoQJIzT8tMkYcPqF1llmq9y/HztG4PicCStGqKpyau7rO9Pws3Gxn2xX4CSIXnJ2oI
IA+Fp/e+YcvPnDuNNPpsCHAYvsoy8yib9Fy4JYTb1PvqlJvN5kNPLqZmE+x/8+WYZ3UXABt0n80k
qw91sdpXg1318J73PlM0yzoYsoaPa+y0wKr2l0aTYWxYT3vceucWh+jQciHfkPrM4lquV71JmoW3
9CGac0YTcuov2JC7/BbFRakXy983bQrTRsKNwm71pOnQDZbCdBBRYeG8CumGi1Eqw+DpytITHUaI
vKi8FpZnfrbNdonaRD45tOG3tciRwGlpEll1aQH0tCtG8eD8+tJ5t8WEcXPO9uQw9M7KWh565l4Y
tyXN/ayJKG2m20TrztvmPjjdeJ9WQ1gRN29N3ivmrTyw1jerX456uS88uOsJI8c0FG6MZ3YtHuPV
1f2SUSTQd07XvCzwxbxUsmXp1DkpNt8Uy1Pc61uwCW+NRK1VRy/tyEgY20e6HfOS3zgcJkIUAqlW
LUvSQQFPzHMxJ4fRSWTI1HVdxNPbNkwfHMJLyYVVNj1tK3vTkKdgxoA5e2WjkZyydTGiteye3SJj
IsWelvbcPjP2XI0CTpA064t236FWWnis6bsDGrttENmMUfMtDHkPuj6vTHFwcvj/uwGC0zt3tffD
2OryWm0rUutLW+UnmvijEKqQ7O79mpih1qfZdV7G24FshE/LVG0Xu5kSg9aUfH+y/raP8oV2O/bJ
DSgewey0s9fi0DwhIJYWNLipaT5pcmjCvmGatYw06AZnDjf2m8FoN/tV0cmv2S68CxdkKNw6eZmS
8fRh7ftjZqTHqk3zYwFXFHd5nR3PtNzJFLs+c3+qpJyg86K9mCS3dNfNH/FlDtltNXDPxkIO1Mw6
e8Y6R/po3qV9Pz3ymS8ncie0aDH0q6aU/akkFg+TRgNOimhf7NwTvie76VEkgLJiIaVlFhbXx1j0
cCnh8vG3F0erGi4ax0gC2ZhHe6/l1VyZ75UpqoMc26uhTN+bZKwfhN48WRNbudlRsSYrvYaRzVd7
s7+sGTNTnq5OwHgHH5higSH9cLX2S0cmApEmVVpQx/p309zumUo7P0uHL8DSbHOd02Y735KxdEN3
kBd6bL7ujcOLdphoCBsByC7LMVpddwz1dcBZvVw4RMtFVl7V8SO8Yn+bxsfVgcjk8LR1XTj27q0r
X/P4wRXLxdp9SdryoS2rBOYfw1OP4w+10v0Se0AVVkJ2wlQ1kbP03I+5uxnwfRKbhdBWhcuCYy43
qB0NfIdiNlgfZsgPUrc1qcUqlga5rbo1ZcQqN0gS7aqxt7Ojdfwl9W2c12UQb057bjoNY0HHukTe
UYSG1lnHeOmRbuCyHOoTbtUwlsj09uCmsRyBjbslD3LK7NMCgZBvEjaRVURjLwJ39dAk2PUnoVXS
R85LfAr7pmDci+s+kfKANKqNMk2kJxRSl2Xqva69aJ7TFDIvZtK48UsNYxI7+7qgG1q7FQwnW+42
KYkuR0ADZ53lg3tstj2EFxaZ8+ZAtFKajuyGD8yOSmKeaVVieiZtmA9GCp6idZN7ICn+EXrSbUJA
kX4kDgX8JsvsyCNe4EBV6iLRLWsg5PRsp+X1TE/ywOrdQuPhfp0M7zQldnNos6mGYjWn2ATsHlWi
zcM5nYgzGCX8VEtcepTgUN+3a6eGEc1HOgVGWp5Ghwoz8wXU/TpctqujB2Ko9CPZLs17L4avKtc3
IFDZ8HUJ58ardDaLdfnQMT+c7UqTwE1pe4K5K8+VMaKG2fMBZGawffAkqlbTiaiUNLy11J+03T06
ueMGVVrJgCwHMhl6e/brbHwdHKqgDW+AiIJe911IeOBiVtAasDYSkipKCLX+DGHHt2Buc9GO6Hbm
oYoSY3T9rG7Hy7lZtAjHzR52lf1l8Kjb1VyhPzBol7UtfRYdvtFrAavUXtObtmOLgrMkhG47Jtm8
yj9iZ6+x6i3vRro2RpRhOnbpiuoRo390+bUfs9WMYZseBpO3N2asyDqW1b4V70vY1OMcNnpyyOfl
w8unG+QRjGjNYJIKtBhhQf0Bypn8kSCmKd6ASbLuYircK7KyOxogdkVsX75bu0VAz/hWFM5xHPeJ
ItGh/ipFUK1AgYbMn6pmvhf64oQ6bFhCD0brkLeQuVZiqv2Y2ULzoLo2BA2VcsMhpDO8w2LTqlvN
SPYQVHwLw0tvLb+X+vgMqX8MWWXRzhuExcxeqCVZKOvprFcfypAEdnAcNHtyWaXERakklGlz75q2
eeyTqTn0o/xicOAxH32NLT6Nkl60nw6919xb8/Y8FvUW7BkCK1B3WLY1ygdr021fF9PjvtNEjqjs
8ap7QwkfJWhztcmJdlzmGfIeu5gzBZ2QJVfpbYHRDufJhT8ZL3Z26CYLzpyujKrSbynMfD9hmwKk
qBOnM23zVauV3ae0K6J46PuwGFs0zLLO/NVU+5RkuR+g1Ab422+HxGnO44A+0J6cB57UUFRssoU0
YaNpzfXYFk96v7yUPVBvn1Tv3moq09DlJHVG8a7ZGROL5esaW2BOXkkIipXy827/fWmdNcKF5Ip1
ZhPtu2kGa17olw1tKe+dvf5fR6H+x+hs/wCdgFf+PVbFHuJvT2nzJ1gVP/Y7VmVaDiCwg0bKNRQm
9c89hPmLCzsNlQz0CQFu8xtaZei/YH1sApZJwgd4DFlR/HMPIX7xSDMSrsVP6q6ivf0FAS242B/g
IrWH0B322SauDwgDdPEzn0wRyvS1Y6uOBtVHohDtOo+0ptlfc309tNV4jp36m15n900tP+sD0WxN
U0SWU8URuO95itdnG00IBnSnzHEe3D3dD1Odv7dGc7X01kc1xc+FFY/hhhbklONvg1hzyU9LHaPI
WLuvOvQxmJfDUaSQgzMvP6zmWPvuUMzfpVdM75XFOqSLlyxI47iMtKlbrjtkmJf14pV3yQaaITLN
u7Raaz83qaZ9yoneAfzyrDOdb/Zo2cl43seZvaUzzBQrsaaDr23wVsqMqcyD2INUdZTRLIvVNxPb
De16cxfYJvSUDKPvXJDXeb1Vx6xSxByF/3YAwYg27rN4uQO8JzLoV6xYocbyVwBZV1jyplDlQuHL
sxEjQmuTa13UYM8KhR4UHt3Na3UnkPMGrA+PEOoU+0dNiLnXHyaFaVd/R7fBuXuFeFPyjCD2hiFy
3ZkEUaGd3LqpI89sslCzXeUybtXMW929KWf3lKMejZhYP5Ututdaz5jq9bKJmkrPL1p97FAOJc8o
hKK+WpiRik9sYT76JX0x2jiEAmuH8VaOZyeVC5qcGd75sLZHfEW9g2NrD6TNZsE8lfG1N68RipQo
sWKc0BG2ITV9xMo2tKpE+Pmazf5W6g+kq2zHYcsZvjyIChDeUgOBmCuDUbOeasd8yTUuhX2FxZMR
T3YY6xvXI9yobUuubw8xG42YX5rDSpyY1fokEBY+NvBXZu6eBw0mFhk2U1AoOdimhGFp3X4d5vxu
RTE2xfU56YcrvQKbQVHmLP+PvTNZjtvI2vat9A1AkQASQ26rCjWwWCyS4rxBUKSEeZ5x9d8DtdUt
yW4pHP/uD29t0zUByHPe0TxNRpcydmM2oyuw2iT0e1AcZD22iyWNGeKkLya1brGrZfhy1iYOtoDz
y8HRZi3Otsl+VBmiP2sxvUV1fW3PIBiNn91Ln+HDwSGnlVjlksT8HCfq7JTZiz+XWLbxrRu469QQ
X2Jf5nvEdodnxkvw4fkz/wBfHmCR1w6RXGEfu4VkwVZjQtyIegCrm1w2P5HuhlFPt9Zi+nM45zfl
YgTMFkugFPmtDPRPFl5BhWeQ3Q3LBC7CLvHdLV1KX3Al9asMpyE67G5tInzr8CD2ixkxWmyJtEbf
hJ2jWFMXy+LASriYGKUZX9WLrXHC3zgsRkeJ45F9KvKmmkNpWOyQuGNgbyou+ZwSARbFj5CfPGoW
G2WbUMfm4qzMR2OT4bTseiWhhjBfUtZ3Oy52THTkLT1RSbvFyqPtysW2Sd4lo35cOMuqjgBwsXeC
EZ6GxfDJJcmbwQIaTtQ/SQEO2anlbHcFlb6Z3cC187ug9zZXEpE9u67ueJXDxZ04YXgprfqNNstD
bdAOhXGFEr9B19bADYw6vnWMVJihlJfVNUKYGM8hG3oJNgMmFxh7U4NKTUZRrEs93sYixHE2mp+c
qGm9oczdPej1IZNVjH2qoMNp+GyA7NEyriTEoXr2XRucrqruHKGjHyzSc1DKyxJr1Lqu2nM+0sBo
adNGTxvs2TxoV7JxwNab9ynqjNXIdqUhr6M3qEeDJ6v3wi2oUmNN2eL5LjcF/tdgbhde0izWqRHK
nZqprKmWngeKk6LdqCrAgmzYYSK9EGF/m5uFZzWjvDUa1/baHFdXYDBoB310Fkkd7yykGmwtZP3a
XAVrCWktw+5WahnVjl1wGlz4W5ec5j0WrXYFCQ3QCyu3kTpSIZ8a2K0t608NSx03SPIkoaD/rcz7
WzzZ/5cTyiJf+N8Tyk1HxMe/7urozzPK8offZhTnA9ME1BwRGoskgn/zbUZBZK/bizoPnYxloXr4
ppXQnQ+IJEzU9440SGJecpL+mFF0+wMU2KJeI3JVggn+Ta3ETyOKgysdfT8GSMOwUXT8xGjVhoOK
vOMsT0NIhu7gysLTok9Zz3lQGR+hftZVVpyoG7nuC2dn1wOC3OomztpNk3enuW0OZBHsUwdGPO9o
ErUDT2fAGIM/BDe4M4LPxV+wb8hBfniv+N8hH0lagNOAm3S/finfyzOVXeqhP1P9NiFku61cf/Q0
MZAUotWeZk4fi7C3NwQ60tVrh9NqiAK5ia34FDfqSGch0itKPeuMhdGhQUUkmrywHEipXDOv8X7L
LW6Zl9Rl6G/SjaBJwLcJ5ajHnLSq8sqcInsleoIwZjtkR7UfZmFFl/1kHBQnYVzyqe0mNMBE9VUU
Fe+GrPt1pFnTrnWdDG+zFVFOGLyM1qidCHd4AqUQW6fscH/LYtsO4Zmrxb+IQ9kcp4GTt3JlvHUa
88YZUAaHCe+1K9sDnu6nZvavIzVpu07G92pE+VT0wGZdrAavN4ZPbrf0Beq+hYvYsbAOzWzqQfAI
soM1ujdu2qyrEU0Dn7qNcF7iRr/wdRHvhNTJVDHwgAE2znu9M9+NUrfXZTtla6hA9va8ec/wK67N
Ody7M61eMjWwJ6KjWNV1iYK4mg5C0V1BQ6y81sI83pcjI1yb9YjPeMJ7dRP7u7JA/j1T6Iop8YhG
/UkLrPqoh8Gt3mJF0jjobEOsqJm5ETWWIWnP+7h2xDqocLC3OcUtQJjbmAySFVoL6ZnUpoBS2Om+
CYOHLCEnwy76j/g7byaGtngVN6N17o2pDI9TA2t0g+qj9aeqWhVtZKLdQezckhJSm9T5Okl6zBRg
hVG0N7Mbml5T1g3zCqh/w3iGZIf02SGq6L0ZzdfR8euLBE9E6IGudw1QVfnijny8IExjzqk5Kh/o
VwRRd1xTPmFKfU3SONv0Ni73zELwH2OMm/3u2Jfg94hNaX+2GhjWuL6PnOC9yQEZtLo5knNvn/zY
vXaH/CFunQeqLzcTdhi6PDFiD+iNNtLNo8uYX75gX18bZKZsJfoJ9B1luBuh12nxNKutMQGpBNMI
IokXXRS4GJqg6daiN+f16CPGV7l4jEofJ20jobCrqiI7x34rWgzeIsegWGGSuRgGk9LcXsS3Q+YW
XpwydwZcB8sCL7fdZLzOWPR2cghmD9ifMSRtovVcal4+4mbXUHEgENPXLQnS1Ew2qyAIxxMQGl3V
NJGsRC1eYLHtctNaTbUReutCkNXnfp4A8eRVs7DZ1mdMmV7ksn344amJ2PSn+ZaSzAu6sFG8PIog
3IbYhiVj5MiXgdZhZ/ZBsA6s6rWzCaSIMhdYuZxvA4dieYCldR97Rcu8uyJ7uvZxlGe3eZzaqyqm
K3NaKACJhpvUzfsgd4FbgWoBhQYU+OmoHSXNGCEm8r7E9xaVhBTwu9yNJtF64/1UH0Ukce6BGvfB
l1Lz77rEObsqWpsk24DM8n6sOypny1UnQglzroMDxuYdo7KXpV8ilq6s0b8IhlGDrrhwLJ+6GeGx
pJ6le8kq/6iibMOiAfunVmm1vFHpg3dXWyey1kN6cCLimKgSdgxzM1hPc6soju0OqLCucYevFd5m
W2+z3WhChrSZJ1L/Pe/jvewfYMmxTAQZqqRcKx6HpLB3ThPufLKLcDV0VAWP01MVusEWayreGbVE
4xgMb9lQfBlLoW39ObxIUwbWAbpAx+S/rrv6pXeiYM3/bfA0CMepMCGRg3RJHUHQAN6c70Kfmmo3
HT9GIWNk6qdczgK0tkkwsziT/hjqPeXSKZlMxF2cKSmsPeyp9k6zONBURdJIVDfdPu4qB6QoPnDa
brqSTCGp4i+x7V4lbuU1qfEl9ZuDk9xWgfMcZCTnatmpGyg/bbC/uOFrGBeXfVyJdV8YqM6iCBgq
Mcz72IXUke1AA63ue04anJX/nLfDMaWLeMVY/U7IEp8x3GHWum2pd9a0stpQBSbX1K5m4JKkB8yo
57Bp0M4aSLHRYuJ+rOHeZJLzgMtutJlKpdkUsUfwTLB1TfGYReY1yCCW3cnCAsPkWLKcCTN5M6h9
WkxNOFNd87FekrrN4oAZihgSkyrqQHnW3LusoDYeqg7Gxin8905nYfL7kvLOsrWOvjvPF1oyXoAp
q20JhXRLtazv5Sxk5AW5/TosxaWl9Ifatc51gEqt4dxtyvzSkcEjwPrNP9jYVx2X9Uts7C58jf7F
jBH+xeT5HTpmf0CAazN3kiIERPb94KkLwyFSiEKxfyNg30S64oNDNxQxRPyBYdEE/Z/B0xAfDPrC
JAIvkDW5DLJ/AxzTHdTD38nnF3AM86gwEIpbOpKuZWL+fpqjzNcaR/jni5haXQzo85Te6bNb3URG
cczLBEZGigoVp9kLoodKHCtZjgqgi4oX+lvFqXNj+yTQnaxVXvXnWA/Uzm9DCsed4FGbwIPqIjsp
SQil9N3Yg4Yk43DOcvvszClLcAiU4deSZJsoaA7EyWunxC0TYthgs3ub1s8EVnzTumzBiTWrHVZy
dWwlBkxkzPEaoCbfhAN51LYWDQcfrnLUtIvawBJJKyAPM2U3W1KMo3PcRWrlq/7GIceEqDx3E6X4
8dCw6h5YleVFegOBwgF8WYqEHvdKOJdllR2SjJgEhMrDyXdQ5bbdfBOFiXuyup4Dd+5Pkex3k6i3
ml+4TLv9J6OKH20CN14YabQ1vK/adghamRz0z5oP+NaiZF7YOp3e+85+DAYUt4FGNnGO9IFckfQq
KW1sSR32yai1L+bGh36OaXGPZINz2yfI2CRGzCgTctUyFeyGeropg+BhMIPk1BaIhOZmbrfogpJd
lZn2jkCZjVWal53qtIuJhxycB9xVPAcHpFDWOhPsGzrOmJuoQvZsaXFMlTbBRK3bvmXD3FwnKt5a
aZs/mD6ajzKIioMc9NdemPzELiRQEVCEKUszPlp9Fbxlcdmhs2iSreaa0SYfsmg3dOQMOD2BKDVP
tJWfEctDjot80WZglsQug11ty/wy7XDG9tVsbcNOkcjBi2wyJBkrs6QFzWm/1jinplrNSQZINyFu
mRyaIOeAw0VUYbiTjjPla91HhtLSi42BLj8n0GkPqTu1G45stUnZ3XeCYIfrdiq0W8Ca8HEm4ZDv
wkqOsWydiz4d2g0Vte6OwD2uuUQXWz9kGkJ1toTP5elFIIIHHYfyH8UE/2z0ixnof2/0C+dAnNuf
n6rLn33b59UHXDT4fnDXCZdn6H8fqxjgeXou3XqYugH//7vPmx9sZfFgJwQfizx29v88VnXjg0PA
p614EuJk4Hn8tx6rvMYPT1VQAd4DaeMEueFuEz/t8zkSWBc/53gQzHl1Nq1TezjWqftOlNhdLvvH
Btx3VRMnOdtBsjEM+fjdF/YXa/ry2P6vKwoAYXkDECwGKaVLltzyBr/zUCZlnFdyQBSbsXy0cGMV
ijtKxdOxPvz6lX5mV76+kkIMjGUfvdvPBsdoDLKkUuN4wAuKkmVSd3mb/eY1/vxpgG2WCAROKk7M
r4fYd5+mqVDhizkeAWnvYXhQQMA5F6iBUMn/+tP81StxMaGadKje1Rcw6PvvDV+r1bvCHQ4NK9Jk
qFdW/kM9NMdGq37zE/35i1uQFD6MA/+FipnB4IeXyiEonFAhhyvci661TmZe/+bT/Ntk9+N1IA2d
cm/JR8KBqi9gznffnN6lbt6HbXtwK324CmP9vhfDAe30W53P/prW92lvzxJ745hDes9dvApr6zJi
XCf2i7PGRmESOuMnTp7cS7Gb8DKMsyNx2FUjFlXf5K77VofQAa3d2721lXr3GVl0sAL+TOE+OM8L
XmGIDTaZLC/OGupLpzTG63JC4xjrJIBmSXtpJyRlpYHzhr6U8KzIOdZReZmlJrKgMbtFdMfylrPm
DUQ0bbUsAeWtUckGWvBFlNqxGPgPAAEtr20LC1tLgn9GJ4RHBZNBwbyAKjLu2hCb9ZKYotT0mdie
W8d2njqx2Fma8sllqxiy7rIrg3GnNKUzjs/a2q3HlMZRtzpPc0TUGUh4bMpyTXYgYbgTI4dflphR
ZjbLJEKKDDZlgEKsXURbPRrP1FeIiVhbV42bzKDgyIpknZasQkwvrLIBoWdhspr88pHSdm0V1E7l
mZlN3Ncod+Go4BbaplqZRrWVBmShS3MYNIa+jZT+sZbZUTTxsAWvQ6iiafDtcXxfDM0z1Pom7LWP
5I9eMw+AF+S2xZapG8nItz1qD2bfUuXugJytCYWXL0ZoWvshwTspiuYqsmYNi3wG6phiiolt7ZSZ
3SM6PLFCKntfh8lubKNoFzbao5a7t6lR4m7hfL9LiJO4glbVnvRIzJ7djjVWWSAwCzieTLDKXQ+z
eGHyQcvbxg/GHNwNAzSX2cafVI4ESowZ8FhvX09MpKHj842HzeCZiW54pSCEMHeQ084kXaVD/lLU
ZDCMLjLKQJu3ZYyQT2JC2xQoWMmIqOgkzT5X5P82Wat7lWu+lj0XZk22so5oD7RUR8zq4k7CBhT5
/GBSfxZtthclbEPS6Geriq4pyyMyM6fLQ1IJWAAu7Ri4It5mtWaTve5Cy/bscrw0qY+HGj3Isd3H
KOy2VsWUVsxgDt2kXWBaLj1NgQa4PXE+XJ8nNF0bJwAIs6sFPUV4x/MQCXWHfNaIrQctFITtWbCF
89R9qlPtYVKkMdtCttiSk5twVh6paHtLzl6IB7pJGU8zN9npQWyuSMe4N3TSPiz5qermY25nd1Nl
lJAZ6U4FobmtZgayznQeEg1sRYaWXNdzdwn8zEeT+rve6Ecumb3JhrzqXO3LZKnPUVZt8qm9zyv0
HA4/ZUNxIbEJnbkewy7bE+M2eI4OKDjWEN+ihle20qYglc2lojve9kqzT0YXfEx9TaHI9XeM7T0x
KT2mAeSKSVMcO+AYCqKRhTl481bIqmYIs343ZOlFgSgTNS77gKUG/RNGt+TdsSvnWlUBPFMCQjRr
Naiuq3uGJJ4lNLthxWAZ7wMVg1nYAgehMaGZ1h7yGbSJBDbJckGmsRh14NxhDJFCVo9DDI1fTgK+
NMJSi/QfJbGRzhtSajSOWDp5ievVz3SbmhtigJ+dqep5SKFGGyx7C9b7HEfgw6Hf7x2fuBkCHjIA
vvEQS0oAhJ7JDdJqRPJ9A7ltJe26FJJpPM0fErx+q3IE1fJVm3si4ZrRNPRTqHtRKPN8JpVOo6E7
S1fjGD7N1ICtYxdTwkQa1lpLpv44jsm96OsZ/ji8H+32IpLadh6Uc5k5xqVN2uWW8JfrNGyQk8cI
u2Yayy6Ra97yAI/XTt6mm7ybXwPgxQta2ckYk26wM+aQ57UbFl4QD+25UxSed828qbv0Lm7SPafq
55iyl03NDL8iGAZJV4iJsCjgER3FYy8f/Kc2DARoon+jBr4B1F/z2s7TQ6oDurvWKPZNoq6cHmUY
ygYTuMlyd22j3xsz6mt3gjSu5mZtOoPwxnGYVlWWuZsqsZBexzTXh4D7wMdij2txG3S9sY5YOBcP
o85jhhh5s91Xkw1XEIg318gAcMqTM/mfcwF+Yza6QIvZzii9gsvZ4Xngy0ty2QP2DfGaJRLkuG3J
nauJ0sn17NKJ5XWpjRdOLndII0JvdqSXDUmwbvvKOVl00n89XsHAOvs9q8nzsWOhw2Dq3dFtMcpw
+mRcQdzgc1P1KFrT66bnHNDL6ZkUkzvHqK8yySJCGgEx8DZ/AsS2RWNwD95TsBdF4XqaqUSdkXfw
HGCpVrH7rCkiZDqbpHejQpNm66hzo6DYJXpK1meEJixA855bwyZftAhzWiBJr+ejnY33hLs+Oja9
JEnCnVk02vPsZtDQqiDYwsyerTG4r2Sdr0fXwsFYxZoHhBBA9sCraqvOd0vCzjAVuhlZxGyLX4LA
fArL9ORHfug1hngPBFcwGdsPWREHmAIMiASRQX1UpLjjIupWqXIPPH891aXnXiMDOUT2WehQsx1W
pAzXqkhyiygmTE+IS0q0A5a2mSwcMZixXqfImbyMhqh1FgX9YRgJXS1pmsfPE7GK5gGIaBeARPSH
trT2hUBO0zcNdjAOIyqY32w/2bEJA1h38WcTdSsiiPlUlljdZDhXHskmzXrMtHAfz6TeIkqathTE
1RskFQQ5y5TYi56PFSfleTSJHYlUfUPyTYzEcL4JF5YApHFgvIUga4nJt6m9q1v/FR6qCYZjDBQq
bEQVCSWFQxaeyUy6UVZ/2+n55dDaUNTZsUhx3adTqLwmc4TX2vKdJ868SYmhJRa0V9wIRe61mfmb
YX2ZW38aOU2L6Zm5c5k57QVx+m7k1NwyQ37ojIdozM421iPQ/Kdy3H8d1P9ZjZcUsv+9Gu9f/3X3
l4Dj8mffVuOF0BYkMAh6KH6OBdAF+4ZDRAO7wFJE+i1PziVPDvTPXRZk+6vm7j9Ut4Mcjx8SqJAu
H0FU2t9ajX9ee8AZIXSIXCNV3SCz46cNK0KYEmiqRlWnTY9c3HduRrVFW1lY1pgk/MF9z53xnOT6
ib+vuHcj7mlUE45FSYC0fltO/bV67/sL9us7khSdCxg/VoCfduXRcjSbIgD7YAfDC7M8R4cMr+uE
nH7fsLtV10K3WhFWCCuuLivIjlVfj7dDMRKSXndP3/2ef7G5/3z7fH03UIcs1IrGQ/On24ecKqHn
g20dNNrKekvfdsmwKZlafv0yf/4ZDFKWeBlBNItBrNmPd6ldmCVnamsfWsyfUAxN8PLrF0Ab8cNj
gA8gFugDuQsXDx/lxxeI63QY8YNYh0HPcdEkm8h8nNKtY18p87Y2+vWvX+7PXxtANvEC4D2gHWg2
fnw56XfcCj7RwW2rUEpL/dZ2c7lN/Ltfv85fXC1SEvkPRkSAjvNV0vr94400b1u0DeETwUI/WldE
vR5J0MTrF8jrboTXJ8avdtrXGlmyWYEbJy07qz8Xv/vE6kewgp0ecQoEAPcloleL0KYfPzOWScsA
sZQHdHPZ1vLp+DBzBO+tr78NhWxYc2vE8oObrOqJqylKpmIn5SgOVpTKCxKQEU7ihrnW/fy+yxmQ
psRt0F+g30fHDmhUNYHXYmNa552V7TBFVOgOdBZcu0w3Q4Qpw8YpxeZt6x4ePTSu40g4BDvuUxe2
hA5PeJAmUsyL6BaNF9nLOZEk1UorcuOQWNZTQugkdsemOMf29ORGDnMzeahCape6NBBLiGnxNXHz
w5IVJQytmV6MWUr+mTI76qBCsaO5BSK3fpLMVSugPVY1CuxWRNFcgqUbEr8TrcW7gXKFu5rFbEVM
9SooAePjVPnrpFVEVduVhRxxujYomiJtsdA26WJVoJIh8HzqrKeMJ0Ege2Pjj2gYLIVoMotYjTPI
4nWfuniPppks9HYmT9wz0kLJDcR5XG3cScX3JMpmfKnFxyFzbpBeXpaOLi+VXMyIM6t35jmhHRQb
FVd0vTtWe9O5UJDrKDaHaV8E4WmIi3MwNcciqclzzxFIsqe/TTIjGTcgtpA2mZNcjOUoFeZzt5jN
2eRHjzWCgL7C6i7kYkpvlfPMUiP5JRIarvL4jQBX0JK6zLZisbWX+NtVNWB0t8UzaRi37WKBJyLz
NlO1sw+r0b1O40qRJF/t4rp4kYb4OEw2e+hiqleLvR5TmbNNUKMC7FC1UGXP+Oj2fjotQp70Nbem
twq3fkxBwkFZrHZRND11i2h/cZXirkXILxZJP6Btsc1R+Y+L3F9H94+tzEDsiBUAfBcvVdu+V6IX
UN28pRTnwEi2GBnvqLORP+4trX3scBmIPD/Bp80rF5EESmuYaBwJRESOa80uDvFiVmg0GjQ7/AvT
YmQgwTtapYu5QVtsDhF+h2oxPjSLBaICOcOWhS2iJSlg5TT+e2AU2yjW67VPiDOpTrG66JzqkAuc
s/RhAPcuposG94VAqRn0DkOesSpxZ/jlC/uIse71MUIo232M+db1yEkQL4hDTKzgQcbGVowlO7A9
sjFoU7UeHRXvHTxmRMveVZpxHbNjIy5Ho1OMltomlYW5KzYQd2fpXYedwtc0oh8TRRZd8+D6ggR/
ViTDTfcJmycABvLIZXUZ+vHSJ7tyHRUm6Ex1NRZas+H+fpOiEytj7ue16klVtAS2Fx20zusz6wUp
l1rncY8gox7ZtEckysZMsNt4tojz3uSGOsPsQPWLDH9Hwj6WDB9LM3yIBJa+ArCfDHo5H8IyUqgl
xx2e0GrlRkAgoVXUh4rCkKzBs27bZL3MGJf2jeFH6JhIhKFNG+zC0pALlal2KPOWI4dwvySlAh2S
adOZ+0yQHUCcJRxSh3Y3d32vdcigVx/L6rW3mvvYso+FBb5Zpjs5GeeCoq2qUtomZzcnPr19IFD/
MqWQKogE+JelnnqzNjxuL546TnnHdHPgcvtEMOdFkNZXo+o+WtHHuXvpuifdYPnKLcy8RfN5nprr
ic10VWv+NhzlBZI7EKde8UXZ2pdGVBeosqC9iJ0lrj95aMMKGVatr5uK7AEbE6LpYB0jbIhcBIsE
52LbYMsPnlPhr0urx7avmfbK7sglbzx6qTxlvnUOkuWhfbcq/VLVTzkJf8r+PGd4queYdIQ2vwjM
8rIMzXcSR9mLfP9jv1iCqGVyygSQnwSYBKMfaZwaSUxJSb53Ua70XH/QY9I9EbjX5LYSr/hUFkXK
LY7SAtT3dgz5rxLS+86j87GvH7VRXaRSu14w0aRt700q/cbwdcYI5iKZn7mKQakjETL9DDc1DfNW
GwI69/apKK9EMB0IHLpnzx8onZ5GltyouSBslmKwlLx3C7WOnuIVKqacR/nIU5iUz6n3n/ChnzoD
W6ZbpfS8TLvMf7MrxKLQxKuEXbBt6l2XhRuswReacD/JMHuuM/QywFoYyM1Vjpapjt6d8rWTb3Y8
POdFc7HADUgay8dmeqHWhJt7/txH6VMlo1syQUP21hjv5xSFGzl1Dz5wLyo29apR8gJb+RoNwbow
c4xXJKvilkSbX8F0VPEtBWF3U/Jx+LSIFLdDLS9Nykjwju7qrD+V/UvAspu1dxy9PB/keOgVUuWY
jX+xN/T9SW8DQmrd/Fgz5Gb2yzQXJEQ18XUUfLJT7oMJW8OYPNgZmif0/Bu7OjuJdd1k1mNBeAPj
zdZoRuQ11lUr0dSF1mPT6bugpUVXGw2eMkigOOsIE1aHPK+e+gyGptVupb9Ji7Ta4fpo6Ooib1+v
cGmtqeDa1QSJbOPODnaT1s6e0xjq4FRpu3EJUaQ1IQ8OdVvbnCVW7xmxq3loUWkXiAR5xil1JmQe
1x6R7CEWdiAaLS7zrZXI+2mM871eUIkGx47gAHnOVHfs4UV5HmTC2W/Zw7opzWdj1Lr9AJL93MwB
aFzaY/DxcScPgB5EFIR7IDXTG+MqWU8qGEioR4yeV8lVoRPhG1b4ncEkJw+hEd9oa+iH0QyQfM2J
w1mQ9rusGS9HDTyMoNH5aKnkrhXMC3rbY1mpvKoySbcaJSgpcRVTRCbh4NvRFQkDdC9NLaKDFqHm
2BrlzjDy8qIfxLZSaodskilpcJwXzLCpN2eEKyIELlsHV94cR4CKS0oX5kuvA1bfh65/qGHkV1Uf
IXafXkhKXsVCeZwnu7Kax7Nfz++9CpCwLdh4UqDKcv7go/5Z2n9dRLl6ffvXZfS5+zOhvfzdt62d
Eko2JamgoBepOVvoN4G69cEwDQx0INQ45kz+zR9buyLqHfU5fjI2/WVtZ0P4Q6CuPrDgs6ewZ9us
KQbM39/QCRGv9NM6hzIdma9agjyRH5FT8+OugYF0sMY674jKbo5OmEkXszsjrt9phrNmeIQOciiU
IoVozufdBFd26UajfUOzBKULNJ+dyQnJubnNq8pOGnyjjV0AC2q7zKRKxJoauMBclARBt66702Dv
HrL0KekmfKDYrz6GyXQiL4DOaDeWD13akyhXcmpt6OmS7w4tFWs5l8fATB4I7rkpG5uhc3wpEEXq
MUHCQ+sVIj+h66YdMth3kjaJQMdQE8grkRibXkcfXGb+uUQTG5BE44SJp2nJhVawMxhl9rlNLEIH
RuB/K2+vCRx/Ncv4E/gmGnGLKdzhgS2C/ouvF8PKEkvcus/GpBr30UqrzsNLv1UZ3YwhwRCRTdyT
Fo2rvMa/VNfqZia5oglBVUseKw2EAqVRT6kDb+LoZ06ry0Y3b0rTIa5HI2h9cTQrko7Q3KZ5dm4j
+0UPqnsd6V8x9Zzlzh6uE9vedNcE1RNFO+ssLe6Lsb83hvaqsEIN/NwgMFsQ2YR3/rWoM+QybZwc
kbF9guVD1j4/Wuj2jZ4nRoYO0omy5zQUBD/gKE80FNA5jmiaiGryS336GvvSo8P86AfFTdI1nMHx
shnFWbJ3g1pwtnc8WrSy2ckWxVJcU5CE+MwNofaKyBn6jXRIJxpjPcE+NdjbvIz2VA6RFEShaRBJ
Av2oOC2b+CCoPHXnciBtiiQr33SuKmagDavYsZkCNoM4vO80ZE06fUar2KJQsSGqqGj3wuc7hXez
e6AVVGszicHEeijUVPXSzkjB0nOhaso4Wng9rDvnRjNC9vrwM0CyZ7va53hyDrDu136fHzOrdGHE
lypItLoYmJNVaZD9T8fMI4zCPXlia12DD1dOf9HQJ8RPbt8qwoRXEUZ7BvDsVTP1bS9wbKIYIMBd
8Bxu3OxUFv5b2dXMlt1wrpVJAWX2sR+67piMWr6L+vI+b8i+MGcbsKis9kA9+a7g/tpAdLFZ5Lp9
5VONc6V8/Nx6P60zxdFiDBUMuua++4MoiZoBudYJ5MGsZr6JurhsyMRZlVF2N2rl0+x20lNWfK+N
1TmafblSyykqCQ8h1VHuYnIVm3h6xSR2YKv+jIyjPWLY9k9WL5lohcW67BI9ZgxkoFedw//aqgH7
WVeStn+EZeAeM4sruniU8oqIhJja8l+mAbF1CWsijeyqC/z4isTOfm2RL/Na2lpxbeVJekBFXW1t
l7uBJ0j94CwNX2amM27UxQSDy2/fo31RRPxcKS1+YV8+6wkIeyRO1CqKmecUofDXXdCeTJWy2QTm
p8nSbghrP6B+0zcj9MmWjxFiF6HjC5+Ov3VjxNdjmDIWaCV8NikTThG8GM4s19oQh7SKTiAWaDyI
KfPvar1vjtD35MlgrrC7TLvQpNOuk3nWd+RX7KOhecULam1G4vtWsjK/mAPbM1pgfRMix2d2tOH8
2fi9pChf8j5zt6ob6RyS8BZc6V9Rrn8OauuX6DqCXqJ398Xrn0/q5Q+/ndT2B+EQN41058doRvmB
56KS0O20U+tLjfR/9bzEJKLjXfRYEqMXx/43I5n6wAHIwU6a3tKywrn/N87pP6OgYOIm2jZ4F0Xe
60+IIL0NETx1T+4UWpvaOrt0QS1dP7/GQH/EHdEMWz++yk9Ya15wJgf2oA5D91r3TyJ7BXPlcfH+
65fRf/NpForje6i19/XIpjVZHRCQxpshwV8xpayJZdiRVTZEXkBjKQGOGJn9vt9Vfvpcq/LNJ4OW
HDQH0T4QBJam8Tcx13/9+YHOdR2FIfHGP74vgyhfA9O8OgTG89eeOfYausSOQ1v9P77ST1MXQIjs
Oovfsx4NtEnGbYAPnRRjzKUl8qLf/K4/z3hff1dUk8yaQPdUPfz0uaoYEBYl1EElGjau9DOSrifR
59dJMbwigbn8ze+L3PIniuDH6+in10uXRLj/Y+/MluNGsi37K/cHkIZ5eI0REZxJUaT4AiMpEfPg
ABzT1/eCqlRJhqKCrezHvmb1UGnKlAcAh8P9nL3XBpLo7cgYUB7kJd+c4k6/Iw9bfFP2BovzH8U+
/HvivrvAg4mLBcwg5IwH17NnMgDNufSXkk86BEdnx9+DHALe4QM0blIyiDrtCB5cGSghPAPlN2e+
0zfw6PvB4yIFyLLoIh+0iqqO6aHwwdtRbyRfmjRDvwZLeHqQ3xtFM0bcRGBJQ5F+x8GSAjKtw2vN
Qxpt80fksU0rldc/HoIThca6OfckjfmA8/4998JgoqmG205RQYTJb7L/ZKYduVEfBpgn4ruWNJCK
OutCBmjqDcHcA9hqOAWnL8I9WK5oxyDlVEmbxaSH+Jep/XGUouEk0dSqu7MrXVJh1PN140z1WqDe
h7K5bapx06CH96bmFnNxsbJNBVs92pElbLRdWXCwEFl37kQJ6UT6vT3Wi046fkY2HBWhFZTwR80M
g5UZ1uEioIjBRhO121ej7q/cISd2jlJnxQluKUZYX1Wtk+w3GeEKBNODa5CEqnb2dEm2bmUgjCBc
YlHZ1Butqn/GOhyup9n2H1SSlgdXeiWkykEGU0L/QCaWfcdNa8/mT5+vs6WindTu7CGZlkHPniug
ZQCDzXFv+5FdN2Ah3JdKmRLvLDAtRKRmmAllZEE9nFSlof0eBdwro+yzx6Buk21WCPJBQ7CWLbFV
jhlDzTRLQa+QvWAFS2STqkQ5iC5S6KbREKV0vq17szwfg9Sj4kiEA8Kthe4oFhSVluy+vO8AQAzx
pdnEMbQwp8U2DEczrrX5w1HZFbw+iZgl1tGaGfFVW+Ix6Gvb70g9XVtR3K1VbbwTHSCCdhikLzvk
h1YV+KI1MNaCQdMduU3yXHtQSuuHPSaCqNj6baB551daMZ63hBtRLR9yIqWgabBnNTdlp4nLxkgl
B7Caltrk+SpZsa9IEgmShpGGi++Bl/JbZ7gbgtdwNTRx0i4DpXxRcu27rtTEBVa4+eo0/9phIcNV
OHBWTLdYQtI3WQUlRl0LG8uA9hd4z2Vt1+LS5SRFfYco8CrrszVuyHrhhuNZPiMLvADXW0XsFQqm
BDOxWa/IWKQcmlX4cNEiLczMiNbwjM3F0CALprxanAV9lb1wDGPpzkS5iNLYQyTEIUq0SNhSqyXC
2q3Dy0zhbwdfSFQvTTB3ZGMSGv23YYg3hkJrveeLBCuWT3wEsGHhZmQ+xcpXs8r9tojcF1fpX7S4
KlYYSctNlfaEhaYRB8528ImEvLHCUtK04JAygbgtQbreydK8LnWlW+UxabGgUQHDmOq9GpfDTmuN
t3yYxGZQyOhVM0UFpdEAm4o1nf4pCB6riV7ENJfLXbwwbkc6QBE0IQUPwzprMvKSm6zcRq1CPk5X
b4eB00YCJIKdeoN7WfEUyBuQmbUQsaGlEgkuQu1e0iig0kAJPXbcEbQH8i08uFBH7JYYOgw/RhQZ
25Rk9bJylfMExZ7XUqsrJvuJrmC4MGBMby29+4KGDZtKwzkJ41I0k/a9du4g2MnLIBtlkUsvvOJh
5TvHjLqLqG7y2yq1zXVWsEyUoxnsu2Zq0Epl8TaNhoBmnmr5VttAIjLE9UB3h54VAbZudC4n1oB8
oCuD/zzW5sh0R/s6FpEfxsobF+WnSU7fT5pvWjTpa2kAnhbqdVh6JDGr2BfH3HkIRIU4KSl5hTIv
vE7S3Fyncy27dTfgPeIlBSP4MbMd0h77neu0u4bsb6KqozsOfPbSGWCLx13vLZKk/Vr37dnoqs1a
90bcPVEoUKYqW5qHGYw2B8mdEFdJOUKu7Hkz1My6nCDi7GVCtlEdmnSj3dhdZq71OCjG69TKL7Zi
3HY2AfIsriyeUn/MjOm7HEwPCDB5uaDZbEKlqwjNtgvVRimyzTDyfgLSZUYm4IUljB4MqeQl611w
ps/FXzmQ/dmVxrQwPRGf9xkMA0Dg0XVvOBe2Hd1g2N+TeV1vZAgjiShf1km+M7Qxs2w5aXJluNKl
LeqSOiTIKMvY1O/H0PQJUp2X301Qz/iHFnswajtU9DGCXYxbcQQNYOrN/RBwcu679r6vW8RvhQlU
Wlr7CUzDotbiczSJs+/VRm4ffXWV0Vqrk8T5q6P8tXh/fSrxgE8lVxWD6qQNNay02nrAHnFJnxYi
t128eMQzoIel9FF7QUz3Gwft1GbTLsZTvJkaaBAuFfe1kN51H3uPVlN/gYLUrgr4tWWDaI7oBroa
lq3um4wSQ9M2D1OF3x4xJWBUSVRc6AYEhQ91PkPuUspJHaDMsYkuY5OwdQu0H4IHga5TyC+W2hIk
Ikxl3dKiDpPupnUNv2wSrLVx/aqPcw2EBGPq+1dTNqHDg8Ng6d5tGYD6y4wZ2tczJ4T2UlnIKXqA
24AIvWc0/n6c588T+CBUsQ5FC619rJ0OCbFFrMlM2bbrcisc6zIVRNGW6Q0ReT8UQOirCbZT5sEE
pBBWjySjFEaSYCpvL6Oqpb6Y9t69Q02Ab4Pd+NoczSjaCkjfFL55mRxWUV3RWHSsizoJH/kJV6Yl
iWcOBA+/AgOvj+GwitP02ZvSJ0MlJWLI96aB0r1rqHpZVnftltG+HCk3lsNjU6fAniyYonz8rBj8
EJ+4Lj6LgWlHwbxQkVhtsI+tnpQeDpPjUQZUKr8NYUdb6lcj8egewiazjWQvAu9azUYUHt26T52L
FvgX2ne6/tF3Q93IYrxxc20Fg61KXRU2Vb9SDOUisoJ95bqXShtsC6ygnFD8gdsuSaZw6/7cnnZp
+XUKoh4XhKUvxjYrfRvTvDPBGwckpmbaN1eW2UKvjWtcp/ek+fUBYZ7KXEztxFuLagsBWbfNWGFa
si5CRwMRQWqww86sgNuqVMhc8JuPlbodscWCL+jVGx3tQVAUZ8jCfexPETAMbA9Mjpxf6TU7bbwS
DWYO3tEweVbc0a+CRyW4JPwA+yBUsMra5EXAxqa/M0b5oxJMmZIpzh4GDluvequEXlk3VQ+D5rtI
o0juLUtzonE9KCtiN5AHED0aDM6FSKw3Ir0WRj3tQS5/j0Esso6ot13PbJmR1eyCw303WjZeRe97
4gK21iFcj6a+TaLq3GryZunNEOy81r4lMxbbUsCEQwmr8fsup5mcPc0M7QiYNtF1sHJTGKMJrW7Z
30LQ+hbN/G1F1aHM4jBZ5MC5iz40FmLmdbdmcGf0ELy1MrklztGjTQ3du67Gy37mfY8RN2wmgLsz
CzycqeD2zAfnH/c5cvLZaw0cAU7AciRDmR0aLlOKxF8FqhDAadVzXmjTpgwN+pRAJ5ZKPb72VvuU
zaxyvUIInusvxFSjfkD9Ae6Lv25gaeZDW36Ht55tUoIMFkOHWTQCia7ObPRypqQHCYl7IsKurM4M
daHJ2zTrCenT4s3wk7OuwXAwICEkPyHstcM+0qEpsh5mRrupzip2sO2jacSLsNdngzIYlcG8KbD/
uDPrfZqp724JooMK6bREN/GSzWx4xBFbyX407XUsC0azDsHIC3DydeNdo7R6DSNNRWnvgGgNUR3Y
M4Ve18VFDZbelCbf1plUP4GsB+2ir4yZYt+GbCGQnTwNM+FeuDPrPvIQomSXfR3uHGD46LquYuD4
tYq+UQmc77REHpwmfpicFteNsK4UwPq2rXzRAO3r5Mjod4p75SBv4TtWXnpJtnVA8xczo98OtKtp
pvbTnaw2kQsgvQXpb4D259sDwWum/TP1SBhNh+96ipQlmTMB9J/xAHrVUeMmMkBpKzbZ6Mf8PqPE
T6yAUlC0twgaUKvuTLgkD7QEhi+VQG/93CpB5M0JBU4j+5WuajdDXLJQy6DxCSr/npjlE8nY3/Q5
6WBInV03Zx/Y8/qs/gxESJo1srlopc9xCV6uEuA7RygkmKYXmZSX/JUeEoL2q0neQmG11jqZIxiw
S4+7MrWfaKLwV5HTEJvuRToHN1iSCIdoDnPoE++8SbJ+pzTjg4i5porkh2hE8KAg6PLDkVgIiWHb
TQmKqLXcF11ir0YyJICUYXWS7t6Fo9wQ140Aj5qPPkdPdGRQJIUlF/EcSxGSTwFu45tFgtBN3+UD
viZCLE6fbfUjRQCqDJQa/l0ZOigCJIGcCtuhMhR1SzVZEaoBEiNdl/fBKiLN4xYVxoK8lRWFxwu4
QjfxJt6Axdtpa+ffxcf/LU17VC3+u/B7Xvr+ZyXLIvy9Nj3/l3/XpilAUGsmcU0HO0Gl41cXGWKZ
gROZ3jIy758l6F/ab+0v+ir8z6DBCxt+po/9qk6rNKUNGGCoyVmULN34k+o0luCDih9tan4cv8Pi
9Ekc0UHFz8tGJZOx6vgygZ8niIyQ8bjLGuPWbOVVPgQ/XJvJnlg5oiGceGHeZmdmiqyyj5GaNQ7o
iNrTHuJAZdsnc33RqeWtNOoGZrXma2oDaDOvb2U/JWvSQe/gu6waMT5Igj9AhIeL3HIQyVnFNxQW
P6aQQoPo0JzGfO+B2d8RzcmuHhbAwgg7j8AN61at7Et7qFGsifu2za8ifVgbjaPD9eJHeKmBK8Wl
c8eZGE27cWnDcCD4Z1wMQJUWo51vnDz2VpMOfDSzSb5zW3lhan0ALz+/VFzLl2lSbYpYPw9tV/pd
UKnL1iudRTAmzjoxdHtbJfXtIIkQ6UbvHAgiTfJKc29DE26UxM3mI8DVrwiLX8uol9eV7NoNoUUJ
KdQyW6sqy0JCPDmuLC3fpIV3pWMtXTk6Bht7HDS6YCTgOZEaLVkBzjOFWGxHzw1shmA78oI9AmHc
b8LOVppHG73Smnusfk+KyWlodNONg5R40XsRS6D+VUc9vQpQFPJf4kdq8q5awVm8E7ITPv38HwRT
3HFUQNqHdAwZcXOTzDDSKILVHTcEnuuQmVjKtqHCtpTP3XkYFDdeZl6F+bgtppaVME7eHLAeSmBs
oHRcxmp+pmXqbaVYWyTAKw90Z1+138Y2vnTbcNPzAalnPkcmz2xOnKkybKayoONpK9/HTPhmE1xW
bbTyLPcr+xlmg0okJxeSTNGuD5T7IC98kG8+3Ry2Is30LUD9ECnNMyeI2960bxPRrUO61Z3d7cra
3KYDB+lkggLeVbvICl9cE44KZHxl1aFm3AYBGHox9g+Iz25iCiKrVs/bOb2AvrumA28TvUbcWmBv
JnwQGODTldkiBmomvnJYnc0RAlGhcJYMnXyje+5DWwmqat0zYdOPaY5Lyx3rR4G2MhTdhduJfex6
fGRQmsGivIPtf+0qEwfYPLjp0/gqonDFSfq7k1hIjtVKbnRGX8dtlSEgGk30FSgFHKYlB8cyWXFi
z0kyLDq2iBjnsk4jw3YQOCbwUK31Sn9Iqmqgv80kgi8aLcKmuAQWh6oOXXmlxQNCS8i5gcVGMHQx
71LFCDZaRsCBWdi0r9uazmeEHH3i7Vv0LUWKIqu+ZGOwQojW4lUvHjOwGwjVItNdVBLtKVXUvt3n
VLrqKFfxrSLjZaV8zc3qahqULcsOiUtxf1WJ4IdtcvYbY2vXGta1OmeTEGculvk49Bcc1pCQulNx
BYCkWHO6DZaxUVxYKiZxdK7FpiRlcllhztsa+KKXqTHE656wLKpevBbobCmZEDU2IdVUy3PLUJqN
Y7CvTWW3A4Is7pDgc1siqca7VM1ecJsal0GViytbIdnAbIAp9x0fVtd8zrCkCna1i6xT+k2rBM1N
4eARJxL3oiZHexk3CpnJiqNucm3SXmUY1/tYg/YOzY46n+3WDgK0pCPduM2I/ir6+InMmeA2SeV9
0tB1cSLxis1sC3cKBN5QnUGqzdD3TgkOEesC2fKLZdU3SZmjDQ9uRTNeUxvaSQhwWhsV+7IXOK4D
+9wp9C8ahyAA2iuZefet0oOGMKgZNy4SGqITzieMKeuoIfbCjvuHwS4w3BTuypjYOJW9QXrEHMpV
egLemtdzFxGUKLN9LoUTFkY5zfBRkuk4+6NVvYypcTN/ZFZ/kcSnNCVRAl3UZWgeRLWukOwvNS+5
BogXzKoOl9qc8aIowzfMJE/ge7GmNI+jpV0RxmatBHHq7KBrdMJJQWdTymlV1FOHRp+qEKBz6wKe
MREYGvoWbU8/UluPXkzQS2ihKmE+6F1GGPHIE0Z9so4wahDzVjvnY4FFuwYNBgp4JDUpI/gnVc1u
06vtRAgR5UChlxROs+KO8OYLTyPFAJWgxsQp7hxDklxGTvyFrMyCQDcFBjO1dqq8N6TypTvu87g0
nThZCvAKeUOfdM6bX0SljH0x1LVvlqa2cuFFrnUBE02zh4curuN7AMr5PhEjVTnUssthonLRl5ck
JIwLq2OPYfEq2ik1gTow3tCN70032GuFOpJuOk1bo3fPi1B+TQv1hRPAs5T5rd7z2GPK2CxiM2Xt
vmDHjOQnWYaBvP25G/rfbeEMO/nv28Kz+EfxP1vcyUe2hfN/+WtbaP1lsYlzDNv2/q0/+LUtNGaO
Dk4wzWV3aJns/X5tC9W/sHDN0BBwOZqOl/M/20I0Cw4aewKYLA7WGqiZP9oWHm4KNYsYY8/W2YRq
DHXQ/stySoq5PXa+FaZP7D3YTWRn727K/4Wpjmad8y9dhKexlXUOWnN05VJSc0TnB0Rf1ZIyqoMv
QrGgX/2Tgea9LbBhamoHA2V93+hdESPoqccv8z6m6h02JV74T8bhSTqY3hwN4+LHXqPSEckj1Kzz
UwLvNwFasDGd7DXfj09EGIcnv593jt4vKZvwkTwOAB9ap3JIPWG3Zedjs18LNbmvPHF3+p79fMDv
DZj/GoPTJQhmgzl1cNOqFmVDhJjaN/LiWmDDAHCyVJvpVTU6bDOx84NgwmeISRHZmihNBNyU0z/h
sGfPL3BVrs6hfGbwfw6uEvlnHQTSkT5abcD3ZOfmN1Va3GXjJyfpzwY6OADpRo0KUoSd35sUEJ0Z
HO7QBCVPdFEVYn36qnhBP+grfl6VMZs7MdUhMjp4sRxV5HSidekb4MxLdZ8ZhP2JT3rrR6/IIGae
dUB1uHcfJ4iSTmiNCqPzyVek1nauIX7TG5JiEPH/k8v5z0jGgRzISGoQ9BhqfA/m7KrOh8ep79B5
iuzm9ECseUfuGzt9TeNTbhzSuC1ofXVU9sx59qWOVNZVF3MgYdNAWIBVbE6PdvQp/SROof5CQDb/
+TtxAmkFcG05sfmK9C71kIxoeuWPql7dnx7n6FW9G2d+kO/GcQoanyJKWWapdHrtg9Wb286hZmx2
Ozv/ZJ4fvyiPRRC2pGoe8scSUXdZIcHzK5a4hMry2HBuLJz6+vQ1/T6Mg/Zl9m5j3UYEc3Dv+nqo
KtvIO1qncjUoj1JHFiCsTybe/FJ+XJ8c8mNUZO/WTJabbfPv79yElb13dV5aCBArTc3Wiga92D4P
aNdqiF/j7Or0Zf3+qD4OOC/K7x6V2sIjFjFfERF35mb0YITXdfKaUAmBQqlctWSHr04P+fs677gq
6htbNdzZN3BwjaXbaFarBdKPdZpgau0RzcvJ8k8H4W92+M5bIOm4pQcLUhbk+QD1lxtZOq+lSTZJ
A+rl9Bi/r0fzGN5P+t9sz57v7bt7Z066kjRxhL9GA4rd3ujpS0X0YhV+Joz6bKCDpZzakTmFXdH5
tfGq0AHGE8uZ5K40nk9f0O9znLlH4Q5cwmzpONy72AkCfCxH3LRc35UqKh58wQ/dID+ZAcfHYV+H
pJFar37wLgVd7UkzwBDFPmClScJhALkq4Ser3ZG7xtX8Pcr85+8ejyhKT+d01vlq3HMkexIxR26O
giE4mH9w3ywwCi41Q9IKDmZ0bWClRrrCRCih3pdFco+84Tmr5fr0OL+/rDwfBvEQ4ME9OcRHtKTo
TSSpdX43orJ5swtqRvQRREV0qv7H+1jPpHzLBLd0LuxQeWrTMy4trDJ+CKCf5ttsnifrUAmD4M9n
A9lcUA4AKjDnDsGBQF7TruvpJBhT9sqFPGSa9tbq7svpm/f7soO9++9h9INvOlw5kbpm1PhDRy9T
CMqmcWK5fz4VPoxysO6kQ+WiW4kbOrjsHmf/HQj7vp62py/myNxmGGCkGLFYeg6/RqUaxgPRYg3C
L8oEyMex73nWZeiYNxUIntODzfuqjx+l+c79PdjBi4TAL4bVrNQ+Nu9ljxxJmLTCo+cE96qQxdqw
iT2Sn9zIo1cI2JTugk3O2yG8RRstb05zavzUIiQ8jOl1ZsI4n9TkLKHe98kc/Gy0gxWWMHElCRsi
yVXKmrj79eZbmfX02b1PvhlHlj4cKBjbeGFw2R3CUEh3zjqBbgtaAE3j2tgpCpIbw/hkU8Tx7NhD
+3sg7WC681YXQ22wltt9QPvYA1254E0GWjy7ZEqFXFKtUZawJeVMQpBnrYzfPHw1rqY+k2exx7hD
aDXOG6jvI2kWmHEm2VwFuHOQrpnrEb8Obqkv9WzgaSJxLnH0RAbtung2+eiNXa3D0CMVBaCAHqPY
c0BsLAPcQRD0mkvHbOwLN6KyTk55s4qtuNw6Krnds8Eon61GcVHcJ7P5CD2dPAuc6kKq+pmn1vdZ
j467DYjIUMsLERMM0qLHWfTjhASFCpYuq+doNjxVoUBGPObnkYeYJ0wVrCzFtZ3q7VKa9NEbCXrE
jG7zirTdbrAfQvA8K4tuAkCcyN1j6bvThGtxsyZC6CdAasBm2jV6GKINGvGEOr+j9N6tDama/qSA
aS5N2A5OFt03SFIWTO5pn1uE3OoGSTlTa55nQ+o+2U5i+3VYaBC7q35r6CCH+hS4xpToP5RKe3O0
vIJ0OiACYb2SSnDjOPDLs5JoC1mTRt2h54xU+Wa14sWLxnUwkCGRWXiuwIpeB3G1szJ53RTOfafk
vuwJ5rYImR2Dcw9gh03kH+KXUduropH3g6PUO4ij6IErDxs54chvZoxcRC/iLFuFYIuUs9qNyKPA
E982XpPcpjJx9j3/fgcFZwaKBKXDI9cVMHhwuTGFt4RMoFF3lm5IZybNJRXOBt3bBM915+WdeRGy
v6zX1JOXpTb+IFTEoy6aB2tq9Lp9VWr2BRFgk/m1Q5Z7ZfRVEywUopgReCUY7klKPo8mMpUlyrJd
2iJgAg+EYkNm2NI4giPusCid5p1dPdAs9NAc6yTMavZo3GRVQLyFiRygi+1pE5eRtbUTFAfVJNxn
4mHIN5PY2JFaarRQTHWdu42xsclD71Cfmn4IaQ2vXupZG2NIqtspdsqtNRImXCUwOcM0It6rP1dG
dZU27OfHCj3bqHh3SFLcxZR0W2sq34LchKHqpDXOEuJVx7D7YuTM2i6uzmSmr1A9rlLKxWmVYVud
nIHuAbDNx7SmQo+A+2yCwbEOsz7ftInc01o0VslIDmoBxmHdNQADnD4qvjta860yYEQkwMf5l+1q
BC0/1HtRerDY6Vo2tndPZdzvyX4q9e7MNIo1W/UzO+0f6Dd8YyXe6LV3BksKcJb6VBjxCxSK29xC
xtJ7/Zd4/ocWvCXeAHMla7GZRu1JN7Gj9+IsDdqbXLEJT+VsSkgKwYfVuLbaQVuyjuUkx7jRCrf7
XSrLx1CDtOhO8Pmj4THKmmKFZTFEhOc0t42ItUVj4WUD5ZkS3DckZyYtHgTG3Xine4PbcWaCGDTY
jbUPrcwO1lHUGdeiiaJHAYBvN6DX2QhRkFLnUg7fAzUJfQyKt/xwTbswovF+opou8v4HkmFk61m4
odN6XVA9PCOcY99P0TZRG/e609wzqpeXfY88t6nabuW4w0MUDgin3PBLKai75I6GVM4pr0fbbfHr
0SOdyHm+MYexH5e2xWFvPaaRtS5lO91R/WhWk1Mamx7k3SbnVdvVk0gfwJ5a27aoO4uSfhemPnwq
42srhSGXwqOLlKR0v2iyE2/Te2cT+V1Y+2tlLLYhbXw6rsJis13XIeBZDaBfGk8P+CGssww1Wns3
5Th+nKCs7xKZ6va307uI34+27CLefZAOdkYBXq6pM7rG99zxyehxy6Z29ZwGrHJ2o972TYcAUIXC
cnpY8/i4HmcajeIWQPaPx4COeJPQdTPpE5p4M2J57XN43nmHUsiTdr7QyFKKFWwFdm5cThmCLEPf
jcZXnWjkIk53mZ5uJrS3YdrfeEjigiDeWsiwVeJyyCqSm8Z89SZyxDLT1wb6jI13Uw/5kwF51Rj7
Td5ldGXQCKJ/jSWaYz5AHZhUpMNLtzPOx/Y5CcctgUGLCMEssil74WoIWsJmPQRIuIJUbCxYy6fv
y9EdD+fvX7flYMfT9UERZERYIQkguGYw/IAMrCkknMuLPtlcHd/z/D3UQd1uNBqrHwer8bs8/E48
5K4vmlcNa/Qnj/rolofa+5y8O59Y5t/x7sA3sKGJxMSWEc0U391q1cXfCAOhv46lopo+Ge3oVb0b
7WBXHADD6CJ1avy6QjBwnxfnDSiw0w/p6Jnl3RgHc9fLx9rsc5NtPjEencgvejhqp4c4Og/eDXEw
DwB1wlYztMYHyI2/F6kjQpdpTSysuqwkBOHTwx2/Ips2MmUGzKgHR2WZBJ3RBxxcAit6VNt+Z9TK
9vQQRx6MTZdphg5axtxU+jgNWBNdqx15MKm+k3RqVe0SkfOfX8eHQfSPg+RSI4gWcQGrWbfqMbb0
EJ5OX8eRW/VhiINbFbaVVhUTZ5LIEReBYBMWiovTQ3x2q+af8O6N6ULFtdOWIcoA8m5iqMvRxO6C
N/2T2/WzNHFwhuRi0HVhWMXMfNitSjzpqoYuOX2jQFwQVAXTJgjlHbStq9oMrq1sIk/SU67MaNSW
ZSJXFgoKv2/HJ9MV+zKS0cruXVCVurY2M5ISovKlhFe0bBoEoKHSfFL/OH73//ODrYPzkx5zttFx
FvmYiFaVJe8BiX7Szzh+9/8e4mCiwvQWYyyGxp8ymE9k0l7q0eD30os+OUsfWRjf3/yfWrl3j1nU
8LTslkNnxVGwA6/NTgflClYgEs4GSAn/YFaBb3Hmao7L4vFxVqlg67DUpY3fCm/lxvY2t6MrU+iP
p4c5UpaAN6PPfQyV1eQQ+6liB7NI5az9oC2/xc1zrli7GjWF4pI/LEHwkek5pZ9c25Hl8v2gh5bb
Nm/z3m64NiV/mkxZorVwbwERv02kDJ2+vqPTg3Y1EBxLc+h+f7yNshNl0wrKLtLp64USktGtZcn3
1rXeTg80L/GH76bGW8laSYcDTefHgZIgTd1gVAs/VZVLFplHkZkPeL4IbQxFAGQ/fczd1v3EcP6z
AnE4LH0OqvToQGESHGwLdLsWyEpYp9U+ONf1GiBha954qONXlgGs0e4vCg6dwA7vBhuT6emLPnJ3
vRlQjBBVR2z6W80WJIhayqqgC2Hfi6BcJpq8QhK/Oz3Mb/NFx7Xv6ja6BxY41zp4F6I21BKgIhxV
0E+6aNrc8FULMMb+cWGJgXDSE4ujIQlA+/rxIZbdILxGS+gRUGnREAeNNXhW7/vpy/ntrs2j0OVl
RqKtNA+rwnkQesrU0laxaoFN1TzX2ubMBDR3ephjd81xuHHk2Dl0iw4+faqoR6EWaA68MrtTAjx0
sVvv+zBQl0Yu/8EjYqHiy8SGxCOl7uOdG9DdJV5J9T6DoKSNMF2sm655nbWAp6/q6M2b1c8oY5gN
h+oT1L04Iwt0t0HP4aNJlCev0r1lmzbKJ/fvt48Xj8ll96Oarq0bgG0/XpIeKsIgyIV2PM6SlRGp
D0pn/XGFdh6E4wN9UbKY6Hx8HKT3WoyIJZeji3hdsfedQOjZrcAS+MkCdezGvR9J/zgSAHh9oM9D
v6gl7YYeCBsEIMMg5Nann5A2P+sPa9LPayLciGRsXttDiUEQOAiYE63zo8IkXEECrpLJyMkMxzxm
u/KaJmy2BJQM5kl1LrsuukiwoqwsMRoUxqirnf5Bvy3NH3/PoRDBDg0Z5WSfInnwlkGi1auWu7FU
q/Kq89RxLRx3n6l8zU8Pe+T9YyFBw6XbBrSBWY/1fl8IqHuK7OznYnIT4UDFzjJAIe6n1/+3cebf
8W5j4jn92CHgRWcxXJNimPU/HICjwvlkm/vb/kdHOqZSYKWRhejrcEPihQlRej+H8eqXbLLuDDwB
ZHmcF2BkLVl9sq878vZ9GO5guiIM5y2vZmVWDmAYo4Hz/fRtOzIrGIDVHrHUTzvFx9vWxE5AZd2Q
fm2mHvudOfDGEaUPSRdbvfFQuEm1rDyZfLInPjYt/h7XUg/2xOTeip7iFceF9it0tc0gXG+hJOkI
/jH+8yWMrHtkMQi1DHgqB9+zOA+tLlZ6TnGqBIvZ61h0E3t5+kb+ayU8eOEZxrRQhHFD9cNWtNdC
D7RLznF2QLsbO/JdPuR+3LL5KaF4ZH2j+nmbWCulKs8CPdlXJvzd3MlG+MVxvpSVtsuQ/i/DAfBK
W7DpNIupWpjIYFcmHjb6tfE6wAe/qQ360EGCrS73xmzVJN1TaefFtqkTEqsongP7i4YHirvmurYS
fO9FExPeORY3WQ8YgUNssNLakfZv68SXgYjTV2AZwyoN4FQokUQ1V5gxXYSswHdiZOfYdm6LCiRG
1yH7hbdDK6G3906tPUlFmnjDTDTVqbC+sgmqNwaK2o0KLHzjtA2eqsisdgF18FWV6UDKK3PZRJ64
6HSiPr04lCu1CAwEHA1u876w6EY0lHGLOK9W2oAUvmzFHDM2PAQjNt0GVfwiDUayWBzrLjDxCnhx
Xa3VMVVxsuAdrZuQSpvA6xANe4q/z/QpdGwJhgGxw3xmIS7I3VSNpdc0wX4cyx5OSN6uBzYS+7Aj
qwU69nCfFI3pkafSt7BApmRXSatc0tahC8ZGd+WgT+4nJi7GOmLJXPlgZNOdzKuN0zc4VAlAXnqx
Ha/T0ImXPb6MuKqfh0jTN6cn39FViS0h2yjd5HN98P10O9WtEy7FJzftKo0KBO2Kcd14Ot3O7LVO
rU9iEvQjHzdEtHyq0T/OR/GDDfeU4xPVKHr7naXYBLKR7cRBvF1MOINtpb/Vp7rBK2ri/wl2iinu
w0n120bSfZLmjUWBaFkJkLpx0xE85TlvGXuxPuqcVT456qog3B6RunqPmeDH6VulzUvmx9dUZ+Jx
DJr3GRzADlaDJMkjwlALXtMKoEWeWDRPcTQsuhG4SOfRZys788kcmzt67iH+oOwGJokkbMfJ/3Vu
+f9Z/q1wUgemgySaFf2/K8BXz+n/XB7YAj/8p78k4O5fiDkIezbhOTHXeJi/JODOX9jyDFSvVAdI
yeBPfknA9b/Y4aHX4jSIJOynvu6XM1D7a84Vnf8MXZwNtfZPJOAoyg/mEvMILh5fFF4FOGTeweam
r8d0AKQa47Xysn1TgpZOUhgwADn2ce9g3o9o/RBsV22LsSKrOKr5Mvwf9s6sR3Ij+69fRfA7B9zJ
APw34CRzz6zK2pcXorq7msF9X4Kf3ic1I0hqaUYW/GIDHs1Lq1VdS2cybtz7u+cUxMesys3vo0Z/
SPrkjL89sEBMkNfZlz2D4Si1uqPVwO9pJjkH45R8Z1j3OHS5cfYdHMmTZbvrytRPgye0s9YXzzHD
rQ4lGKNnVn2zZaqhX4/IA7EnFUb73QdBtDbUwm7RXD6psXmlRVatimI5k4F1Vxrv1pV0ASO5XSOD
yUu+OG3ymLoOuP4MlvVQvRW2NW58xlqrWo1PRu9lNwksgHWss9xYGc+xlp28THxEU8L0x6wAFzGA
A9pdfBhds834X9AMjnFI3O44uu20TkoBpd6eVoMxDSvH6EJd4/aeoHugXycDg17fsUvMPDDd6/aH
KqpwKtJvRSS+LW0C4DrXTixoDSt5RfizuyI39DdvOlV5QV8lPTt3mR0u+dwdMy6AhV8xKqk5Poyy
YOZp2mXYkUAgAY8oY/C+9p5bbSejekgSrVk7Vuqxmhkf/Br2rPR26K7WkXVMu9nfeEa6azvY5AZ5
3t6ez1bVH2V23Qkcp1tftHviDszIYjxnIL2fM8N9IfzkBpHeHhbNu7h4LmalPpyueraEfi/kiKQZ
nIqS59KQt0bhb33U3Rul97xAYM6thIieq6vJDL8A86eZJSBwm/5nh0UmaDu7P3CCnuU8dveV1Qa+
OXlBltWHZeqHQGquBTWo/DowxD7A0t55i79bDLb6VHlfwXxC1zaoFZT376k2AV3ytG0nqsNYGafr
7iobYOdMY0dtQSEyRWCiJBACgFsbzarWtZW8Lz1LA4Sj1sPQ0Mee9w0mNF7xy1mVCEdkvjb8JjBj
IP2pw1C6Mqwwc0twLlF0iziJLdpp/EJ2f+1VXreqLLlT+Dsble2yJSqCkuXCkgYtuf6jZebFiktN
CGmdFaqgaDrWiCrAVfWob6s6eeuT/GBNNLv8stgWcrlNZ+MxytQBTsM2S911rbKtbw9bP78e3/5D
O6UhmV9Jmt4KI+WEAEy/EX9/oeuzjVUZoXRwbjMV3xNg22pWdDf6kbny3eGO2zOKC88r1pL5pyu0
79KIHhNLfE1n+zi54027LPg4zO/uOB4NC/qimLXbqNKeB6f+GH1rTR4TFvr8mDr9QZQYgxvXe/AW
1pBo7n4xMuhv8KK3rd6jMjHP0dhZNNnjdYpSY9TrLdjed+aWb3HHet5cO/AR5j6GkqKPIC2MHvZZ
FMwDUb9aa1/Grt52Ws/CqXXIHEStGdYOGZ/xdp4tdC9la9yi1/ED008+GZGU29Fe8rU/2tvY6OEE
oiXpVRPSIdiyiPCt8qwvMAd4E1b+WQyohiZ23pDHrRKbYXASoYzlzf3EquKHhXAZ7gmGnEb2K03r
37VG490+VvFKVyYjTMy+KzOC3cyf8r3RcJaaU9pgwoMiUSp/OpTZiDdnGRv4RVAQGgOIGoWa2LqV
c2+7pcIqhCbFGSJWCQWwakJBy7bNUiIQENv4ZDrI6LjGblBYXr2KDPyz5mj5e6P0NSwbXbeyABWt
pFHbu0oUV0BG9ijsytsgob1dnPkwJPO9F2PqlNb4vUfUSRvliMF1uc6EgYmNagQdPtWQix21VWmP
HDeFgK98oOFFe6N3imU9fTh1ZVdQ8lqvi5M/kTxY9a366LspW0dEZAC1ARmitl5ryWJttSFnQU1Z
fqCx2b2yRqjTo25/J72+t8FkhJU/DkGLicSsxFOqT4dWTnCceaKFVtF+TmBFgqiP6weEejdskreh
EU03jkbfIfG9i1yuz04zikPb1pIHNIZvqmYpfGqNdNtgvwS7Aqlp7MlKdU3vB+gP2PZUDkvNZX+q
WjPZuJF4z1LL3Az1cspd93PQp/VkNhU/+QEMKk1BdDbzS11XAzgemIHRHJ18Qjr0ZKxTHetvcq68
HVuD5X5SNsaCPI4f/HJYJwqSMcx2vDX1OLBZCW1H+ARLh4UVQMZFPNnK/kbMBCFYzwmmXrcAMGHd
KSPiQ6PV9melITohXhZ34qSl6bBC/shflRP30GGlCFvFwpVdtWsj1b7Jrn52W3HCiIX5wb8aMZrs
NtEN7SVrQBNVipuzXVQkhGZRlzxsqsti4FQWJp7DZjhlI5KPxjOexLTRUkSwolHsbFvYMtrK401I
s4tdaBAbZ3usriuP1kfk6PMuIi0Z1goPSmcBJ9L17/Yysq+ymNOxlfEFHkq+spH2bCoRmbthFhhG
eT+zPsxCelM3B6uv0Z2oJfTaT/vcTmg85uTixuqm5w0mdf3DMYggza0Jb/EqaNbk9J0gzoXr2Ecr
8kc8GN/YCCPSx9/jXMJ9y77ncb7Rq5ukKU9Jb14I/mz1iQRDFsfXRc/ohnYeoSPdgq01Y9RY3Kc6
y/ktVqcJA3NLNXjn60V/rOckTAhZVbxoASd4kz4Q+GKPP2pjmEfNAHgkfyHPbQfG7L8VNbg4rvJw
RbD4iuRicZfIL4Cm1u21MmB/lopGVlzeTPfRwwsc9qzQZxaASMdbbpLFf60GC0qdZd75w0Iqx7KH
lR8lzChoC3AvffH76CEqIv8oCTdFJkB7t9a+xA0AoTlm15f9e9CLnX5LxvPDyOabJHVh8/TLY06X
C/HlgEe6RF6mcZ4YkWPdOFLj29NAoU3D9NRX3mmaI3JeTZmuY6uC53Z9UVlD/FSNGpw2MFt8/10S
ArU1kRTjPaUtngQWLOHTTBb9OJbDsI6Jy1GyANX0aZw3OTKycnj42TEieidibmVnqzhGMuT6qodZ
HoHbKuW8nrysCgYzU2ueYaziQq4y3AjPl21pEOaX7VKpYa3J4hg3/n3dCC9MzDLduf68Wxy+on4+
xbO5VpPOY73g3SLrJ02ZR+rNTeS0a6HKTYpSvS6sDahEJ1xq+7T4yw2D7YPuzJvcjjdNauz9sn91
o/aScsnWRXTQDPvrwBvd2jqagTYt1Y1jumT6fVbORx4HmMkNE1mwuB/1BlNMCzAdjFi6zn1EDknO
dRtF8xsseHWJUk5r1DFpMPSDxkHT7pOUoCyG8J2byTx0nWJvinw3LComCjlUK4BOczCZ/Dwq/HAk
bJClIrAI1ThssXhTx1BfDbKBtUcqBPcVeL+R56/2LBy8puxB8FrSFSnS+c5qa9b1o3o1Vx3vUQFm
1Fr6vcp72IVzjeGpx67LabKlf9CF5VzJi1Ml3xrPgsEv50s3eveIiddEQIOi8DblVYXkeE9mw7s6
7Q+6CRtem7Y60m2/ai4qGzdsU0Opr/0jVDIkMLxbhQ9QCoLw22KAEmvyeVPYyN89D4jWUsxsocdp
e/SnIdDQZYVlJl5KW/ShEMAbFgMy3uSMh/xVQs70OSUFGPyCZdWgH6pmU3GTmHQCdVaRUwfm1he3
hU6hNKdYJboPWCJ9jKX6yKzmlGU9Gth0t7TWI5yCR5CCKJO0c9kXF9pDO+U4NygRQk+5+9mW73YL
96gAwJ/XBJ8iTkwDR2wM6ispMPF61bC2+/SgjEJbz46H9jfhrfDznfRv3c8fq4L///frx3ytatXi
5+r/x+9/2f3z1/FnFX70H7/7BfrkpFd3w2er7j+JivKh/EH/+i//d3/zp8+f/5RHVX/+13/7+FYk
ZZgwU0y+9n+k6rhcUf/9tfvmo/gp/FMT6/XjfrlzY2L1Pfb0mf9hF732dn65czv/YJdW+PRPTHbk
3F/v3KZ+pfHQQrZ1kx0Cn9/55cot/vHzPt114c3gEYLt5ZefweWfbRl+fP/8mfzr1z+VQ3GpkrLv
/uu//cza+W33hpkam8O0WfmjwDr/GMzqpqX04JhmhwTp2BpaCDb6ArCa7K9AYhkbQWymL/rU3Nhj
mYOc4nVsOhVCIcdsNnaWf89sf1mDleDFLIZxky0QyccMECnWufFEFH3CQGjq+556KrTE8tSJ4ujz
rhOFtc4t/0GUyJt+87fwZ9+W9WMfnu+LH5OBXpYRpcsw7Pd9eMuaUIaTHD2MkZuFrdcUr3MnE+b0
VzU6ud5qXVr4SBJ2xwhGg9dIfIQzjoF/mYGRj0Qwjs5mqk5YMo9O3YFE8JJoi88JAwVuqaCgtWuA
kNEK/dmr9G2SIBoEs0BMklYsYxPPD+w064htNgae2MQKYmPWbwRHY7gMib8pCskxUQgeG2qu0NhP
/sEz2wxhlrXzJHeIaDCqddR79XZ04oJ7AuQFwiHiPpss4uzalRTh9twXRROpTVOUQMEiILOal3mH
UneyI5PIOBgyJV8GVWn3Ri/aS6EN+KY6ADnF9SSDLJ0+w+a8nXMDgGqeJJg6rUdUGzR1uw41V1k6
Hl551tt8SrJAzzik7MTjjuPOAHyWKopWheL+b1KkhMkgrrsoi7ORoyuPrAuUlKx1TNIVfIvOAPw9
Ala87sa6INVGOGMeZkRvU5FsGZ0kYc4E8GBkFMxdZQr4IMtROszoJ731gwQ7aTDWw1ObxUUQI8Aq
mQHw+CcvOtBa3+AGKFa6n3+b9TzZKEMrtoZSoDidNt80Eb1wUr1ndym/xZO+ZZ2cU1CzI1CUscXT
MjLXI7n3lZFMzaoy444mCPVWnMShOyIg13UApnJSXwq922uOeDVS66vyMK03Jfs+y8SX0UyraKJ4
lq7irI7wyU1B7MerFFcwr4E3k6NBoB+nE3emmX5fttour5aQfl1A+Jgqxt+O2bJ1pfbhdWJVtcj1
6sUcgjKaT72voGhSMsbOYzpCXVW2dQHfkILmq7/p3Dp07iJ1ax4crhWdUTVh03K3kFW9gOmgNTsn
3X6Ox6AszqLsYHxquDLb+k1U8j1V83M5uMTTpaOvZKLtdW6Q8F8kPDoGrJ0zT5vURzMYTXjSr/ds
vaNMTFV3XmIxpbA+9PKjhOe+ihIO3pw5zN2gyL+nfUoLxdaLTaQzUals90MmVNyKkA58IJ3Ky+8q
mDRJfPTqUYTQY6pQ7+fmfOXsngjEeavK6y8FVxep5jtTdvKDb3rHSqu69VQ1HDplnYskukRxcYW9
9MmOCHdAxJ/KX/lFf7BaP7vUiBq+tYnoAjfj9W3MrlzLeqa3wyG+T5uqPkY8OA5Zmi0XBPLOOo8j
sQGTKVZTI/VXR08TIrlaygq/8c+O+t86Jc/J1xbj6vf+9yfjz0/2X4/N/8fOUo+H9L8/S3cfyU8X
SQ/7p4Aj/o8n8fWjfzlRPdrOdMRdnwe7zXL+ryeq+w+bEpKBMlMb2/2tfcX4wYX265HKYUtkxr3G
Pgh0kTX5W27zH0fMnDzAFtj7I8PEl/JjjHZeGIYirqoPetp/m1vvJl4Yvf3mJ/Mn59uPfXI+B1Fq
ignB9p3xh+jSIJwmqZmLHfLBeGHuuK+ldyuX4dEgpvWfP9Ufvh2KDz4RZYvvEyr6Me8TzeyC9d5c
M5rMWQYaLyoWm/+zT3H9En4bNdBqMencsw+DqW0zvf/sNe/lP3+K6+Dgd2XO9bsgP8fwgsGC7f1Q
Dox9H/VK8F2w5RV0JZc/Pd2Kv1JxGH+oOq6fhuG7gDRDpOzHfdkY3i7tUbs61ED0pio9Mbl+yI2I
m7b1Es31y2SVX1KoVPOofZ0KYLuGPXx2raTDADhjbPEDJMU+40y5RGra/ucfwh/0fddCEoIL/zD+
obL8YVRn5Y3begYCSRGXXGN166Yb4o5BarH1new9Fno4AjQDj7eJcvMuR06nzB7a/ChuZsM+xnYT
ou/Yg+D+q8TSn/4FXdeaKYh/hkX8/jVQWA3kLjYCDxWbpHNdBKOvP5TaXzEVgEL8ySvBYfZCrIAN
Xery33+iknooLROa8GQO7mfdvu1y7dDZ9RHi6mH0lrusiL+npkk7HAth0YoHRhHlKqq4kS2ip3ec
RtvekDtHGWupQ1pNlruYag6CYbj45p1JFKcovbVYhhtPZIDWEtKuFJg+g1yw9u1ugascaGW8iYxm
K7OS5STHDhtpa3RVnGCJ6ScU/VBvAGzRnVLqmYW3KrxmTlZlKmAIp5CAc3i7SdufHOmdlql6WSwQ
68J/VtCn41k9enMUMNM4Lu5yTCPn6EbyztLVVmuWe9Mf71gJ+lrF/oNkSGZ0Pui5+clNunUyLAet
5O7nyfmjh43kJsa6i62nGhdr0nrPiFp3UznRh+92CV1GuJcbhWZgVU7DM/XieWb2nNXdhfzbbQVT
24iu06d2a43jQz/nl9kD/Y8PHis1Rz4+4TqHDYiw+JBHuO8qcRoTwIzQ/Kd02HsGdZ7VW0wD/OnO
NaMnP66PeO5Z/dp2QOs12Js2t3wnjS6zrsI0wmfAGt+uiJigp7V1Bw+ZqmkKM7713IBzLqItbcs1
e7Vb9jmPEbxkgNctsM6r9Q0W4hzfSyNlNlAOx9rJb3x3eUxy6uw4+hS08BzHvKkbdWeT5hQN/dDZ
CAvXORuLpl011bflMl/AI+9Se3jIUx/nhPtIXXj9zujZcSCkfX8u3JItcefeAc8pvensDy3ZFizV
WlmeojbLMXuU54y+LhX4diqsrS/UZnJpCREcDOfSpnc/b0cc1VpWbGB7PfME3MywMtm4eop6PYSf
ulWG8zp1xdlLqPVkub9qNyp1cMUtd54wWejOEyBRSc4PQHiHlB/AUJaY7ViZjPLb1hQHv6XjlaQb
t5QPKu6D2PPOrezA3ps3yu+2k0q3hcEXXKTVdUV4em6YRooJpEMPRx7NNqGUs7Qp0mMz3lBld6si
Ao9ZLpu86c6JQIJD5jf0OwzZaBUbseyElNTi1nbxiieJsG90u3WJuqJjrNlWzPWk+ZBXpBtUgo1w
7E56zASUJCcdPDqAiU/PfzGPhuy3S9YEuW3fQiF4K4voAkbouaz9l6o0b4u43sMI+YxZlG6Hnhde
dFwWeycl61CyWsfQ1xuHewNr0VzXrBoqFYkcr5tWxsiNEg6MXNld/BKN+UMdZfoKZjtxmHJ57Z36
PHv2vVVrXdD5dsjEjx9eXh8ns+9XlqcOmiNhtSNWEv6X2uhuWpuIkoshwM/8y5J7T2MnX3Qc2mVe
vFS01IF018/lkh/8xtw0Ujs2uv2G4uFudJajW7ZftJhXeB/vx74+iam9KVPGHkO+nWPnjpTNqS2x
UJO3Ij+iv6PJuNfn4T0i+LSxVfkRmflXGi93nT2CFMybO+EOa5qNRGB07awvE1vQSFrqJvdh39J8
0+y1aURH15zOva6O0lLrjnUVBjLDtV1pvVW6fcir+m6K61AT9kNeo8FZbHCyC5MN3BG3Sh+/2JHx
hd7esDJYxqwkpyGb7htLLhebC12gT/l+jJJ7nhk8XybUqNhGFuk/DUm+zxiZZcZyj9X0lYxQOFwd
Npn5XGogL9sJPKar3daxg4JBvtVm8VAWrCibPGScesRXlBW0UV2uY2T0WO1NFvGSe8aJinHd5sNZ
Qent+vqhNF3vKjfZ6Mq+6dB584hdL8p7KbCMdD4GUellXyapkEtHfbBE9Q5py5PP3x4gzfQha9KL
JsTrnMoDwcBbegnmvrEqsKrwLm2fHfEsMs9MEXb0G+6mdNlVZfTMK+orfLA20IlHtZ5JqCwBG149
poM40qY8KU9+9bTkRAinCrxabnyz2JGbLlacqYGS05HGwYGL7iGHP8zNdrwrLePQ2/yClOcum4e3
jD3ZPudsMo2bZPZBniMoKpxx603lB3qcMhDRcGHhMhRuirGgce/NmcxD6p5FYr8OtXPJE3tjqvH7
lfklE2xBZr628c0wlXF2hjUe5eI8JYYPqF6uB6Zk2IDAuZryRdAGWinPfTX95m1azBfLtE6OwdhM
cDH3NPvTL/mBRlF5mnpAp1oNA8Cra84MHijJPNchYN5TnPrsK8fxjUr8oye6T01aG6umH879flXJ
eJMNw95h5K35yyMpQJzozJsGFwKuFDc12vJa+Q8YRf5qWfDPqpvfFh3cPX5b4c6ECjt/XspD1KXb
UvNWbcODoZz/Ii7/J7U6bEeCwWR7uAP9iCwry5KXWtXVB9lcF4nkV2b9+V9cPX7YDSFyzOq8YEOQ
Qo8FEftHfJNJAsFQpAMPXMDAfhrTsWjoq1NW3cdzn3xUjHpBTKAL0bKZLEb9/T9XsebPJdqvxTxf
gQe8mRueRcCd9NGPlCqlnCRteE4dyrYQ7Kb3yW0jgFVYksduY0ZlOGnaQaRsmpbttEe9la3H0SxD
ElFpQAJx2cAXiI7wFwSTkSGFElFO4eD2Pk8Kle5TipKgrTLtzKplaq0kzZR92fS0yBRZU1uxB1zB
NMtRKmjNa6F7n7XvPPVZD/02uvXN+hQPPVDu1niMGz0Jysz/TqKQR80yZ6umm2+Gvtm33vC9XqI3
XDnpeonLV+V7B2tm8X2ys3vpFxunxNxjqLS9sxH8FXP1mo4Ibuy5j9B1lZTriacfR/JOGz/WNiwD
7CMjpmvHMtRmZoVfJGmy9qVzoLEFewCcNeImVejM9wFKZ363RiFNkcDILW1L6k8VL9s558DQIMdU
7hMUuigU3USeb3TDqo2pdZu1VHWQ9tOBAfPKqbTTbFpLaDHPDqwOb5deMmQZ6C9Wunc9ICh9i4OJ
IEYtPqz0cp8XI11YPkrfjX7lMzOaFf6fqgTq25WHUUzaRZqucfC1ON5Lo/PWnaNd45ixtYkxGAVJ
k4FrTlR1iTLSqDYGj4R1+9XUeYSAqkZtZazklntydC/touApNE1vil21wGjTdmXWCCWsJp5pUk7m
um+YQiopP2eZdqFR4BeNO3IcDXahpTeDsSLMg7oc1xpfF9nGyFjpk6pCW7cYsc7COMpqPES5n4bj
4FtBRm2HKanz78h7XoAX86hdonLdRN2TTJyWsIp9qVPfxe8tFCaiCVNp7vRbm87VSrMIwZvpF91O
yrVpDm8d54Beee9LUhyZaGEQo8NHRsdvp28TL1lKjuJ7Ndubkuc/fBT1wOWUMZK/m309ZPAUB44L
b1I1J1HXN7nt7JUBGb6bvDN471eFP3xRKXWhCajAH71t5pmYuBq9CjsSBpu8jTCNA00qUTE7RHKw
RLfrcSGQ1bQ8jg1lf8siUQajYJ7aul/9iO1b0XOOi25JVq1d7ghEPLhZ4gVTreWMuOd0M8cgzFNv
XNYmhR3CJaQiqht2Uox3boPrWxsbQtyuHRoOjc12yurQIiBiJQTIsrmfw4LmZeDE0b1mL5cmbnE7
tv4nDnOPZi5TVSH9t45ive7em8xOgYzIA9PzZmvFUCFEbX/FAlivBr0D+T8473TNL56TMjjkfhfp
8ohjiS6qjniZtXK5TvQ6hYgzfoGWw1E2Aue2sc56/dkeRt7bPj1dQkd3JCZxtBrLdE4LY17ldrk3
Gt07VXpm0H2oslNz9eXpvBjWnlNxl8ypLoCN+6FbTsxSxn82cv5/W/G6f/Dv24qna0fxf5Z/7Cde
P+yXfqJLP9Ek7+27LBtc7cu/mdDRzvHoKbJV59JG/jUVSz8RABaHocG2nX5dTftlQqf/g38Dng0j
q+8Rjv47Azr2r39oWPjg165IWsNyBbumP2KpyqJuOsds7Z0XO9tKMv1e8hT7HqkJvT/Yk88Yu73e
QugOMGnaWI56VWbz2MvsHlVWtU1jtJoqvzrH7L2ekmUzYupOKTdt4T43HYKCTqFzbCYn308LE8Bp
yTa2lz8X6WSs0ADty7SN8CKZO8dBYeSI+YW5SXkiaJiBRwUfqiMPsHK9DKTIkhuT53Jg1pEIG+Zz
t0ODacv1WEUQFvReNbTlY6WbBut1hBmhDXYQfZMIsSUEGa6jeBf6vvH4qszoVrHEyfEeEabTinzr
mt6rM3l76aSvjpkdezc9sdBwzlwMewUtt5XWibfSMx9kUz2YRfPom8dizm6I5ewdt7gjdPKc4eNb
CWe4m7X0gfnnu0UmkmqGnGLXH5SZPZci2tW+eCuGKgEbQoCtn81jI5SFw2D4alyTCJ1DWsxp6g/H
7Oawmc0vja8Q5ansJc8aLtV9ejRbzE4VCxeZTey46d4rNd0Lv+bao4jA94TpqmIoQq1Cs0j+4l7V
2XHGMBkYkrjhMmFfnt6npXr0RjNacYpngZt3d0NjF2suUhG7sZxctpPikzdOQ5SfWIcbw9bNH3US
dwnmBmHWT67TndOJaGXayLtiiL+U6CjmLrlkafJKJwsF19C73PPiTdqK91xmfYj39BaBNrK7eJjp
foxNgImrCEy5PODg9DY6t6hNWdjQiaIRcli/TQj23y8uTK46iXdcVFmmWWJEjnkq2jAzahKWzpyi
DGNgeWGlXgQzc+eZw7qSdYj6kligLxv5jX1ojzqHDDUeP0ArnkliQsUMxbzeCIpxfNaHLizq+rbH
LZbZ2ZGs4xAseYI1zDYlk7JyPgtku5PvdqvGGcfQ0Rlj8rIcN20n9lUUnyvfZgPImsdLg4xtK/Tl
PBbRNeo4kd2lsRVSNr22i85tRGN4pgOoEgDaSMlBramQ1KUrt8bgYS2xsdbmRYZoLs1LrktnZ0Jx
oh8yQx+JO+2jahfBWoaOrYnIY23pwHdr6EyYIss0FFM935VGVzZbnUJUgSUf3e+ZKz+dyUy2iZGP
K0Jl8FlEFdQOWkTLXL7ZDRSqZUAawqJjNCkISu2eg3kJVIYsEPXhdphoj806bz4HzkuyGmQ+QPRK
y9uxnHiYRKUn0Ryabk0WjXfUu6fXax58+utY9+wn8XzY0bgsHsg2IHjTNS+EKuZtcdu4t46NC8VT
vHazqejvpGWQn66WfIDyFA3FuZBM3Lh0NW8pSXJKQUKiGF4KDT9Zr6FUUSXFl9uO/obg1sziD+U4
tIlq8MVjU0+sTOc54e4ZXGiwtGpZNrHhYQ1Jx/Yl1nshH/p4nk6Ksd8dFFbu5BFf0xOCUN8G5KSn
oO1GZKuFT6CL/i0S18nR937uHWnJbI2lRRI680aTRzX3aVAj+IOCuybc1a4hW2AGKioZED+GAgFY
bOUw3AlmexzWNbbYIoEexMrLXe/lGMLs/G42WUuIZ33alqb+zpDeXXGZee28iWg/iCIGQ1RiWrQq
sd6s8simmBbJ3tGmd3MYWRaIx4OA7gZjTCfcH6Ubpk0yNJD9WWaCX6ifXpU3WOHYROdOUPWOzodH
kzMY8vg0V61Gn8u6Leuh3TTW7PIEyK6uwulrDnKMLNJj3nb/Ii/8rdLiz2eRv0v5bD8rAjOf3Y8z
zd9lgf5vCv9c0zD/vrJ4qL7+9Nj+qXTh+oG/1hbX9RjU6Q4TKIgYv6stWODl4POhaJr8xr8WbsQ/
BGuVLG5zuXbYufl1Uolywf55H81CxOC6fPDfqS1M649rZ0i42DYD02ExeLmuA/22LyHqPEVO7k27
qMqaV132JY9a6RCgqHuYkaGs7IOvDGttenG788aZHK3IBPHeIvreExQ6LhbRvba3eduMFAvIPuD5
tCmJssoqnO1ij/GGp9S7v8hhk+skGtkNuD6Aa/YPZ1y8vudX71yLmw3PDqzLCtHQqtFwoMZW21yi
qjPfUncCVAJmNNX74XNspzns4xQB9OD0r0lrU+5brIkQhmjrs+FFkIWyfly+gWaLX1JD4LDpY//L
0vfzNQrAUKUrBHc5z03FEw24PuycUeIKTL2XlEHhupnidM9djgxskWP3MUbfDbVUT9ctE1805tU+
svv32Wz4unIMNTmxwLqen/Ebf3G09qABvlwbojq5dAJXWqG+eU22lpn21CzyBOXMO+lts/WqvuV+
xc13VcUG2fXc+WZpfXtfGiPXLL9HFWXN8xfN7YqJaQ7LgKiK+mMpTW7kMQLXgGgHmjLictYyXvML
cDwTpzNW0ZVB6BDOFD6xfcny0yrvlwtwWlZpiFo41nwZwRPSkiqfysblGhPvGg9RrLTydVbQLqja
7LWdszSkEdqs8liS69bard1pL0bNNXGIvPdSuWhP1eRuJobedLQxK06F4LTtbKcOYj07TJSZ14b0
dpHt1hsQ3vJigvuVGX2201PO+cwYSY/h9olL71iJsV7Pc/RueO2BdDedBk0HR6q1BuoZcBOp2yAr
ZZXBjI13uxPHoWOPVUO34zlfHMTVR/pCJfbh6YNvx191ncn6SlVr6Gn6G9uZn/K8QgBuBy1AldbS
H7nhXgSrO8jSNnVsMkdonpzFf/fr+uyl5ETFyDCHGtEuNfZdozffdO6m/8XemS03bqxZ91X6BeAA
kAASuCUITqIoah5uECpJhXme8+l70cc+Lle7fcJ3f3T8N3aEXSpUkQDyG/Ze26WX5lWbydav+vCl
R9pMSiW3HkzSxSyuyl67LVqcEqj+CTWNdH9Sk7l2C80PpbWxCCdGaRk+1yFzC0vHyVbk7BTAiX+P
f00wLsZzLji9Uy//NrT6O6nVZ33WsVtntKRmXH+1dscsVsU3eqmCyq4f8fQgRM0QFZvqGvjiTW9V
WbDkya4cTRRh5XUy9UFcNjdIu5/NZX4bMvuV6MhbLLlPtuJJcXrbT/XR+jQwWa37fMxT7rTUekJg
Sz3Dn9CazNu6iMz7X9+e/+gU+T+me/ndgnlpAv/mJDldYh0f4uH9T23qn37499OEE0BgzhTy17Cc
i77ldy2p+wsOYslOW9Cwcp78+zgxzF8MzJRk6wA2BjZ1EaD+3qoavwhkp1BB8XaCMUKB+pN49O/E
pD+rUiQOUKIDdJpogTjb4UT78TRpmGdqk1M3eyW3VcsmN7uuLkj8/j+4pX9WWVyuI13T4T0F44Qh
8J+v42JkLIeM65RtvJEpm2DDjE9xx15CZz0QL00LFiz5T6IbUmB+asUlmqPLZ+sSfGTq7s9/QWkX
bj2RTbRvZB2x+ySAJIeBHE0FU7qsVhRjjr6qM6zijf5VTKz4ckP4JUmThO+JY7Zkr46jrhmdcs42
0RXtOTPkiMmqkxBBblrFNZ5NPjxGpzRXOFeQZfPsmT4p8t5apo1Hv00i2ZCgggwhme5RM8wn1s7T
nWwxAUVFXu5DejGIs+oxMTnWGqDtICcuS1W9Z0IYVg+ZVZs7i+EwWdeFtUG8i3kHw5ZO6Uo9PmUk
PJIpX/X6doykWhkdue9j2HyWS8/vbEWffTVf9qDNsus95xuRt4gi6wUXhk6SttTHJRCic7Y4svYC
FnBQqXJezYbGezyl08XJkBqVWHmti8EJHagVE4aHFQ4h032OeJQSIzxafV3vppDPmvDJx0nTcYHY
6TVud/x4SZT5cykTtKWY1jJZ3pZ60a1nPbmDftT7eT69d1H9TVDWrLRaauyLNb93vWETq/rA6GHc
LHkF90EvbtqWnQ+ZPHSQUYIPM5VtuhJicPfuMB8oHK4n1ajL0IRCe0gI5+7CBbVnHus3HdprNIPS
uorNJto45lzf2Hj0NopsX0x34nau071R9dckHrxmURtuGrdvVtBEP2a3SgIC1YBye/GVtKpTMRrF
qppMMDeEkHpW/Gyi8lgtAD6IzAtvolRWgVs395FVvZdpnGyzcNRJRo2iFfNXi9n0lG2NXPvQOsdZ
EWX0PmDQP8Z1/eJcdqOe6tesJq90EZ9zr56v6GHGq8Hpen9p7CRgO7DnG8E4GDdw/9o0yLLm0LjD
lxpjb+tiZs1mx12XZXib6toHT8sZ+8PZnp0bwj1LRM/EhhhVsgVWDLXBW5oXYbF3YBizLevZWllK
7WABwMGqYhcpAQUU56B95bkqgpYiv4d5eidJ05NObW6mMTmkKUtcbYIh7SyDHjSd8+rpTNMvNrJq
SQj7bGzsZnX+3GbxSdbt9YSXtJ7K+6KvGSR5EygFkX4nQLIlIFqW28Z1XD8n+y+ga7yEjZoae5IO
EnTYbqeQqB+Vls61XHiS2pjpl+NF3+cR11UbLjJQfLhrzyQ+LHSsR0mPzm1EsmaUWrcjI7A1z2G8
Fo2uBw587O0g6hf0nje10bDprIatvpB93aaMnMjNvtdrhhrT0Dl+Wr53AEiENZ0MCAkAHbqTM8jS
N1XX3JcQSDaFWRdfdl6qY0Erz5aG2R0r5fLQSz3dK82A4t5TKBVL9tKzoXkhDTbD8sQGIWypY6Jl
J9LuTXoJFYdjj/5gYuJ2LKzeUaXrvlL085o+MECX0JyjKFq4O8sHrR3jl9FtolWNLue5ChPdWgEm
ifzQWJCRuRcHKzs7pv1L1fRPrCNfE9EdtCHbNQCMd2MXxWfeICFvKZd83LRqgaCHlgh6z/3Qwig5
iD40udnDZFrb1jI8lUXyPdYu4uohLah1MVxr04S4uWaTXqMGnvNrIS4/4oqHwWuATQxNukK2sbFH
89VtBPIQlkArs6Dln2aWNXkz3iMLA8W+dMr/4dg+/2sH+aOd4nLC/bGZlPzYnw+Iywn5g5KxZH6W
jQxs9yVVcbXIVVYNu6VW/xJM/qNK6a/77f93W2lm6v97K/0QI/494YX/+lMFxMiakCCbH/29/HEo
fwCNIGIkbExc3Cy/lz/2L9DvEDU6nmta5kV5+Vs3bZq/6Mh6UclSjaNptP9op03KHxOfDerWi1wX
l80/qH4s69It//jt04+7WGgoz369D+xL+fDDt8+erhyXrCsOJBoHXp19yHxhqUUyZgABkNvXW2ia
vBgngSpvo4K46HGRBBwwelNFGd4TrwlNsnP4h4vKVi8xOuJmw686Zh9OVT+45b1lT0E0f4XqtcJq
jIGGI280zpGV3QpjGEkgNRDVWNmDW4BjiZdk3y72cKUtkPml7uHkRK3UZQLtw8SePrdelQpPdPGY
wZSoVlhwvyJL+c3sHRCSWSszo8+Raj9Ew3syUtEsAia9sB7jtsCC2dlnpyrtTdG4EmhEMq1qMz8y
Bnirs2mP8/Gm7ti6t6IPwnG5w+/hrJjDbkNZsng28SDreU4r2ZhboLPAnEAbMR238RLGnIHp2erE
nitlGz2+cdNDM9CGpi1g2aLOWZh59WPlVc+kwuYrx9IAp1IXgMxnWCCaU5W2CDyATR4WmZINYaSw
7mfLl2N+SLKJN5FCwTfN9TtJihpNs2Vc21Lel9n0oJjR4BR2ah/Vagy9qyUsIQz7NUG6SDb1bDmR
rHfbtWG+US6EiLJgdGnlObEPM8NqRZ02JrBBZJcRpKx/zfa0w+ijVnoG1oDud4+Bp/TtgVCKQugj
m2Pnyp0Hb08YL9brbrhSVn8qY/5qck5H3xstkgSSeQrqonhEvNfhaciHreWy8zaTt0LXIh/vT+fX
YfQcz/ETowUPqaOO2k60tzHpzytnnD9zSc6zo79rMZOACFviKpmw6nJRfu0udBgoG255My3Fvp8u
kXdRvakn5MqlN5zsyDhKzSQTSHt1RP1QR/JQ2V3hzwA5GPbyV+e2C/Dhn+nGb4RA6mk26UfmFnbQ
ZEC2ugEkIUbGgX1L4XJwhM9yjOe1MYnviVjObmNcYfZxVlZCskUuxq2BMmw36BewRZKXBwPTq7nE
VwxKN4ywEFg47oND14rpn7u1hM8Ox/2cCM0JohDhj2BaWnXNaw0Z3I9VQQa4TNj6sgfWKXt3DFFe
HbMkJn6xGf+nmLUY57jrC51uq0ZLZivDys+qFtAwQHnyFc5frPgvIwlH2ydYf5BMGCZpzPBlsA2l
29pm2dG2scXafNLXeV+P1CD2YVTcL32eo4RAzLiOU5vxru2SAILeWNXpyxRrpy4F5mCZNTo0DOpJ
0n9KyHVra8pNn6FRQSb7AklFJghoixAsdAGArCgMDN5xd6xVzMq6rU/h4rarodLv+5jxt/Bm8twu
2HpOU2Kdl3Y94A1HrYc8Mw67dVeY7UqfO4AiaRMUhEVOVXeWHb5dBss7Q+/v5imxiZSpyPqota+h
SXJfNXW5nXvtmn28fKuX4oBV8FSUBeCW3rLWc4LjOrL1iLdgt6yIQV1DB7imlv6mdOeohzl5enkS
USAahwETG7MSDFhmMj0ClTH9eR51P5E3upHEV02ynFPTrdlmjAl4sQXAy4RQIWstfxzx8rVsCVdL
UZcbWadPaDnjK+Yhr1NNEgNvDAdHm6cj+YuoP4aeYd14KJnM4/xGszik5IdbYVODXx6qYzUl20p3
H+PBhqOX9PbOGiLBs0qdqOQALMFFvF03k7mtETnGbnTHduFbBUyGUTu8kCTMb60llTtWIHZQNJGx
I/qBdom4kHQQLLdSpCBEiRxji1ki2UQFTmDzoU7T12auQXJ3cbcVhpZuoZ14WIb5GjGXv8g+O5lI
jNZIGQAOmaNDNjb2Lgb9BGoUrEFRCsNDSs21UTNdFIVa7oaUmy6uiHAVybBsHCkxLIbe8jZqxqOr
7Gbbj3mxEWX+7l1ubZENX3mF4T0uqy26/FNROc0WuGW0bfkjXWUJIt3WrclBD7Vd4sYMRPX5Smjj
cezHOUAASibP2PYwZ5DsokElQjy1ZZCR8B4MTdsRNUIDbNIyrcGZeIHWlmvEEMQeLe4VyRAeFi4N
T1wZP+mRQnMrTD8NLyIuBfcPg8155E6eeLaCtOdNyrExFu1tCZgzSOfkOfU47Mp+RNQLRKZt9Du3
8ZCEpgkwMg3sUjadS4dPy0Q/61m8NtLMeSzgyOAdHHgx4YWuMOJfVIzkBx6zsig3pm4+Foml/X94
2e8TLLinf1f97d7/i73QjwqNP/3gH7UfsbyYHNBaADm+kEL/qP0kwyB2LGgSYZD9MfrC2UWliEiD
PQviCei+/x598b9gqNoEQv/GO7P/SfFHQPH/KP4ElSQjZpxZlKy/rlp+KP5aMYaiY5t+qE1zZfZV
6zsh0e7sP80sv60oLnJU3uTrUITItyqajpPRF36G3RItwxvjeg5TOrJKB7LDwAYwUTYRX4/3t2U/
SnIXj/cyJRVCtpspmm9bprNuFPs6YCimL2P5YGH3zD1xcKHxTPaD6SQ7CNurHKxTLbYIm1a1Eywm
VJtmule59ebKyKctXrGAfkmgu2aUF6S5kUDPVexpTe4ogSelfDCxm87K+KzcL808kfK+mSr4Lwlw
v8y7KS/2VIp1NATu+8CKXjPdrcLHOqHHtZKHFlxzPPPbx++jnIAobTikbsYQLTsOkKAoNQzL1qFj
s1IxMMBpg2HboemPjBVJoRu9u4uJLlrNF5ftaHNKWs1d5HgvJRbcfOpRaU6Bm8P9ZCYfiAEpooBL
3XvpizXGb+RW3/Xk3U8RZuyYnRC/jPMlajEsj7X5YdnJTd63aqVZ8zPBp3Ap1LKfh7zyNcBXNk7h
hDhjx0zW2Mh3DH5AyV3XSUsnTq/LIoHGumcsnt7bxB6s0RQfhZleifkyesBGn1SmD5d4F8PZnzk+
JfgUc1l2lh2eeFOl7JiLV9JewWQwMKpEcj8p7TAgIJTezKFUD4+LpSGH0IvnJY1e3Sk5y6q6ijBG
FzowsrJ91Nr0rUzChD4eLB4yhbjnPAOPSR2pcUDK3npyCvdqjFxjbQimW30mk6e5Ns8ii3SqVdSk
jVU+VtL8lttWw01AfzDkyevUFPcCEAUWC5OBxNCd7cl4b6KkwqiW32AzY2BBUCTkqgSrbSzOSvFJ
67X+mqS9vTLgn3KXcrLk89AecnSL696bcHiniAPpQvAUq0+VZW+qnT8hxDw1ShHe5XS8fb2Fmm6m
LwGlK3wjt++LsqwDZWzT/Cme3dtowFxcB2UJK1Abq7Pbv+dGBSdtOLbkawnC44oo9AWzRRZrj2Zi
oUps0Yt3weLI9eKNd8K8BP0VztoMvceLA6uxPYA6EW0Zsvpqhdl371xQy25/ckk09nVCE1TMzLdK
7pc2OpQa5JZm1PtVbIa3RapOqsXFRim56mPLCOYxPOY9WT4QNoJuxmY+fPV5c3Co6UsDYIDJw5JJ
Ga4dxrr4aZCOUlKuta4Ap2Tsmokyy4UAq6XN90yvd9LBoVCD6ars4d5L9BNVrPEgRL9v+16shmK+
5DWxT+KmC/eZKtNVZsxrqHXMc2f8Y8Drxuis2v7BDlOil6J+Jdmo2UOxjwCApI22bDrPOyyqeAxN
ScFWP1WYs2zYD76HojmZ4X7lvUE5F27GojvgrqFiaHEokAVWRO3rIlvCAG0/EVbQLE/6iFFJQELM
zfI+UgyXNHQIdZyf2A/upiq7HjtwThpPceukeJvMBqQTDoU8m/dxB0xMNOKjoszEwo5tWwNbmy/n
To+uQu+142FDPBJ9Mfj6win/MPMSJH2c75W1oeKBC0PupmlYqKG1awDb2zlufSBuN3kBB66/CDXG
Uj4zW3vOq35fYwtbUn3hZ5tiQ4YexIMyHRFFxeTq6Q8OHnPBCE4aOU654SFuzubM0tOmu3PmY+2O
xxi6UTSh8IoYrWbJN633XobFPTlIewIFQ0cztfvMM76Gwd5SePp6DAWw/27lEJxqzbsy8g5CGXNJ
dnqp7AMv/BzqNmgrZ0ftjpUQpbuGWlwT5fbX8/f/5oDp92LBvLDQ//cZ0zr5Kv9rxT/+qtD49Wd/
LzTEL5idmYUAuL6Yy38oNNikWRZvUMf7tZxg8fTHkIl4jouflAkT44ALBfe3HRuFBmQyNCAIQNB0
OAg4/8mU6acyA0HIJUydzZeBg1W3ftqxQQ7XNKnnCDl1mAuR3CZl8w+HmD9f4qchZjsVqh5kZuEI
XTZZhP2pYZf9H8LNmYld1nR/jMuwcWBgdzDosrFEymIbP9m+R7PQI8OqrX0XT+ph4NVW55O20rvi
qsfp5eoaGpBWO5UTq5VKOtdRll+ppYO51oXFlTGoF4wZaqUSE5YWZLpSA46aa9gYoac5rESmCJ+V
nTI7H7HBzncjUxPpzGsx6jtXq9KAifuTbDGfat60QyK2tr3qjZPm7Exi0ytEe3r80MBu8tHrHacc
HCw/ctJS68bqrHvEDt880jtXUd88JAVHu5Akm0JVuQqBTrK9iUQgx+SF0zrzJRqOQNgQY8uQnVqW
WN2K2NbHJVngmc7XOVSqpNA/KnBy63Fhq4R+XLt3uyXGcSYgNmbxAhIltY5gGz9rQG/YtfGFITqp
/W7g14sSbTxwdCha8Ms3SZRkT5bQDkkz4PtwxTOrl4bBjedsh4GuGm9YupGNi1xE19+KeQnXZmbg
k3P1z0qjHcJK/5nV5edIf7qC+3buEjEGzagy30Yt5C/pdDtPxc7p8+EWWPWmmBbvZLshsalpY5JW
ON3z+X1pDmIQRpzRW98v5ap1I2gneXia5MAbvm++3NlLWWuVOwXj9VAsCE7KGTgaTHY2i4haZkBy
lxteX0+MtApXueBBkofFkL5WF1hLOJ78zK1OC5sClk7h4qeL9b21UgQYFO37sNTv7T43grp1UOzE
E2zsCFVMF+ZXFL/V3h7LGiYP05Q2qSlkMilWoeWyI7XcbG9ouMD1InvKRrpozXFI3lYR7BgBrHEy
CwhviAwpZEkpFRSGgUqneZeBg2c90h+UU+3MdNxLS9s1/YC4sbrS1IVAa2avc80YsOqna7ZXlz2s
dW22PR29RMLTEhO6cmJweKFzY6Kg8r0Ukm6ozWxljOgmSardzPfZIXUd9ZGC2wVLZEgqCsFUBAZN
994MQONQWMOjROm+Z0qr+2YGdUmzmF/gtcwPdjQek6ma9pAfSwq1/GksylvGg/Nex1DhZ60sH4vG
OXICqaPVlBu37YIBVuOVGXcIuG0eO3sGfNxY4RP2DMiJplUjOwFd7PHwbYaC9d3g5NiJqlKuRFpc
z8TtrlwdsK5O7orvXthsOMlZls9KAMvvDibM91U/D90qq+27JO9OadKDD0WSjXiSYUgmgDECOVLX
gy4F2KF53C5mTteDr95Ps6Tb5FW+75oB6MLFJ7o0iJZJVtOCvKM+N1rqpY41rj8ZA8u91lt2A0us
gPxxzC6DAI+v+sLYNpEa1k5nMVxyq7sELuazEwsZ9G3K9FY3jt1CgvM4t92FX2T5XkFAAsss5adC
nMZ0iAM4lClKLOsjl14TLKFlbCcXS4qddtaGuXYVJAkwz1CSdZyp7+TmNiBr2wwuLF/UObOWZg/y
F9+pmxTPQwmfp0vKUyq863mBaNyFIAF6Q30Ib9iTH7Dp2q7bysgtnnInW649mDabQrWB6/I6Ehd6
NPOXbRPWnx6d4DIWr5Qi31stCTdG2PIuVdan2zm5P4eGucsK0qSduV7QHAwgSbNs00bti7qUOF5D
/qxRaz7EaOiNi32zuNCQ0rJ6JSS4hgk1QLCOlnxTiOqzA2riu7b2ijzqITEpbqeuiijq5mJTarxG
L0fcFnpRvsfO26Gsc67idui2UTQh+h61W+XOT+3S6dCg+apgdUEDRHxbYgawdInPd/FIRRjTjVH0
vMk6VgPnWe1cp7mQotgbJll+zgYLRfPUWhslnKxeuZ2O2xn+vhYb7yB102uVUNnh+FrhA4R/Gdfb
IZfpLrVt/LXuccCMtxFOQRM+oRVXXgE411MYqGpnFyoblQDVbMh9YeaMkTP9uteGU26i9EOUcDOj
uGNuHuQjxqF4EY96rLaNiG7ysth0jVzHVr8vTPxgvdI/Y7LTotYOHJd9uWWr3NeRMrj0lnNnkEDj
2huz52XA/jP3tYhVQmylACfmhhztLNnl41RuF0d8Ta3bbYgVI4R34O1WdMspdHOLGpjn2KCvYzQv
3k3NRqJgkIgxGE+6o7ZkXX5KCajCaz3uiBm9mt6SJg4O4DGewTj17oXxVYn71qFHaOkV03S8S6Xc
8o09abJ08ZNPNDJtBNTLRAVBFO6q5IW/IroqmBrLA53ACGLKKmMDi7FfS4V8puedTLvC7soBTt00
Zv7ilqW7SbrsWarRPNpRRxSvC825CR/aHIE8JJEBVMYUBaLmRIyQS4BwA+plLP0un3HYG0JrSTGP
9mF0sVvn8imdKcuZuaaBXAQey4YuDAJ4dQDst4V/cVsxc9z2sT1ASZg2chjP6Vi7K7iVMqCuRxhS
9fjfM2WthqkLTCKxjmkDaLEzxLLtnRk7c5zHPkLCp07r91bebllF3IE4WhOWrqC2hvtwBP0VsmkJ
8+WIK4YhZNEdhTLuI4OYd9q7rSIFRWtaX0QIJAfrm0zEK2lP11WqA/UGnUXsMZPZrbKHB7uJAt6v
BwnPU+Ivd0Dcrmc5P2GDO+opvXfoRmEACwUjTj3tCVwW24U7rpuhdjKRjWZuQzfdAzL5QKe4LusL
WqG5IMFqh58uOKKKRnf2hnM71Po6qonUzrHcrntCdkF6UGWNSxcGbqMbgNyt+NAufbzJE6PYwAZ0
Hu14cHgDJ3iU3BuOhpCdG3rIiSmA/U3lGYKEECtdHi0fWHvlJvOaMnB1czg0DNlq2zhyYAKPjxmp
a/Enb6vEQgcEBTgwHP3MZOe+9HQUw8xtgXLDIvDUeY67x8jQv7nJsB0H8zlu1Ekvh62aclQ9zVsj
vE2crdG0gsgOsfeZI9x65AWdW78aTbGdZuMZ3gbgCMwVnd/0oD6q/LmBd0ktpXYI+PgE6EH1OD92
VvLstXhl5zhydhDIjmh/jsj5tNVA0Dl29ieV1NcT0Gg1fPbxuAsbi76RyhlT0HSVaeKq15tXXCC7
eUQim2WfVCx+4eDoMevWpxN+VclyXTHRJ8ulDKC8khOuwCDAnvRtTIsHm8xViXVFBxZLUCEhI+G6
BoQCXkCtY+hmo0ZVGsnunjzDcmtphVxxJBR00WNKaM0M1E6FSSCn4slDCneKR6L5Gh6vDmkQT1Pe
fUwVTUky4aShpJQCYJqNJjjf67y2qnydpCGADrgSDQcBgwMf082u1uSGozUqqK9vGHTQ34Md+VBp
+iRZDpJsoJUzHmycnWM7cODKd1MdU5md5pSb1gVBKykZK8s7F8C3VlWoHsaqJWsmfNOT/qgsA22g
0oD1Ro0v0VodQODMCKHyV+KD1kD3VpWCw0or/k6Jjq4aoi/g4Qg2P1molYcoLKk4ivtz1T1XXQnE
pWeFbgWOzq5p6FJ9TwJAu24X8T4M5nB2edUs0WmeBJh9zWXYUjAHW6zmAagLK3gP/sHAHzWNpfJJ
yUiCiRGciUrp3HRbdgu8QC4WYVOEjNG2kZVa/PsgxGZA2RQmL0XWeb5jsv5wu2+ouj7w22+xGdjr
emRFUrrujakcfS/Sp0IJ1pCmvot4bhkd7Gs7hevXherYFXpQj83OuGz1L+ChdllZg+M86RYGPQ0x
Vu8xFCozSicnZ+nqMAObxOz3msdoMPMYSQ7FVzQZPtM7DoDUYcYTMhDp4SkPXrZiYHtnGlD7csM5
qLy5SnRW54hzHJaGHE0pEoPragxRUVXXLlba0ZoIBgLd57XyXurabq6roLe9r7hogV6n0IiU5w9T
ctko34tEJ5JMuTwqHp6yvE9PRR+iYhovz502EX4DnkK13+ZYfU+Ai5EqDmM9d+GmzF7QNAwHRWTD
yVDyPXPlU1G4QW2ma50Np5/lHgCepm3gTzeB0aldSNm5pTd6TAUhRYg4GOkZF5vOkvtWWG0MCvnV
2Kf51nDHb6VVmttKFfznnvmklvPELNel8J6YLEI0mRkViswIWgkkMxsvumo8gXMxv/L7nMso+Yzy
PECJXVAxRzgCVfxGwQzcCScgAzqiSQZZXYjcl+moI1E80kM1egSu+6JD78xAOeI8ExCRIDMJi4Yx
HkqCKKLOlF9hteuL9ECK2dMo42OVYxwP7c5ee0PUouRAcDHXV5pD4gHH0N4aiSFxiPjA/OC7uDPn
ajkq+0PC9Bw8ZraDCJAkftWWdttKcgzqQdzaY3qKRRvI8jWt3xyoRqBPvP4N7Sv73+E0xuFJpuuS
betKd5Ogde2tq4nrBrbs4Na3huL33FdspXugzp4SH7Pl3V7G6nr6UOu043gsvqG7qP1WTZzngLUW
FCTXuLRWPS08FHrHYb3MKpkyHeLGozVgGSnC51lG20mApaW9WhjvF8vy0rnD0wgQRpkFhexaztgI
xux5xKSlT+wFNOuUkW1IgxgLOFvJCS6a3X+JSlxTlL1YYKgFSxI8bshBA15ljYWINm9nvLM4YA1E
thwH6xLPO2E2T1WB3bVAcdcN3iYM2Vu4pf04CeKqY6Ng2eOeFvNxhKGgIshrkWfHuyQd7jWzOGhj
uzHj6QNqKWvo5M065pZ33VQhb2lhfKtz6+RGbLCTeGcsLDgnajLEsuFq7moWKv3eK9yzyb7btyDA
s96n2hlG73XM58eG3Pm1XtOZm/H8MLfDNzXz2CoDHITO8LYYw7XW1Efd3jZOuM6lE+5Sl7wIHYjp
CmvIBl6Fob0D37jrl0vWAtV8qRl0+xgf3XorUARd2rddmVbHSbLUKcOruGz7DYqcMV8oDBbejpdS
dDSAykcoc8KNm0AoEviJ0npcU/Pu+twBe8GhtTTyNgPWzXgab77z2Bs3UXzXAi9h32x+VuN4blN5
9DpgThFmCZvQE5NlHNS2vOTzi2q5XXD34XsY7ofhXtX9jsLxdazK17jKi0tOznMZeoZvat49U+Bs
oo0f7mV/dEbo+GY/nj3R464F32N74Joiv77M1JfF+IZp8YwhY2SZVbr3vd76WTredtq0Aw3im6La
VF1k+wZkGMd1XrWpmdbGqN1FubvVXBP8l/JnTsP9PGfXkZW/Nmm5Vpn17CjOvnrQbzMFF4ScCrvg
Xu4dGyEzjcpsPc2OPF/w5CTadpicUj4dJ1c+lAZHhx7M/qAU5irsvjNA8WMqFpejfsWwY46CfE5P
EdQszX3P82jd841NE6e5C5VIcROHqZz8aiigt8Zv41Ln0InfeZXv6r4ZmOLIZ6V/F+NuKfVvrUka
Qz19ZJX76QBTWnrEnMWAZ6h2QQj1Jyc1+bMw96S6MG6BP3C4Raulu3Fbs8XPxBJQoahMNE5P20Ga
FdlPZccvCZmEht4rkjzMy5X5kNf2ptLqc+xoh5qhz9IQsSIbBmJdMT6DB46v4PN112w+uTWqhwhu
i58mLDXMKs1W+NkRYLjDhdLAHMZeZ8V+LjumLf1ZizLGgsbN8n2eiO2A0UBw0N4sokeU1LdzbR9D
Ty8PnlvgIRteMtM+iQInHfjmbFV40zOMfbmaneiMAhUkyog2cAqrwLlsatoEvODUMsjnqmwj60uz
Q4Xgdt2Ix3x4IUE42zBfGdcoD7Bez1WIaA49dxwO+1x1Z5TsCXD86onPaAt39xqX6ZeZgUZi8xJe
pRh82WZFVx7wrcYt1x5rQURsIPZzAlAwt3FspE561SztpnYwTIGf6Zf+KxF95keJRpGUWa/jZRWd
hc0Xarg7GCztGtzacwUdhfNeXNvUgf9oGv2vKTHrfsbHBJdZxoWR/qOo0mr4qGcuvYdycKdjP0e1
s1r4mn7YBfyFcvfPlIX/eRnx58u0euUMmp5yNy0U5eZxSh///gJ/9o78dgHbBLTO0FtHrfDnCzSm
07TFkHCafbV5Q2W963RGGRsv/Rbe/f2l/mqwDsju35f6SYc64g4brJhLaQMI8c/QO8TjY9fyCf6H
NNVfY5F/HuH/eCXkFT9+OTmS8NqYuVIPsBxFIOWKCCb9iqUU+aFIuB7+/m/29x+ip/+UclouduQ2
Uyj23cUdnXozUlZR3Jv1a8Ktm1ZIUO2GQuDvr/qX94bE88N3x114WTP9+LccXVOUNEiCjCb6mGQ9
ufP676/wl9/YD1f4aeWSjPDe5oUr5GO3ihbd71tna/V20Na8F5v/4J/6s1Tlt1vxh6v9dCuO7Aeq
9L9JO7Mmu5HjbP8Vhe4hY18iLF2cHc2t2dx5g+CQHOz7jl//PaCkIU41fPCx6XDYHrcGebIqKysr
l/e1bM0t84eGZj99L7l5/Pq2SltCBCN0yK03HtNqbv+a7hRyYnp/5+X/7pn6P+kL1g2Qvh7NtClF
2Dq1uuXWOHU1T7dZmgsgQv6SyeH6tXRHwbbesPT1DfopR/BCsPgMUlrpmqtEoKqGzd1QgTzXBj5d
eNrH0C/Pt1fvMcoaxTFnoZjgj8xMD8AXY/nIYsfqW9pLZP0QaS7ok6Z1cc6NvmGC60b+U8P574v+
JaOPaRzuTVYyHl6Dcbyjq/yyodT8ox+5i4VSwkGyc4h0U9CxsAnjDa0zyuFIp9D9BhXylibCYVKB
RSkligGu3pRvdBtkXya1bmuyYg64AUNVmQSEhUMTThBPcGVyckNzVeVOqtya4B5qm3fTsAWLvHKK
FPJS5FMo90LnLtg3LZNNXQfoUgErGmUuF34lHeVgY/NXxZBOUJiUgOJT5Fbvpq5U2jjQ3aQ8hhad
vzvv2OQbN+DKvigqlDoU0BnVYITz2sLCLtVzP0TISHKIVrq9Kivu7X2ZDUgwMGBITNlg0sNRH/H2
qrCfwZrDfTToEzRQHrQFyQEGyY3lWtNkKUbwBiH1oE6mDstZAdnHBxUklTdErOyICrg9OOIMs8AA
IyyW3EaTlHo8fsfEOQ/5yVdPoUFL4X9Gif5PD7qiypUcwU2rQzSOnT7LSQ/kYVRr46Ss7MjV94UI
oc/LrI0GSXOtynpd1S5Ni6nkvP3lbUcIOV/Gj2c4LsFZBpkTjnJNWGBXz4dnVnkyv94WsL4bPwXM
q7hwjjR8OAC7cD/XzCGGcgS4xTezlvdFEp9+XZLBGBERL5PNpiwc+KoNoAOWOPC0yj1PjRcFD5Fm
bt8C3/K2pLWdWUoSjJiGiqZnmEpzI26yqPszSd2UJrnbQh6bFx25HEhaPAzDlmdkteXCqVWeSwy/
626lHvTyHgTFX7avawGCFgNL2XY+ArqPcveueQ5i4oaExzHntQTBuIAxCasowqdAM3yYgPSP77w7
k7GO5MtIEPp76yUYms28YtCqqDMcst1GsDS7jGvniCKQPwMqw6Qc83DXe1EBpB7CYaS7JsjATICB
TfUpYAzicFuFx3Z1LWY+S8uzQi3VSkOc4wwl0p+mZ1Xx8AQJ87UL0gGt5aJRRWOsRR1T8a7kfJJI
AKgRlMzeVkC0qgeIf3NnuWEQ+1/rkUOlOygtW5E5YLcx2/M+kdu3tvzHbWVWdkWVZVXVacWmU13c
FWidSjPHnFxQdjSQwtt9rH21KwYzNkzrsQ+jX2whSNyXSrIjmiJ114BOhznZ/g20k4r1/rY6q1KM
Gb4IblZAggUjIzKCjSksdfLFlyB0vfICFHEXbqIQz+daMGbmtJkEMBn64J4UTmWW5v7U+8gpdTAB
XowRGAg8ZmA6eJY2YNqTy6F9rA2KX/cGID/oFgwz2MYj7AmfTFnixLnuWtqxkO6oktbDiQLxeGJA
6vZSrhjglSjhapYSK6gNE/sOe2YHU2xvyMjERL8pRrBzc2j1uq4y3Y16CuQOEwHW/QwNe1uZlZca
5vdz4VTh6R57dRFA/qC7wPnuU0AUXNrv+2fKJ+Z7aNYAe/i2wLXVUxXaOHno6g4dm9fHV5cpog+Z
goGUkO8euje5cv8ECXRjKgZYJzowXtcSRkfSnJwWGXd4zswbdFwvb39/7SjRN/rX94W7ALjoIurV
YQ5mvfvON076BJhKaz0vLW9DlTUntBQlnNoxCkdaClElfwkJOhUrdV92d7B13dZoS4zggmDBhllv
6un4ZE4VTNFLrRrvFJAyrMqm5Ln1Gpi3WPQR0PEAwkrXroKDvd4g2ykdJiFbLJvhD9jzoj9K5U1E
Rw79lsXntt7Yr5VYR12I+/GkX1x8MShwMEB0umvr1X1fHQYS/7fXb9Wm5/cZaLAWPcbz+i4kZJ0U
k5ZXeXd0h3G88yQY5fKNc7OSeaDirTPINPc403si2AK9W31BqUd3W+A9DgxGDq+N9jsFGqUYD8Aw
1umL21qt2jkRNDVTkwZpW9BKiriYYPglRoTmFtwsIHV3lVEe6G1znyAJdHwcgkZjwIzmu1w/gERt
xqADhgRNaDDAcq3r4hK2vWs1n25LWnV3MxD/f0UJh1ejyBA6VWi4QF0G0zND+qLf+fdBVO3Agbkt
a/VULUQJGxYb5gh+sKS7cFm4sSM9822mILkEkcn/57awlWhYVU2TnifwEkCNEgP6qJO8DMZOF1pD
CndRdmrLBwUi9CDbW19uy5rP56Pzu5A1xwALc3eUXgLgLDFcpf1gUrtKqERUtfpVjicqrDOpBuBL
pXb8PamCkSSJnPJdNPS/GNHzUjpaxhFg/HJfBS8UZ8NnrO6dJavMDtCdQVngWkU98wzG4CvDJeWb
v5pxDdtjCTrobZV+REOPVvKnGEe4fIH7oX5t54ar3xXhQaXe5NDhCYrwM/lgWt/zttqQuLp1C4GC
mYQ26KgUo9DLPzneu5EWu5R5oXfM7N9WbUuQYCOjotIsqZaGS9NofKIxUTOOdfls5o2KB9pjN0xy
fb94EwCXxktKTMtIshPGTLcZbq3eDcVbJznSewag7G2ltqQIkZ9aaanElLPh0pzEmNxzu3gZZ+Ab
VRumvnpjWT+1EayvpYqSlHQ1uuY5V+/GcsMxrTvBuXBHnl8GB0rwTKkj06eR42/nIaq93AYDPQbj
+6CwgamSgoPUJPAF09/MAB2IXiCGuTMx71MW8+ePEIIOcxydEjwgww2mbD+k9blpPvjq/ag0RyvV
nxLhLDSed3bhsipnAKyoSg1qbUc/+K6A3FE33Uu5Lo560Ww86Fd98UKYYCa1QZp+JA3tpu3nuE9e
asYr7SiBszw42nmw7Q3d5t167ER+LqRgLXWUZlHi4xh1x3sJaR50bM86oJVub9eqTfJ6NGYCT56r
glJZZIB+HTtz189ZBxZ1yxeunq3F9wUtgBcx04Rr222Ph66+/NHWVFNuq7Aa0Njg/8uEaPgJwflV
dgjcXOZxITOPCwb6BQhtms7OeTRubMmPGalHe7IQJbi/LBjhM425+xnmCPRjM55G+UU8jzSAZDYV
R4OhFWW89LR5wxnw4baeqwZBGDoTh2vQmAg3JYgQsg8kOydrL/v7pHkWKR9vS1gzBob6TRlWIwDf
xUdc6vhl0Ji+4VbKPgZK7pereiBVWuYM5jg/EcSKRKDVoTIw2uRa7S7N7r1snzyjh6tSNgxiVY2F
HMGmpS4zIo15L3eaJuZwdjBfbzi5VQnUO+CSJ3P8CJnS1iKtcuaKhN5on+SxBmXdHjZO5tp2awsZ
giPV066osoFOjKCntWUChl4LXo7ZVuiwdno0gB7A8iJdqYpW1QWgSpYDFQkVOkdeHcofeukW8VZl
bX3FfoqZ/77w1L1c0yFrz4UPWz7FRJd2WR+eYL1kIEwIs0BfFXP5dUy3adVR+wjgUt/x0Af9SH3z
ezIEB+CNma9N9GS6Uz8xKQEyfrahxdq2034DhIZDJZJs6PVCBZWsMe9HfqgcW9rA7N2Xlsf0bS2s
lauFQVusy3bomBXDKq8pVDs0GQW16fEJv+Zx92Ikw86FM5NaPuGsLIUJpxFYRPB+mOxwLcCvVKe6
99Vp42ZeXTOemAode6ycGPjETPSEEzM1rsOMp+r86UOkkHfvby/a/DtF3z+j4P4oqELqO/+IhQWX
EXw2Q9aYDJKclerSJlBluEHxxjr3T+izgC53IUs4+xTdStu2K8Y8DrDKMdgF455+yOC/0h6K7N0g
b+VZ147nUuBsMQvlfGicrd5DYJ+fomZHL+3txVv9/vw8Nw2AYUgPXX8/aK3WqcvEdL3WBtjhEPbl
6fckCCezk6K2HvXIdI2WySe1IdzNg61GhFUbWKghXMFQPQSMBiKkae9Sa56C/T7RwAZdyobzX/PK
wC7OQfyPSp7gBQAaA+helubUCcNf2h95G+/V8evtJdsQImbQCrUuUpMRGReU172W0O1vqKULlBT7
47+7LWvtiNIKRasAYD0q//PaAAplTJhyZR7CGD/4xvDK9KwXOWAft6WsmhnlNsem548bQDBjUOor
0JRrw413kJscb398VYXFxwVH1sktWe6iM9wBaBQttA4abVYwke1/T4yw9YwralY0oYMtF51L0zoh
5TCD2YHRdVvSqjX/VEisERRNQxNp0hhu+EDaDHLoLya94bAYRRvbsnbfUGMHTEoD8xzMpuvNr6Hj
7saGrAGUS0c99k+d/mcUmLtGpRG76zc8wbxAjxz1QtpsJAtfBk1CyFRzwTPbOIGlw7yjTVNXx7ji
3n5CAZnwj/QcCUEwIsT8nGVBBhv3LGEB0X0M4PXgqxu7tK7OTxGCY1NAAIzBteVVr8R7wtEHQ2v2
1vRu8j+aqcQghXny4428y6qpL9QSNizvgSTtzPkcgXW4U9pTo25s0upJXUgQNqlIvNCUBw5Txciy
GezbIn+KBGuG7dBkEMnEQMqMgF40W9lwW9ClS51kCDopG4d1VQ2SzuDj/3h8Cg4ns0qtYHzXcMt5
MKRshjdjE59vH9PVvA5hx19CBMeTyKMhVTRtU1ipT1OW38FY+KZvgvDi2UEBzmEEBHQkvxoKuOUj
2XhWmgwT3/4R64rS8Ul0RVe4GGI5U9LR5zBgEX126AZtJ5MU/j0R83W1OLdjF2qxMfZ4iYfqm/Nr
WNFzFy4h1dyy+h8FhJ0C4rWTeomvB/Y8X8d4DgybobXVILPqUxdihL1yBsDcJChzXRlW2pQhrgr8
7sA7+9q3qgL4bBw33MPqxtjzI1T58ewRIqsM/w6495z6tRuKA/15zLWPtzdm1RssRAgeiKmT2vE9
smyN9acDuFIwvpOTbON2Xb0jFkIEl2O3US93Fumu0NH21qgzkgJjUEP6vNfPudIdnqKTban0FPAS
ElswBwn8V7XmSjJ9+37qvnn9y0Zt39wWsrY34CSa6lyzloESurZoneJhoyqt6SbQ2yWvjXzDTa8Z
2+L7mlBnMBifV2LoLFww/lKT6ZwdYM0W3TnhWTI37GzNCJayBDur/LjnzYsuL4DKDWFt3PCk698n
U4ijU+1HAxsdfcRtI/emO6rhq5bJqj6f4JLekDL7EDE2wI/+JUU4npXtNHJoTKwYPfInNQbL+XkF
gMPtfV+zZYhKSd5o1Jlokrze964BWy7vTHQ55uoLKKGBZwEgN9t6JazuPwMh9OTMOTWxL7pRaYrI
JPbfHI6JAqnJwaeyHzNUc7D897d1WpfF+1rTNN5w4vO36iJjGqyRF2Lodt4rWD+a592YHdSXSb/1
Gl3ZJaIplQ5sSu+Ahgq+2pjqRuI24NyY8e4+AJdFP7RbObyVTdJoYQU8TAHjFFnXm2SAF20B0Wi6
3TeQrshCMib/rAJB7/a6rfiAKzGCxQG5FajThBjDOHbzjG2qPNyWsHJyoKeDwFUFcR9nM/99cW8W
ltIPhe+Ybs04r8JYrw47aG08SYpmEkixLY9Y4MtOjeI+Qoo5jZfCeQmS1HE83dZkda1oAfyvjPnv
C01m9KYSf83zOgn+iAHYcmrl9e+JEBZL8qu26yPPdOPgzmJAus3Cja6RVeNdKDH/faHE1CoGLCLz
QjGQDUCDFD0kcATk5eG2Juvb/nOxBPuNZc3uoxA5cKAH7Z9fKfxtBGTrmli0kbHn8CELLr8d5cr3
TdV0gVU81XCuQBV8mkYGI4vPt3VZ3/ifkoQIY2zHRO0j3XSj8b4BgeEJ2ecfAwRUNWYIPPEiHjRm
QRXepm73djw8IfO0/Lh4Cwc8N/uqxmpffH6KI1TocgLq0NF5PGvXtiQrDKapY2m6g6rsHcft/I8d
/KK/vvhLIcKpG+zYiUCPIzf3zh6PY+Xe/vzKxYET/6mDcOK8QGmHsuHzEfgu743yjUndhzHj0jMh
RnrCg/xKmnD6Gs8qm6RGGrAJSbynWnZbm7XeDgQ4NBDT2Y3FCne76XmTBrIJxzt/XsmwicDP1YA7
uzPtOzgD+L++N93lttC1q4oYlcoZ/KHkzoSjrodRkTqawt0r3xVm7OaVO3rdIYI16ragtafmHA3/
JUm4rTq18ydjGIlckuYSWtMXxnQ/+rb03snubE1/XxiQJfjdKYvSc6tvNYytuTTmSahF08sFqYxg
7pZqJHCgEGNCAlJZdBwNylu9DP+8reSWFMHeQ3hjlKAeTNdJkru2yZj0Mc6t7b/5PTGC3beBZwFi
QUBb1XvGF3dJcLKt8PgEISQ6GdWGWJAS3rWDMKniBBJJT0CH6UWYQIcp4IGQQNP4PTmCg46tpizH
muKHpKUzss++U+4Yyb8tZD46QnCOEZMkZKJMo8YhmPkIrXLReQXKlMAO3CXx6wHQ9ObA5HwZb2VV
1q6cpTDB0smpVAmIj9haFb8Yw09hYJ1vq7N6ahfqCJ6iAtFayXM8hUfMfN/Jd6rbWlt916tq2HQ+
QF/sqDR0XhsAJL5aUuVY2bDbf3vC7ydrohiMSjAdK2xHoJuK15j4AhobQvs5I361eVduuLZ5mcU9
p4TOM/zHS0kcLhmauAbM1CKp7gHPlZfyG1Ufqp03IweZlXdWsv7PAlrB26qtrZo+d9xS+Sb4F2P/
OFdzzZ9Mw7Xqowy5yLQFt7vmY5YCBOsi/ouNNJ0MVwOfvcqchutB3hOpfwVHFoweSq99oLhc+f2B
4CEATMk70T39MvfguIcYENT8oH9/W+u1eE43CSSUeb6VibdrW0kGxQDYhKISzMvescisV7qjvAq7
HOQxvXQ2XNPqzjIuBPSaavAOFizT6pRQb6SQm9iyX+WJAxpeEYDdC7ROPRjvAYL64pnTp9sqrp05
/adQsfPSDuom0DTqjHWgFrteHS9OySu/84FtjmaAqbxLw40X3pqiM9a0TgTJw1isbTqD0fYNYC2u
Jjd7SFIukuHvOu1rWrybnBgcQ+1wW8nVGIQeARvaC/jM+a/rjfTbWM4pDtGFCbYXOBeuTVLYAHnZ
bK03ck9dEhgvAJ0vMpQF8Lvsu/xhLNqNtV47RBT2YXRj9Nd81LmeOF4CUhwp4VROgXYGZLB/e1vR
NYMlGGD2B3ANinrCFdpliq91Ee26dQdsH7BU1XQPLosXZr9entaWguYfsnizmZqRwrhANrBojYsN
MaLcnm6rshpZQYhDXgNXiokKhw+Oa/CQ5LnPOZtejIXspkyv95L1CdzTpqcfs/DYv3o6O0DZR8av
d0jMsh2KojxNia0EBccydNKcCLKGsko9AtRvbvV5rBy9KxFCiFDEwQRxF0kbGEPlF8VwbyevxmYP
DOPtlVRXrMKYmWns2bEopL2udWkq6j1AgXIvpd3DUNq5C16OeVZSQAWrEraG0d7DmhTsA9tm5glY
0n09DHAIydUZk71kYMRFra+eZbv7o53h40BeAzcRRDnTjPf5AH0nLCRwiM+wc8o0vnNmIDrO0uW2
JquKzE2XZAhpxBEdh933XZb5vEqrZw3M9tPBbzbWasU1GZTC/5Ig7MlgmENWATHIrIK5aytvP0Bx
aHSXVHnnjPXBz80NXzg7deE6vxIo7I2RSWNSMUbnNk4M4+cRKDEN/MkQCuI9vHDOhllvreDsohbn
tqilGGTdOW+gfUml6Fi1+THrg0sDNPhT9gqWAkZTTVMRXS4Q5QYujgNUSN6Hypcuo+wfJmn4ZHXJ
r3s91vCnqHlTF0qVdWN3TsdBqhlAiyCZnqA5LrrmkOfphlaPwxSTKViVSEghLHiUQC5DIzJDiZEP
lXamFhTJLvUO3fn20s2bcG0TCIGPCBBSoo5HoDG6VXmhM1ChmkdI7ozf/Lpg4mUINoWp8fVJOVh7
GKVv//jHXo0f70Boyr6DpCFykE9l0+tGSz1vcuCmfii7Hd3Y9lZryeNjcy1ltvPFlnOEi7rMCBed
3eSBiemc4UYCO1rx3owbTbgrW442jGjShsW2i4acll5WaB4Vaz16X3wu+sv07faKrTRJQ5xn2OZ8
VFh8cZJbVZo6bSrPAN0kOuo5l80LKbsAjdmGn4f+s2G+9eGbLM+R+uG25MfeAMEU4tHPJOMkJsJZ
P7mBy56Kv/KiCw+AHwCEZ/56wfVairBXfdtmTH0hxd29/r3fP9viwgpMX6uHuLfp/El8MOxmsgQ7
PSSyc2zMXy9NXmshOJkO3Pp68tkk44/wXShtnJqtnZjtfaFJnndZzYuClwY8S8+V4hyBOhq+v71c
K6OTsw4OhW+6veb/fS1FTqzeqgqkpAEcIgOYvvS0h8d4hvntZji/RgL6XNPH/CLrYJf5Htyht3/D
im+beVVs4hDe3zx1rn9C6I3B1HQ8cixvfIij+OUPxOHbMh5f4hREFjKErRoDmwpYEJgu7HYG8IEA
HI8z1HFZT6fWmqqT3Q8GzF5kPG8LVmbfKXhugntqiwAl2HMP77V2dFO2XRDOXYgzzHIN3nI3Ay93
MwRzLSecLwOkrKznfofZ1DmS1pX2AD7ewWw8bjyp11aazCC0PwqB7KMqVyYFktdMJAoKEKFj5QGP
fb6t7ooTxi3+lCAc7DpqpXhskZBQqu+BrQY1uxk+JxBX5Zp5Kgcwbu2tgvSKWtgOw+AUCRkmEJ1l
AqdBaoyz0Bn8ugUFGyz5raf4qhDQbYgzuYkdMfofnKJrG4+2VTmoiGNB7Um28lArRmqQWMDrkluw
H92TTWKEYHZgKkFC7NWpY3xXRTaw/knwvAgnf2c6CeQ9v378rqQKW8ZD2zayBC+mg/HbFvHBozH3
l62CFjKoMGdC87n8fX0GfHJIkaVywsvprVRi2Zc620/dobQ/qSEoBFstrGuHDiMEaAN+zRlOQfBq
ml4WzI6yWZa9y94Y8g58Yx3cz91Q7D0V1pYPPN0qf+Osr4QFPIBlhmIVQwYbRfDYqeEng6/5xLfe
rquOcnuQzDe3V3Jds58yxEJZ0mh9OPgsZX62tAvEKqkPi88zdThFH7R7HRToZtjYvQ21ZnKx5UVU
DmbMYCy+M+Ox3TbnsOgP8IZuPLPWztdi8TQhBm1CHQZnmcUD0PdF6vyZ8z64vXYrFyrbQx2QwIYD
LI5O6WEQBXkZI0E7qQnI+y7Mp8oWZs1KYsm8EiNcNQTCRRbU7NCrMdxLyalV74q3gfopzE75r/vz
K1GCwfUk6XTLx8xtRr4bovfPt1ds1dowZYazaFagfC1czbaTKiUE3ljbrnPO8N3DwlREJyZr4n2m
nkrpEDiHqHu4LXbNFJZShRV0fFJiVoDULNulb6TD7a+vmcHy68KiJbUT+s6AGUSD87ZVzrESfLHy
9IHezHe3Ja3kqxg8+Ll8utBblnbN0AcxiijRSXeOJ9nZy8dpgjXoU7QR966uGek9EKao+lDNuj6k
qe7R86XMQRRcFyrY2DCAbviBebOFSGYOE8HyoGSrkIa6FhF0WZIG8/UkgbqT5P5wDKHg8HRA4EtI
ORx/C85q3glRIICKXOnz/AbZ4WuBNP0Vqp4j0HAOfQ5mfHRPwBKP0c40fn356P76S5Q4xkGLo9QE
I5egOb7QuS/g1N0wu5XLHZxK2aTzl7FT4KaulXHMIlXzFP8WQWU0QOYB5WrQwdIH/8mQhqdos964
sl9ItGhtg5YFSlthv0inF4kDZTGABuZOcvZ00RrRxQufm1sgOWuviCtRs3Uu3ip1BsWGP/HqirRg
n+6G7FMHaUx+Ydy6L1/nxkPqbJyt9eX8qdx8aS0kdlEjJfaPd8tRUx664mX6PHDe3z6/WwsoREZ9
rWqJ72N/JfwgBWQpxdegOtWX21JWTu4MmGkw0kE+1haj1yIOkxwmGJp2ywSkmg9qutXFv3KBLyUY
ghvS/DodmlmPXLkA417Jl2g43lZibanoDQclde6uMMQqQ92kIEA0KEEbfWXWO+tF7J/hGoDx87ag
dV1+ChL2RM6aSPVSBPlAmDqH9KNtbriCVQkG71BFtvHdYphQyFEUOTrHxg/1vUIPfQffkex0Gyu2
cg2RYqHfgEcL0LLizLAV1x30jCgSyC+1rLhErf5cjrNjb2QbXccrbhSOM2pdsk5xm8rJ9VGpfEho
ghzP44C2nzz3sWW4cLTgrB8VyEZgk769RWtHcylv/vviaFpmlVTMF/PinbIPZhu/sBJrD2oHOdji
XUi9+NNteWsruZQnXBMS/IyFVc/3khQfKpuW5KI92MoA6P+X35FEy+u1Zo1Z2J1iYhqOZe5TLYJu
5Z2Wlsek3FjCNZ/AMTJANCcNyMV0LSiDDtoInVmlist16PdTtHEdrS7aQoJ6LUHN2oQSG0aRsk4w
GNkDPHHVPtsy81VjwMrprSVd+gh2mphb4WaYjUF/YTsPdQ9By1cdItB2p1Meur0/q/cQ03F/SRNM
r3cKn/TCfOUF++xDLl1qeMk+JcPbcqsWubp+C0mC0UHtptVtiqRk+m546UEuP+PfD2SGN3Rac0cL
lcQYciLJmJbW7CcgDoBOZuhekVF6ijUQ5dMADXY306XX1jBqYemRHyQLCNEcjaz7QbddRasPhrLx
gF2zbObLiUaYYyW3LawbSbdBHVKLRNxUvyeNfkyt/nzbClZF8MiDIheS3EegsX05SV7ZUvsJqTjq
5l3NfNdtCWtGPT8j/ythNo6FhxuA8fSsgaZe3vs7o+qOWfwsgWCt6u2N3V8zs6Uk0Xd7IF1nEbqk
oObp/d7R39TWXXu5rc9KOZhuxYVCwrnR9bwI5p4ylxGvfD+WKtQpxcyaSDZs3Hm2ecBAnhdmcCc3
xQUylXdWFcGOHLZuoLavtCxNz0wfwazpVcplips7T6nfdIVunDygDs+1Hj+rreCrGbb+LvT9Z5lX
P8AjFG7Y8VoYstRDsK7AroZC6dkYpRo+Qlr5h6F7dzobFM8bZegb7++1swm6hEETicqUpNhabElh
nZk9xgxv1bn4rAOWU08Pt/dmVQaZTUasuLsf5R15AMFoV/oWL5Ohgpoohs+6hyM1hUTq9ySp11Zd
qpJeSjmS1GSnHvNut/WAXD02C1UEL9PbWmMq8GG7pfw5vtPHHfyu7+NxfClJ9T6q0g191p7f4O+A
S87u0A4rdk/5AXztFhTObq8PbuzRuST9YA7tYL9M6+i5kSi0Nk3HwYgdOARg7W2y8d3tRV11Rj9/
g9hM5bSD56sJv0FjGivcbXjTVXtffF2IE/o5wQDogOUOcf0hmjVI2/FB8cf3UQa78oC13FZn1R8B
eGnTvG2bjzD+ww7mwqa0GQII0wtASvtKh4yqaWb6Qfe2qLWVY6CAyBicI7LiwllutMHrUoeMRggB
8tHU9k/4vKajBvCdvMgFz9pWcWnRSkpyod2NFfna0+3vr51bLrm/vi+4VM+imiPPWVPFaZ/X3Xji
eJ2UUP71UrRFdM9IxtyFSRh8fWirom7h8SObZfTvJaPYyd4hlLWNk7SqCw0bPFD5r0fo5aWdQqGt
M/GnG9Kl0l/mugVj7MZJWfMOsIX8JURwP1GfVo3V0h0S0B6d0aEPkg7o3zurLF9lzX0G+vsTdmgh
UHBHSq9YDMxyWZhcEjwn4+5DY9YPt4WshqRLtWYzX8QKaWi3kjegFuXcVyH6pNFJtj/0pXmhQvE2
9cO95VW7tNk4qWt5aN6VNKsxoDsXeAQDd/Imh8KUTXNy71kyqd/H2v5ml/GzqnOmUxn1QNT0+qs2
/gzFCUmBBsYGX1d2XjxmG2dhzWssf4pwFmoakL2oGkxXHT/HiRQwZdfAjekld14sbchadRsLtQW3
Ad5w2CoxsoqPWkMP6RYT1cb3RcCPDvZF2zf5ftDtQBju/I0s68ZaiaUru2/HNmnZNq1ojoravtPz
160mQ6yaH26b5vqp/stAVOHAGXIJZmE/slLzlGC+087Z1G6csdXV4rLgSWbSgyq2k0xO0kbewDRK
V0Oy9mc/bByv1dVafH/+++J0FVKvSGXI9+3kDGdvxIyIppyUfuOyWF2qhRjhLE1tZJU+/fTkN2HN
vX+xPTW0ulAzmPSPBPGjPoyx6jtn9GnI9OuvEm0XXbWF87nqXxcShO0eoPbNwhDD9Th3zXwApcYM
qUWYb4Fhel82TXqnjFnyFCtbiBW8bBoQlWhlyTSUcieb+dEA4CUwPj3BlBdC5tVdmsHcL+VlNa68
td62yfjeaezgDDv1Voy8tU2zoSwENWUcKtqEoFaNzmNmvA1s/Xhbl7WiG8P1GiBsvCgeY3H6cjU1
mcWVrijTqZZrp9ppsyaNbuGis+qu1MN73NwAdJYWHn3FfzZFyUXeOForNn/1MwR7sa1Rym34at0M
R+c/BylF2egYX4leryQIpuHleTHEWYYrdeM/O+NrZry34SmUfjGha6n0q1EXm9FZcULieEwUatLU
VqPldq5xkU/du9v7Ja6T+HlhnSQ5VQDe6Xk2ZWdLemXq38MtOKtHLxlRhrBSgVFXcqshQ6ou2XAC
qsBQD5gEz56d6p9/TyHhMJE9KSIjQFgUfWr9h1p9J/Ubl5zoi/6tD+UO+qpl9kS4pOmojNSuqyzX
KYNjUd311nhoqPYmsCD39mUcNsc95tTsspYoSBRrIJOSlVFtZ9aMxlQM0cewhjL+ZZHtRnBFstR8
UGm2los3T1nKv/Q0hPdZovSm5Esl7zND2tNwkKQxHMYbDmPdAH8KEQxQybsGfBeE1Pl4LqVw3w0X
W984q6LjE9dPsMC8aeNWLdkxg2GE0fpmxxunVHQGogDB6uTJqeKprHmsK58a+YMBw5cSviELEVYb
l8WG8Rnzei58OGy5WQGogOW203juJMg1jHMovWvi4GOt7lTP2NifH4HULdsTgpSqHK2+6QrLDbxd
+UX6WD7ocLK+SyGXPvyevQlxiq/6xPyzKTSp/mpMpg+hX38vu3HrbbF1moSAfupSuzImNOrswG3s
6thnz8zqPrqYfvtsDI2zpJ62QEDEUE80EMFntMrYlqnEtnXNW01/IaenLj5P+ga7wcZhMmfNF8ah
yGE9GRGaea13sKN7U9EOwYZBbJwlsec2zAM7r2dNZHsy91qQynvgp/a3TeHHQ0G0Osp9jIAz1sqg
omALCUTelJ05UGWqnLVyfgP6z3oYUh1Q87vR+NTpf1hKVN9NUU0zDzxNclbTABgcUqdroFVSy93U
9s9bfimDlBHdesm+9NOT1HUbFcq1RV/+VMGcwoAh4ibqLNcP0nOS04OcvUq8buPSWTOgpRTBgMpg
TMiWNZZrh+XF8K27WpXvQLu9lN0TjGghSXwjhpmWNuDMYaqv0vtkv+EpN/QQX4hqbceG0fF1Mqi1
DPpj3J4S48Hq3dsWtC5nZkF0wM54VNMPJEcbnGhCCyDaQc1+1ex1ecNKV3eenA8pRVjRHqMol8yP
1SnXcuV+2srwrf7+xbcFq2K20jJkKcXPJ7t4OKoj9NRHo9+4GLekCFYVkX0dqw4N6rumeGXIzJAe
pE8/duJ/rihP63/9L//8NYeGPvSDRvjHf73NU/77f+d/56//zL+u/5F/5T+fPHxpvlz9wzFrwmZ8
3X6vxofvNRS8P4T53/P5P/n/+8e/ff/xlbdj8f2ff//yLQ2zQ1g3Vfi1+ft//uR+++ffJWie6Hhn
IJwF/5+lnP/8h15+Sfn3L/nf9kH4txdQaf5tz2/7Pz/x/Uvd/PPvzCj+gyTwD0xv8JmoQf79b/33
f//F/AewM5gQBVYKMXN8n+VVE/AvKf+g24rwn6ksGi1Mg9Coztsff5L/oVkzThpcW3yXF8Lf//tT
7//tRf+9ASzRf/75b1mb3udh1tT//Pu1GdO1A3AU02azdCqooGFd3xrZ4Nl5VUnGpQkeOr981oza
bvS3OhcZuhKiWI0uOMp0/Nof1Is//r64nfRMygIf7ORLWYXeJaqi+wyemikp45RSnZ7dqWZov1BD
KzyU1jiBYqHk5g76iG9ZknwLKe7FuymQrL0ZMuFsp4w311NUnQa9D89GJJcfYQoMmdwEYyG2p+Do
1cAyZ1XkHLow6ndhLVcH6IbexqXdX8xyfstrY37gtZ3dD3X7hbkRMAec0tjXVWDvx1Fp976UvS4N
Oz57meZ8tOU2PMR1RbStJydHruqd0gUvbK91dlqTFoeyHaV9Lk/pPu+ndFcOUKTnfZS/NOzaP7VA
NTyoFc2NvTdUHwDZUg6FPUansPHCnRnUNkWcOvicF5HJRIVMZScokvFo4zX3ZdF9G0pdOpNoeSV3
XfA6yB1vlw0hrEn68KnMo29GUr6olMK/0Ej5wYTm4TJNJaAT8m5C+V2VUIf3gHU6YXnOh0Ix/E+t
PVpHZdK8w5BW3TnkOZtGB6fp3nh6w/hWWj0YRV7t9UIG8jypT738/5j7si07cWXbX7kfcNkD0fMK
rCZX9n3aL4x02Ub0IECAvv5OvPd2spRcGK46D2fUm10mVkgRoVAoYs7yoTRiDYijgwXx4hVod70H
rO3EM1PeezRvs0vqWkfwjOHZnwyZD1SXH9HQ3KaN/qCJHvg1LUCzh+FEw+4hZVbiC+J8zUr6POSu
n+jGF81uiMe7/IH2zXtWqN9Y3b8I07qyEiEOlcZHX3fCk2K4pzrUf452DvVMpnkG738wIKZ6SV/e
AK/7Bi2sg5/WY3RXFn1+6mMWP2vW8JpT8C+7joh3ZmkAOy8X7BiXXTy9DOFW1XS6x7ThzjBAKhIN
ZPRTzAVfZCO/r1uMtKaM3uONuEBzYjV4mXvHO/uY5JQGjt7ZfuFUj3Eckn1IaO3B76+dKHuseVr4
CU1Lb1Bb4WcqkNpGBpPOaxYdQA09MQOXR6vqPFFgCkRUzL7KQK3op6yNdpGoH8OM1r7Na35ozcSE
uab3bgqqAy0BNTrPYfVT87FOAX1eMsF3bVyJwEiKyusiBidIHCx21ZvIiMStyJo3ZuuvTiO+Mq5+
0YX+zRgiB91peeiTwnl0Ksyg5okwgrhg3wem2w8CaFHXQ9Ie8sR4cMPmFFL63hnTu66VozeGdqBC
cRWwkAL1zE5hGym8yCtTLFauJYCPCYFaYLN9VPfafV/VdmDTmn43ClbEXhSVtAp6lbvDgdDB9Z06
vCPmCEzqtOAMHHJZQfwyVKqd3YHgMhBVHB3R2YTCXNo9CKc7MCvke3s0jyJP9D0Ch70nVDyWNMr9
GC8yfhx1w5PBIwxAx/w2pWkbIEh/HZ1oH5eFtTNGAsPVlNe+ie+YCw+iyTfcwe/jPoTdU3btaNVz
TZ0daVDtjMqnXNV40IbZ1ZjpVwBiuIxJ0cIdtNBvayPfmVlzb40AuyqGEfMVonwCduPXUPQ/TIYE
NWwif3Syy4xhrinTqVeWAuvUhgA+zLXOc5xqX5Lxoaubr2rY+0aJlco7skOqdjlgbsnLwvx1zPXa
HzPzm6E1Q+A67F11+txT4xBIGH33V+VOFHyDdlk2Dv5FV8Z+6bhfkt49xm38ojXtKdU76gNA18vt
5muvJI+o3txnmpJ5rpa+tFZ6bw0GoEl09Tmqy8dEUx/Dxv2S9WXiqQrA7jIluW6s5MpNksusoW8G
SjFxFr4pXR8FWscY4jNL/D5uzJu2IM6e8BbTYyArHfZOVZdI251yVD0rLCwvSvHQHcGVAviMnxci
9uDZtW+Ydnp0gLGSeQj7Fvw0EQdTwS83kweea4CpKkX3TS2iaE8bPfGzRr9ULbT7dw1uBwV4uD3z
pbovdvShOY4tosX/VM5zlgEdfpRTPtGcZ0L/KxMj4H1iNG7qAPj/Z0X+e/l/vPcimmdDH//uv6mQ
9S9g2Zlg55mSDTJhHvw3FTL/NTXn2yirYfTJRpryn0xI0/+F/xW9KkBYMf49+fefREjTpuwJOT76
j5GzuQBa/YNEaMqpPy6dQEkGpBt6VQCNA1CV6TeeJ0JDXpuEWVl70rJHtzryUHisZR6apeCKl6pb
bdwczxOiz/KkHL+ntA0Nm7anfBwi3zWr3VBQDFjEzpGUzcZb+/TjP5Sbeo6Bo6oTqIeWBAutT+fK
NS7e2lUUYoEfl4D6jY4AZdDv3AFtzmqzt0Jto5qzLA/ZJUofAHFVpcVEAE9j3RDdKSu9Skm916Y7
Gcr11tiaXI74pRaAdyYub/S0yXMCQBsYupro3amuvWyXPM/sdyE1PreI/yza7OuT9FnKGmq1lmFk
BVwfeXUfE1A8dXYTNOMJ8427rBm/5J26NUh5bhWfZU7p+kxmhSxg6C1oZGj3JHy20Hn8UtoP64qd
5/yfhUw/YiYExCLoNDQhhFk/KC12uZoGRv60LuRT5V/eHMkGaFplzCGwgVgRj4pTIxuf1muw1S8j
ayygrxd3RQ1SzJzd5KJLPdhwu9Hm9rmHYTL82R5KXhbnCddoAVXbvxqbHzACfigUQGyFoZfQt5Ld
uyC9wAvmcV35RfuH1wE7bSLZlbFdCDN6LU/D7jTExYEREmDUJagLEwynJGjjLRavZT9wCPqUMamq
/VqF2YbysnN4rUX8VGY4D63xApgffxSu/mszHyKke6JdEY2DUoefKud7aDWY3LwGhtmuIvlGXWXR
AzBqhKE9nBOf0J95mxbgxza6U1fjlpCGQY5snwnHq6ItssotUZJxNHo/kCyFqBjgcyrJPZHSHdjc
ijreKLWQRZebaSUF4DjSSmsQEMUzHSlxmCI/NOyDSYZTWRPNa0bzMSLvgJb4UrH+YcgEXuT6+Ch4
jS5Qiju5mf9ct9FPvmGjKAFstgmcTccGy09Z4BgKzV5L+xNaNaL2W4JBuHaL31e2TEmG/HiFFj8A
fGVJf+oxozZ1GV9WLH1ZV0R2tl8yAFE8zZ2rE8DveTjDw7mhV2Hen5qquWiY8Gh8UMcMFQDFH3Uz
WJc27dT8KJWlSUZjKhpIafWiPyl1Emha6YXKi1oDO0dNPUr7K8XiXrVFC/epzVmWKtlPn6VJpQDp
8ZQTFvtNj8fmkiBnsDAQnpcmGNDrY63Rbq/HpEEejpF7p+y+8aQ/RKl2VWri0hJd7KMN8m5wxqAB
tvDBGY0nNc8eid2iuDI4X8jo+jqzn8OwMo5Wl2zEENkJzpXAeOn5Rplx6iQoMPcnWtyq1ms9eKay
hZm8aHC/jcGU50+olrROmGQ9vCYD70+UU99Ni43wviwExbwJdRUdjNIp3TRcDFpb9SdOlS9ORiIP
1LAbcXBLxhS8ZjHdjnlq8abuTwPd6a1zkZp0Iylc3o4PLSS/USoLr26U9ae08QbDp+QfrpLkKSid
EIum+L6Rh7sGrtn/KUnuZFDI2VGzNXGh+DQ6XBfF0I6c9CewMTyw7q12GfXQDbSxFdMPlV1+LkZ6
pu4rp+zJJMZkaepVmnvQo7dqtB46iCrAYtVZyeN6lNkSqZ/vfqTbLVFrtT+N4y1xrrvaCnD+BcnP
UvtOm/26sMmU1vSbTHFmanqEzncM8fYn1gwHtWvv6p6BQrHC6wP6Ebea25fCNWhmARuJnl93urWd
ScNMPjP0AWbh1MVjWlkBNfODpYtdrbJTmsQX68ptiLOloENsWpip0fQnkCiwg8mqqU90OGR6ulcb
/S7K+fd1gWR5OX8rKJfUB71hTtrz/tT9bPpnGn67CHXit+9b8CfLNgJYCJDquc6nPvAxZxPAF+TU
HbmrNWA2VAjzuP5dxegO9s2xuqqAXfLv6sbZg878wWApLmE2G2OQ000evDbn22dHJhPIQQfEpSDk
u3wrY/h0b5ic2gCTmY1nGFwf5dyZhywfRd4MuDdEINpkwCwMc+Nd09Nno4k9mj3ZtaBHN4kNDLun
zS4K9ZeNLZzcS/aI+W+QPF6UbiRILYaTqgwvzIjiXW72YNgpr3sMmnhE++rY/EJxmlPB0Xgcs/oi
yp5Mwe/Xf8jSYs9/hxQG0opaZsZQKrdL+i3k8XPT/endQV5uyfm1vh+aBrfOU22yC5E6xKMK3+ru
WNSDGA4e2FDjATjTudHgHthmTgqjGfOXUL3StpAut74/ueQsgkWWpRRRh+/Hg88NbwsGcMmjUX36
/fOlkxIvMFlstfh8L574YwN0j0ed/I3kaC5DOi1z0yhtANgNOGSCzNn/qKKNQLi1RlLcHTpMv+Qc
SqhJ0D6T7+uWupRMGEBExRA9SEs/Qcw2dctytCYNp29pdWDv2Z/SbPwyU5D5WXj4dNEMKf16o4jS
CgX54dRyPA2NV3H0pw2ykgR53ik1u7Z0MwobtfXIC8M0ALPw3foqLYVswzAdsEeASUmVi4xqA968
lGfDiTv6VxHb39UeDBIcc9gcDX1Jh4q0swVQvbjvM5mSYRlO344xcBROo9HvdM0jyRbl5pYEaW8G
IzOYsCABr83XGLH0jXTrFF88VGcrJ3c3dXjy1LIUu6MWQMbKLcI85bW0ym+F3fxIteypYw3AX5OH
WjgPAHwJMjPDK2Fd/QgtPKSMGgdpYb+RQW8oLrdDlZ0CBsgaivej13rDz39kLJZ0CJVdpDR0gMkD
T+9r3SAlixpyDxqmpxI6G3n+LXpbl7isD1DiAEdsgypRCqO1WpqdXpjIlarW6wosYvS6LmGx6IBS
w28RUihNu1zRqszoTxmgbdG8c2CuwJuMtlOt2nNrdtAHlHrsblc4arAueykTnIuWHaGkMWgGtP5U
hv3OaMkBPLG+kg54mXL8ynSP6+K2FlPyivL3Yl7+2Pjy1iLKUGof+5RHr2pqBJUKlE17Lwzim4MA
8rJ+z2jp2xikXNdp8SD82D0ZUE3VManAGQzEAtukdRMGtnGvKhsn4cY+yXhqxsc+pXG1o317yRwR
+Ylp58EYOe+EVFsLurFXMqRJmdiOQia91KJ60SvrZSiUzk9Tw7mMzeFpFMMOo5jDwdXji14Aea0m
JrBP9Aceqn7HtqLd4s8xwcMD7EGgnshMOPpIzbilLu7+QRf8nZRy9u1J9ixVGtOEm3VvYQt7+wZQ
we8a1Fi3kq2fL2V7jRAhA78EHI1boV/V9EI3UGBYF7LsBJY23Xz+Pat6rgjlegdOSjT4gyfhrVFT
zR9tdkn6K+A47zlxr+zqpgDOuaexrbeNRQudiZZcux0Bk+dU0XAq1Jt+kjRJLKnfq/mxLpStK9en
uZpfqclvea5cOFPTDBPokz2oCdBOBKyRt7QPKt3d61AuKbUGM6CG8Hu8Vpl4+QY2l/FjoFvEKYt6
T4+3YGYEwIt8dbdBNlEh+AwndKI/R1YUo91VaF6F1lyu6JHfNs1GLFhW/UOkfH13BqtpYbDDye3c
G7PXFY+mFt5UcksA7tOKAqsy6yPFFTDU/qKU+qkm9nlK/s5JP/sZ0vMH141OFQYbToR+RUtBR583
rHnRZ2YCpMPedJSi5kOB9L9nO3ck1xT96P20qMTWjva0zI6K+q1ojqmj7kWS+0pY4qrj1PctK/9W
uu2qyALgPaisS/pWrcacqMWtMFHvFBaEyIjXFV7UdyZA0ndUqRtycIqe6pekRXPPxucXryNongRG
lQP0FxmZudGynOQUgKLVYB6EGu9KMNCoW9faz/MRU61iJkZKKYSrgvdiULFMXXdyURKg2Xs0xJXn
5t291oy7auSYEqoCUpEU7XLltVO2D7ao/jLLsTioGCTyq9L9pmfDX2VnPZRcHa/siKBvkCJJwV1h
i8l78QSf/WIpdNVhHDmM9sMpv74AI9XReFjf18UQ8fF9Ryq35YNqtNGA7w967Jle0wad82xt7O60
rJ/KMzMhknWCvo3mQmB348z6gb54BvqUpwZNv4qLSf88u0iK7PWf6SXZq24paC1NJoOyj2idsk1P
iGMW+szerQuaNmBNN6nk87GAkfXG2mAgLwUubZoaeYXVeU2UBdZWxXJLpJQSkDqtFbvocCsNrO6q
oLmHsXoUZRW+Ndqx5PWgHkDrMm4A4GOXMoMk6ZNsMDjCqHOrJOpfLHXf1pdvsXyImRFcYQCAB2gb
af3sBrim1QhlKrTXGcU+vMN4AamvWvbM0EZYJId1gUu2OJcnLR4XuqFgxmw46QSNciUMA0wYvsGb
gJW2z6PMd9vhaV3m0obNZUrLSKgFXIYcy2gCktUtjgO7RDugYXxN3JfY2hg++cToMGUfc2nSrRBE
s7VhRDD9sKZvra2Pe72matDVrQt6gm7fMm4e2lRND7Gwa3RNtTrIvtAjgEJ/E0zkW4c23nqCWwrw
oL3XLMxgLvCL0bxBU2OJZRcgItR6PzSeqb1RrVm01g8ZckWIao7NiALFNYIGTP/vhMqZCtNcwDwT
B1CZAVApqDBgmP0J/Us7UQKBdKulaEsLKXLhFXGsmmESg9Eh74851f9tHb83Qr6rZClnIuL4vGX6
HB27Oq282s5BxrA1Lbp0dAEvBkUkC2Cjn9AgqdF1Q4de/lP8MmR7Pd2y8ykyyJF3/n3pME9UfD7i
FH0EOiu+2ThOevDJAfW/vWA23yWs8y01B5hZTkEYXmfqYeD0wXTBvIx3znDjjFv08Zm209/P7mm0
VxtbBQvgiQzJA01AEQaU/RZ9zqpHu8RHh8hV54aBMYlfjy6LBvNb8iesyDgejSyt4/4U2YmvV0i2
w/7veBZAIsHnAMRn3ODOlVPAaRRjl/mJW9pd3GQBQJ+O61osBoiZiEnL2fq5gpNQYRjFUzrnaIWv
SEtsD/PcW5nmolXO5Eix2AjxmukMCj+17vCotvyg6OOxq+sLFLU2hvMWRQFwFXCo9gLVYIjxiI5q
Bj9pqXNKKua1JcNQtjhqbn7xN1ZvJkoKGlWdlyqmbfjJNYcgSy0f7zf70N3qE/3UF/UreszkSIaA
lnbACIHx6hSnAy4zxL6JK6Q4TVzfYQh4esgEoCN/LLGWLq1ugPGNIZ0SGYoO0D4PLMG4ANrWj3Xl
f10qP0WC2a+SbAfzwSgsxGaHeZEMrVfowdJ7Iz726MrSOu2ibaqfSHOfC9SmPKPshFfrBITMrTN6
1qgMFwpXuWf2pb0vAXDkIXW85MK+7YbqXjXoDaXhYcS0hQcoaGMnuO34SUGBMmPdZFl/aYYAXa+q
XsUEURJirhWsHan13cy7t95uHqskubVCAcYuTb82lQdckTGxEQOlaQxImndeTobBi8YSMxwkM7yx
LcWeCJvsyJiIvUjBNNgNmE6vHWByxjWYcRQDvft5zQND68OdqjXojnQANRdFREeV1Kz8NiU+08w3
zDRc2FpHv7hgqroAGXZ6rwotwmiHxQ6RXqcYYSH3g6NuZFmL3jzbEdnLxvY/dmIOdRAqu8rUD6Tc
arNajHyOrqGehOLbJ2ZNtSk0NP3CweJd89xuXb0WM8XZ16XzJR1YMyoY+jm5Y5CND5V2dLvvOXlv
BuGvG/CWHtLZEaak65oMkqpvUaBslEIWt+JDjU83PFKMdWng4xcJCATHCdCRBOu/f+kSObHSEUwC
4NFHBnVlkZ1bQ4luNwB6GEdbdZ+5Y4aewACcF7XOK0bf/pQ5fgpEFjpndSBiAldPhnuKzKIs1A5a
8Yvua70FJrV0mM+/LqXQmLsK46rF1x0nUMlbpeOmgOeVHveseIyvdcAYu/RxfRGXjACQTBNBFoiE
iQwTWLZOxTBWwE9dpXm5+pjkG4f44lULOOAYQcV6qZibPT9iOyFIr1eMn5LWz+L3itwJ50J1vSb7
atT3aIK0tkiallxoLlE6lsxIw7AaabGOKcYhFZCrl3sa5qekxMQk2CZNYM3+jVWc6SgdUIqejT1e
UPlJ9d3yLa7e1j+/aBizz0+bOMtSogbk0N1Y85MwMGLI/ORdkGNe38YYm9zK65Ycd754UgzNY4uq
DWagTkZ3HHwnP35f12XR4Ga6SEbejBgS7IHwjBqpuq/d3lfdr+sSljUwbTycA8gTU6rnq5WriQ6m
qQG5Vt7ctrlyxPD0NdPzjZvAUp5lWdN4EiAjMYI9hafZpjRFrBW5EyN8lre4ZfsgOr52QWWIP9tw
ocUlm0YU0BNjYYpJ2hLgsmHiM82xZGH2BXHupqlEvXEYLGrjYuPByLhA/8UA9KuDFhuHWmw0mHwo
L0c1POW0PoRRvpUNL+7QTJjkoFXaF6SehPFKHMqk8ADqarZd8DfsYCZFcspQE1EHuk5+qt38BLjV
wStKgUJgdlyXs7g9MznT388MYdBEqA7U5HjviE5q51y1+cO6hKWTDhiu6FM2CQHFimRqWYm3cExn
8+klSX0Batr4DFgfUOxthLGlfZnLkXKPKtaGxiCQk4MBel9/qZMNK1uIzHglICAEx3/gSpUs2XIw
Y507U9eeG+4xdQOMr2TvYhwlrbxEuzCjH+sLt6DQmTwp2NS5XRqKjtoMNTHzW/iW+1Mxt2qxS9eT
MynS9rRoR/p3BaixS4BL8+YSNELEB1qkN5jPhdKAL6QX+MO09oAHcoEnt+LaUeonraxBG0jFCXDr
f26UZ79J2soEEwB52k5VqTG76M3nSMl362u7EDHOJEhhdiSKguIt9pKHF9BwsC0PQ/6oDQ8bfrxw
+kEQCFsdMCtrn8oAhctrR4tRx8Tkvd8K8RCyMdAKduzJq91mHk6rvaNszeJM0UG63Z1Jlbwaxwsu
1yOk6uAldZT+dtDrF2Wof/SNeihYtEuL+piWyXE0+8Rz2uSoWv0BmAzrq7zg+mc/Q/IY4YwmGwr8
jE4gU0KrNYS4ECYmqR0r/pQ3AxnumTzZY1QkuHoJu8G0dRrYwL8CzEAcUNvCrVWUb+vaLfvnx9ZK
nlM4dcLHqUTtKidqVZ6ISQCO7ot1KQsBGtisBIMYYIjB+SZZKmkoBfovLJXy/jvr80sQTm6MEC5u
04cI+QE6LJkd2xoUyWARTlnediBCBd9WkMALvaYmP9ZVWvSJmTwpqa4p0VIlxTblQ+HhnAsEAmmo
PVZ20BnaUeGuT7INh9+SKZ3aRpQlhIx43XZ1dqxpcltjKbNcfR5LM/EqJwMMkVLcoDXrHy6udJCX
JkGFU0PxmOD9M8fzTNKSY6sX11oIgrvmn1mLLTm+zlwHdzxI08OnmPJjH7dbsWXDIKc59nnGkFRV
7AhQOGBuw3MBeqpwr82vc8yTx9et/rRuKos+hkgMmLTp0JXTYccY1U510E1qR9mpFu3Ozh7jL+sy
Fs3/Q8avLpxZCtQKsO4SMnWP2kECFBmX3JUP5KebiQ0bXFy5mSDJ7ht7xBOSCmUY9/htvMWvsXim
AcYZaGCgcv1U2sE8RkbLFK0raGA78LQLGnQDWE64U7Z4gxYVmUmSzmdMI8eWHVWIs+pwgwLZ0QGD
x/qmLG78TMTkz7NNMUC0nCYjROhhfcO6+DBSDpCOLU2mX/rpoPwQI1d6GDEFYAthzMBmOfSgUgHY
yIGP8R5h4gDwEb/UlId1zTa2SUa8BUpUaYcO2mBi9Zpnt9HgR91jrv95CQsDr7+NwZHiHWF1gt4W
SDHi18E50KHz1P26Iot+A+hwGyw+ePCVb3ZCgQnWTYpjwwRMFKlBoHBhJt3eqJ6A2rIua9niPmRJ
JzuA+kvShAls+zm/vV//trb1cekgN4tc4aA0RY5WgYVNG3rbp3nC/B6ld1wrWxwP9DYBW2w+jBel
1l5YRX/ZOK+YUz0MTX00cGiA5uygZ8oVS3KgNykPeV3qXi6yxLPzNnBM/tRX5RY74eKhNtsByQ9D
5oZlrGBValTIfTy27qKu+snq0scLyzWp3QdWix9uEj2tr9iy13zshuScoItjXDMgN0nLU2t+dfBM
HmfFsTXia1M8uAkmidYlbmgqD1kD2GqIOYOtldpTVvG9WQMo0j1Uwj2OOd4gOuI15kYpZtm+kSij
DxDwdHKJFn3UidGgeRp0SfUhwnMC8Ph3JVofianc6Wy4WFdxOS58iJusdBbxOrvnYTItqh7bgZEB
HonnR1S5d2pENlZzS5R0hLc1zxI3hWY8rnzVTDPPdMYHYXbXegOMo3W9lr3rQy/JdaMBZa7xl+vC
FjXYJFWZsnE139oqyYObKnLAYg+FKCDdIhCY/6wSIC2p+amjW6a4ZPymZmA6UMOUy6cKnVGkXLEm
pzMBNE/JruYoeIcaoN4fFFEFvHMPf76AM4FyfsLDKi1A6Q075HFAmnjXhVsNFIs6oUSjYiIRuECy
qdeuPgJAESLwdOZrtYF3NRpHnmYnP6cZc9EUAsO5yvg3ts00CNI7PE1gzFyKIwAbqwDqAbFpWPhK
+5O6xa02DigRDh5HAWJ9HZdSipk0OYagxZgQxhDmrWqvVztVfdiiSV/yq7kEKcEbUkGqGEC26ArP
DjSjO6dv9piazLut1gmyFBDnorTzaEGsJO7MyQrtpg6Myt1ZkfOUsbBDYyC/BUzEHTqHLkDpddCx
oC4goNt6CJwRjQJK/gDmmXdUmpMdLZixb5L8qPFmY7mXfBLjz5iWAygTOKklnyRCSbsuQlrNiz7o
Ijzc7upuq/K7vKcfQqQTUAXSnV2WWHEKCsssHA1PmJejobyvm85SDJvrcm6o69/65a9yzjn7mAxA
rABA1EJDCEaqVPcaR8+dTrJHxbAxU9bcYTxSR8Et2ltufGSa821duDaZ4JpwyUSdxoxZAWaWU5T/
zIoy9cso/K60+rEWmhKMuvWsxFfptJA6fg0AhXyVg37JibTY14vxi20J1etL60g79ABXQxx6fZ0d
HEP3Mudl/ccurxQordQJUhZ8SdKPtaIkGTUDQwEaOiF0x4u86Km8yq/u8upNazdSzEVTmgmTPKpq
osrsY6xM1jCvuxrtkyg3kvJFl5iJkGoBrCW9I0zow+piZ+rvlvOsoWk6RNbZjVv18MWYPhMm5RPW
yOyGkRDdVe6pEUdluHQb3SOj8DV0NIwP63u11CeOJvSPvZJyCk1NKz1JsXwunrHDMY79TMvvw76+
wuPITds1t05udf7YGc9j2CtB1OlHzAN/p0kKI9R+5M6L5oDiKKqVyO96gqKv9QYYLwBugt27x6DS
RnzatC45MXHtSlQFfnEP/FQUumDc32N+NzaP60uzEDwAumwDR8A1dLxVSzGq6p2stSNsBMPzLeF5
QFi4XxexYFhnIs7j0/816hIVPBWGBezRn8kwvRRfqc5+cLeu5QsnHLAIDdzs4JEWKFzPjx2jTsu+
ZHp/EhbxI7TCTk/SWZ54UbiRG/yagZMi1ZkoyX7DLI7x2geduvwHR/5BCrDXt7QGsGv74pLR8ezS
vU1oc8ia4krFyEoExtPc1F0/1NhVRJJyjxaqQGTanWa1N5iu9UOn32UkrfeqET7EtRn5oaldKjRs
gP9pXplV4msCSHtGBKRgFwifrYGejKo+rG/XQqg5U03yFc4NZyQVVjEp8ao/WvG9PeSPDUgH1uUs
hIAzOZKFmz2usbi3o8nEuegtD6CpQJ2+ofnJUP+8bw+AGQ56qAH7+Lm3JKbwejsCBIkF/Dt0mAbW
k5mDh2mru37R/mZyJI2cVE2GoYKcorfvHau/bxTtkdNqz8qttHtLlJS/ODQTCVofcVKyOOBjCJ5c
/VYX5eibvboF87M0BDb18iP5ttEtCi7uc8eqYovh9XLsT20Za74AIVLas0cVz9q7FnZRCCf2kkrP
MYnW1d4w6DcojF7HmtFs+N2ibc5+iOR2EcCik6TDDzEV4aOFLgRmLt0IvYtLO5Mh2b89hJZwVMhg
V0B0uQzjQ7KFNbEYdGciJEMhpWMkQh2AX9UCMpdWd/awsVBbEmT74Gon6AglunS81O9DJ9rIFrZ2
Qjo32oaZcSYgoPrm63ff10PDEtrAmcFJR8YwgFcc+F6Axiro4CkYIPNaKKJkwsOYcIk+I+WHq+cA
HShAjaq5X3Re/WUPGIhss+YVz4VvkQFs5WKrj2wxZv3eOLx6nTsCB9R7mA/4XaJrH1kvghRngGd2
33Ubk4D3XVo+rq/E+jJrMpxa1yh9rk/76N5U8d76ZrnBuoBla8e5o2NYzzLlLLYyMz2zc2Br6QDL
JwI2H987EXmq7A1Nli0SwwMuIGgwwi5taU8SxUKvLoJj7Kk7Zev+vJQwwWR+f1+eyVeSLhpspQW4
3ZVznZc39q17G+a7IY88oz1sGOjyqn0Ik3L/CjPocexCmJYfDGD3X5CfPNmt78yyrX3IkFL+giPY
ujZkYFd2tuu5wvXCujmYrfJmADGB4XD5ZxL1c+tOQstWyxpbhKaL6650Eo/Ci/Au/maa1Ssx02uU
2jei7aJZIDdXyWR84IU+l+mCWDLm05XP3N01G31kW9+WwiyoQzIRZ/g2I0F26WwVKhd9c/bTpRib
ZhiiNXBdOKkoIWj80jDY1WaXwpYOcpwFNYhTNS78EwSipPlLZPbGDiza2UwNyTGHMgH2v4CESNge
x6CxMEaMGzT7pr5GDQfzo/t1M9tQSX7RH1HaIVo7qZT5JX2xkvv17y/tiwOaEwdY4u7nni6lSww9
dQBB6ZDbgYkDB7R3VG69NE+hXr4BzKVIG1PpkVbnBqREinoHlGNME4DdxTNxZR678GdqqcYe814t
BhJBUr+xZ0uNUdDvQ0dp05qqwOSGCulVhFvVa0QulPCVvjdvZeYXx+oY8WPxTfHTPddf11d3+vKK
3jIQUD8SnI9ZjtAXXTMj9owD5seHcOe4t0K9WJe1paZ8OoEcIkeBFsJy2+4wO0dsv8t0UCC4/V1C
ox2FZ9dMzTzg3OIZ0fqqDKpvYAv0ArBwuj7qnibsjdRnqe96vvgyMJAbd0LvQix+7oX39M5if43j
vtDvx2Bd/SVHAUgjGmwAse6qck+8w4FabLpI8oEEm+4b/bj++Sk+fd7Jj89L4ZGBlqNKHHze6tyd
2pZ3RR8DLR6Vdcu4QU1gw+2XDedDnBQuS7cOh6gHaCt12LFJyX4aWx1btOI3rPaJWh6pbrYeB4Dd
hrdMinxS1J7wSUFqBxYk6YzRLNWMCjsCmGcMchObnYz+FS1ngEJ6X1/RLUHSio59KHLLxixaaAUg
LR4CnntW/LwuZNEqZtpI61jnVZyjZAPX3xdH+8s/+7gU1QYO4MfEgAYsaPYv699eNIDZD5/+fvaG
SB2iinrEt9WvNn/s+sprB1Bocu7R6/Ky3tr1DXHyMZPi3VeN+bROLCn8xo7uFJpe6cn43BkUSRUK
DX0XWHV3WFfzV8lsxdxk/FG9503XaZNgPEBzyGKN+gwWnkubtfexgi5Vp7yoW/WrQvmTOYQPRhKm
HhuNt1K4h67ll1TV3x0jvNXxA9d/3Ibx2Nr5HmBsa8RzfIyiCyAE9yRruz0axf+ZDDmNhA25Sjt5
ge71l8bD+tcXE33nw4zkLjJDy3OajlChtDJ7pyn/j7Qva7bURrr9Kx1+py+TAN34uh8Y9nTmsYYX
okYkRoGYxK+/i+r+XPtQxOa6HLbLPt77kEhKZaZSmWup3M8T69bJkqOCm+9L7VOTDMbOHqZ9ilm/
LH5jiy8LzKrKVHU3bxBdBOl1fDPu1O+ErecDXFiRHCVUDoOpBMNkfAfQ1YJvBEhrER/AH0AQgX5N
ZHQWp5eUdgZhCVpz0fiJdih0vWRpkIKEwqhNv+7d0AIV1uVp+1WkBTBccJPr6LZAC/lCpGQW51mL
vgQtBaMaKLpI2d/H2i5Jkv0kk8id/npp6luJC02fQOtCVIvegUkrXjwtedp0aL/upbcSFnqeJVxj
VTJLsELyqm1dAfwaxs6PR04erTAUF9ALc9lOtsDlpYP+sQ7xYzX1Q0C9nvko7d3q7F+BmJhlzeQ/
4N7BOWzhU3ptpHHBDGi1Jw9kfLJT8aIa9Z4OOvpaT07agT+8Dmp1cjIvIKkZuGIIC+cvK+bb11h4
H6UpyQHAgoY2xwItSD58Ko00ADb2DQVHjx13PnHsjRLY9Wn+OfTFNCd2ZtZGDJlW0l2biR1maB3Q
2BYTyrqy/Clmea9qVq1VxDrEVMW+VNfU2zDsv9qlN1P342r1zLlSNRlFRvD8QruGC39BEZRfJikA
xO0NSSu3tG9FLXaWCw7DrJBQFsobtQNOfhaMqYl6AgcuDgCr16MmdlqHXu0+aYOqdW7ttBmCIvVA
11aLUzaKp5abr0NdkZPV1Z8GXiVB7aKHo21J0Drau98wPhRknTgROuSX3lJVg0k0tdC2ZqD32i/B
PeebUt42HAcFm8QsmBrA41lJteErVlXrTO7CkFsgOnS7asCusv0sdN59vzysrccvNq0aJBCySzze
rtu7/M4mn5pYO16WsapWZ0NY7Eh0rGUeF5CR9DfdVfriPII78rKIlUMe9OlMxmIHZmOtC72HDMAi
hkl5AjbFSZj5Ky2EG4AOEojYndjZ6pXqbgjmFuV7Zo4LtjSLwN3yhJKFDQ1f3as/X2iZSmzNUnhD
hxdKuT9ZH7Xy5fKIt56/cIYjqDEcsEDC5Dy6oRNdfviGVizRO9PYaxMORqVT3YbyQK+37tJXcvNv
lmuJHWIBeGVILVgaED36TQc61KIx94Wqb1MqE9Auouzexl4yCxkM8ZGPJLQHwLJV1NgNGXkySH4n
ub3V3b81qfPn5wawAvYRmydVvTw6ny/P6douMHUAWunoajR/SZLXhqdonnVoe5bXY3bNr1K1hX69
FiCdi1gY1ZrHddHPr99meURn/UYTivJHw0HbjnsQsnw0ZF2Hlwe2EkxbOBL/HNkihonBFpvICu3V
6czN8Fia79BwclnGmkKei1gsTN1T5U4uRCTA6OkLsOE6r+aUbuTj1pb/XMr8FmfLX6aAwKY1pDg0
ahz74CX27vI4tlZoVpIzCQLAFKpuIcEbAR6A9pK41f0qvkHNtQ92zH0NqZclbqndwsBbdmPRZO62
11DLbbfUzw0ZZYNfAmnksqQfYARvz6zQAw+KYCA4RxZ+IYpwQcuxQ296Loivp6CHiw31ymmDtGba
St/ReoJWPK/xLQfQJ2md3OD7H6Q7XHE+8kDp+REMLTddQ0O717Sgwzl34pb00cHgO4BRUQZYRkzn
bjRsFoi0QqrZebUG8okZaG8yR++QGAgtqf6+map7oevCz6j1nAzZFcfUhgRlrRuauaozZ4NeODdA
krva1GLQQ/mJlyA83Qhn13fXmYCFZ9OIJWOHYwGbLyCaFQd+k+Y3ILsryJ7t6+TD5UXcErdMzeIE
LEQ7YDxM0p2AWtKcBh1/HRJnn0xW0MUi9Mp0p1DqdFn0+kyCjBEFFjMUxWL31aB+TesGksvCPODi
KIon/v6yiFUzAsqT/xWx2H4AKzEadwDYxUjbm3TWiMJG4pcYaRddlrQ6GMQSgCFBcegvhX2AGBN6
QyEpSdGFBx30NHeryGBLxsLcU70eDMAlzzLkBxBEH2tAbV8exqr1OBvGwrRT5bCWORDhmLsm6F/M
d2rDPs3q+4vRoOjjIUgm6LhmX1jELqMjZXCLCWfgzE69TwP2dIu+SVjiRzNr7rnOjmAk30BtWFMF
xCBAoAOnqvNLPrdoRlkSQH3hLGX6jfGupc61tln1sjZ/51IWCleOGknpPH+DV70jdfFZCnRJI2Hx
2TK13xoR6pGBLUbARblYq0FrRkeX8P66diheLNBpb53a1ufsp4RZIc+8l1eZGTCO5/Ao88KGfexw
N1W7zf6yzs1uYqkR4Jb6cxzzW5xJqWtUCdlz5My/4aTFM3+w4ToAEba7LGe2zJfkLNZGmJU5xmoe
zexN0io7OlZyW/VGmLVPcY18ElAzN8a2NYMLFyk6gjboEqdIauNG2WpDILYeG4dFl4e2JWbhlDrp
GpU2x++WxkM0JuxEiYyMfP17UhZb1+lB/+3OCyWMXAZTa4eWHqDnfivfvGYizhTCXhTM/Jw01PpF
ys1Bi+iBXGLg+p4z9ppl3kuhlce0kB9+Y4DAXLEBta8D4GAxQOnETkkBs3bK0Pql1RN00N3zdguJ
fs2OWz/FLCFKCRC0WlpDTNGKY47R6ANwEy4PZUvG8rjIOqv2uJqBpMSVItNOpHxjP60q3dkwFu7I
K70ceUGIAO8IqgCGq986U1uOA3gv8IsTlBu8tQyFago2EEyUx63rbhyvpq0uzNUkJqqYQKlqePBJ
yyrFhtu9WY0QYTfG3rTzI8nNHR2aO+gB23VF92pP012eiciW9cfYNiOCAkVPvdeJqrdu6FcX7exl
FvZWzzVP0x28TOmeqie8yGWdWLmDtvTzwc4remZpY9YXYMbE863kRQmV7nnO6W7M8jaQKIxDk8Tr
NGNbjA0LtVyrIldtBGSrNvhshAsbrI9Vozt0XlHb3TlJ8hrX2U4r2xdEDJGFGc4w05dHvTKpREch
qm6AdA9My4tB62ab0txFwIFiABe9c2m31Q+4lt0gAEQFuDmgdAja+t/OK4juhenN66aZdXUwdMAz
lrgpQffOKzK4z3lCrobeQRmi8L6P8Tt0xwS63jw0VL7LifACVbHpCJSsrdvzlR365r0WOxStANSx
CkTY+r5hJHT4BxYnG4ZmbQe9EbIIQ6wiaWo1H9VzFJKY7DA06RgljrfH/cBn4NYHNUSn4gbAVZZP
x4OM7XDC6E3Mwm+s9NkyLLaP6/J8ZC6Gaxa4H9ZFHTa93OIVXVWnMyELdXIUQUqCQEiSOH6LsdjD
1pSuBES4pIHBowYhBFUcb9XJzHI7tQzgy1UPpUD5dOjSQGUP5VZF8Zp6nMlZpixT1qrM1RGsSvGI
DklQaMPYGdFfX5RzIYu9AZhSxPKy6k/hPvx7T15od06c2PPmwx1z8wCFrgD9+5sSFqpNeoI6VxsL
EavAecqeL7//SoU8IB6Bl+kARcwCLfFClYBmZCbxDyA5CTqUGlzjp15DnxzqD8GyJQ4mb9+bZvOQ
jPGHQcsPgM8SuwGnpsvvMdvcRVz85jUWNrly0iaN9QxnPuPkuCIoG3Cd3wAkfkPOqrqdDXfhzRnt
C7MBHhdw86ad2UQlSa/dVN/In6ztz/NJXYTCupkmMWA6EVzJONRaN3D/eo/v22Vbbk/TKdw+LbBt
iG9jltAE9tGrkWzLHVREbbLQz2r8y/J4OOKZBGinxrKcDXDlTWZZADaUoByE/w4TZQY4LyEISe77
arwGIlXkZVpYozdl5Cl4jp0Nw7ritQlK5v58hcVOa/vWsdmQ4hRTsyjPbeFbcXMUzfToJPUVUiwC
3AHvLmvl6jpSi6KJGkQGoIV4awSHGJ1nyAQgMHtQcNwb5XirIzp7+kJLJm0GX4njDju7+2T2WRRb
9MiRATMy8wSaosPYNr9hTAD4Q2wdoaZlLDl4ywZs1K6gHVBSPhhoX9SzreLvtSk7l7DYyEVHRlxB
QYLNuqCR37mxdZxd80wmRBjAj0XZ9hI8FpV4eQVM2e5kuoHsjvd2yG6Kv45KaJFzIQtty1ITBxfH
6k4a86sBlfIzbh8QmRJfmtcb3mntHvGNsIWJdy1plEnldqex1+48wcAO7+1tJw3Kzj22ZeH4dVJ9
q4nd+VmSvC+q8bYfjCQoDX2n5+5e07eaEtbMJOhSAWIKz+A6yxIO3FfEokan+al0hiChj0kuI091
u7++vc6kLKED6NAmZeml3Sn3mk+Wnny0iq0j6FpqmZzLWLj+jqRZ4c4yDHRW7tlD926rHXDVhZ6L
WOhK21V6wUUOArWC1CDaacCGUw38biLFiOpa8xBLO+I49u2KVi8fxqnpQir09/kgNrb3Cn6B9Wa0
C036+SqircNCaR/SqX7Ps/jQEcIjocmjNPIPGSDefWm72mHKM+VnTqaHyVQFZW15t6RGXRWK+54k
2uVC10mPLGuHDWM+u6elPzmfstmKnB0CSTn1rI6hX7S7r2QkvQ+XNWtNfwlsHKCzEdMgF/72+ZI1
tjeZoNZyhk+19go0H9/csN5rhu5cxMJ6J0OXpzX4e068CO2Ab2bTtp6/8PCytereoRiClfZjiFof
sS/cjEQCJWmniWjHSqUn9EXbH6motEhp5rRXlfkSc8o/5tpoRODOnnxaDR+BwPWgCRE1VfPswlnS
zg4InLey9JOM91knIstmuP66MwDFROHGoc5TkOP+dl/UuI5prW7X8erdZDl7CvsE4icwF6S7JO39
rFahMNwbt0elUwnTlI5xH7ad/lXhpBtQpae+3jZfXCO/5k2i+9RCcTF12lcT9yC+Yt2NGLcY7tfC
ybPFWRYtofFMB2YIJq8kxjUfMt8tqW+ZSaQl/fGyqq1amHNZCwtDPJfAJ/XdCUi2OF3z/dyNhF4U
cy8bdl2aHrhHjRtap9K32Bb3zNZAF7ZHkTar6IiBSi2yv6dfNV+pp8sD3FBEc2FTei+vWMuh6M7D
ZO95/xtO4Hz6FqaAVXTOxWAE7p2qA7aFDrhuCeZAQQc38S+Zl5RXGRRSdagTgO55UMI8Bt+z3pAN
k7Y6TajTt2zd8cB7tZgmahdIQ4Lq55RY70ClNeh/8/mLeeJjWzglwfOtqtsDY8HnSOb8xkqfDWGe
yzOrbHsO8DIaCWVqHgdbhBnr95clrKrrmYT58zMJ4GxxO7eDhFpFrTi45r7auJDaWoaF5W+FsLJy
xDQVxHxnEVSwiS9/bwwLw89sRx8shv1gKzCxFJQqn1TlNakcXyTO4bKw1eFYOiIwauCecnnwcgAV
M/c2wlF6z9p31/6d2fJMw6M4W3kooni7HkAa5CCacdsT0NCADntKUZN+eQCr0RFKF/8UsbBQnaFN
DpG0RSjZsoA0egmKSgeJhC6zd0Mln/oqP7ZzrJFL78nQhiZwbend9qCAu/wqa8rnzMUixAJciLO8
WakdY0Dnm9WeGmXdEVx5NLj491EEhl58uVWYsrZwZ8KW9yulVlU9A+/WSRT1K+49IrO3NzbTatbz
XMZi9QYW63aV2e2pM5DeHFn3JCyph8IE15hRWrqf9/TzlNGnqaWmb1S41UzHNqjldAS0yZMEp8jl
Gd58o8Vi51NS9oOFN6pd/TjOwggBfWnGLD+Thu2bJmt8gmxwME701uqSF92Sp7kAw7exIAJvdfmN
1sz/+RQtrHJJCr3oQLl06gZ+sPrdVB1kLTY26WxTltGsA8RqF6VIxvyvt7uIjYOXuvU8amZFvDL2
YhhDwUlo9fpRlGrDY/7IvV6SN+vemRWtUPuTdc4sr08S4MQUXzPdcYJ60B+mZojirvyqyfKB6qLz
kdz4mMTOZzPX9mXMj83UfeNyYL7NxB6/Zvlxa38YE+ulkNUdMatjPhS7ZFLMNzR95ovaGyUwKAta
BDFPw7TbqH9buxBC8fvP2Vt4Hbdx28ZW87Y0+QsQT27lUE0o1befs+4GLg8UUeQ+h3MPXFZcie6v
N8agceBM/sInNZM5UMWwU+3eYH6B0QNy6Tqv2wMKQvqNHbKqj2fCFu4pMbsmUfMG0TCX3TypwN0J
R63euoeYvdAvOoI+W92jlJBfsiRu3ldNnDotimhAQFDVd60gLxqWWvfQ8Uuw+HFfbWnmitFD7IPz
FhIEQFxZ5stsVDZ0dgp30t7J47Cxy7YePo/4TOubJinT3Jkt6oC7nFmFx4F//svm4s0AFocuUlha
5c6zBiDSbxW2S8cB4+m0+tYt6/ygxfKcCXKXeBzAINFSKTBTg5HfCfQgkFa/oU4W9roZFKP1yC0r
lJJvgK+uqJ/jWY5lUETV8IQLj0E7yWwGbIaTPaXfdS+q2HXBtY0Aae1EBHJVCMFfgN1bEkhlhpMD
px47Gl16p7GmJECa4UFp0xCgfuKgj6DDsLk0rmy6R2vF5SVcCzjeSF/oiWWhilxkGOMIQhQvbb82
Y17uNENHi67WHfuKBJrVA8y3onZQjVNo4nzNm3TDSq+u8NkkLFSpzRuL2xQ73cjczxPtj2qeCObJ
k3ctrvQiDlBUspU1WNn152NfVq3UPJuazMDYGwL6YFY9CRgWL/P8lr0Ijd93hdwY5uqudNDlhTt9
1EgsMU7HDPnx2Jx9URKAck3pj5eXc7a+v2yUs+fP8s92/ahyYOeY0CVxp8ZgUHt3fCj+epCAYryf
Y1h4IOBIDApMxe1J1S+WmMJ9nDW/Y7yA4G4QB5jegJF5OwzNBakabvJg9w9Duvd+o77ARewx17DC
l6EV7u3jC0ePrTjB45PhYyZA5whGhMvrsKLObyQs1iFv8krLXLM9pfTO5eyaKnqo08c4cnV3b1J1
zDcwUNasyBuJi1Upadqi3RNjqvIDi8UYoYgbfRsq7u80rE8iDMCwd3lyIsQon7NKiI0M34qxfPMC
i8Dg55Bbkp202tmjKSoU41b0uD5QAA0Cy8gDRsCSi6RwAbE82Jha3j/K1GJRWjYSvBnFB56rw+R4
pyYe9dBywWDJE+fr5YVdCV6BYfin9GW3eelVuqCtDpeHMnoUE4yur6zsIy8BJOkBIyojv9FS+0bi
wgmBtq6J4xIS076+7zv3UR/I/RhXETVkGiqMl+RbGMJra4kKANRYwe2ByH2hTIniWdKPUwtolQod
ApBj5elTJ4stOsh1QTOqKnAvwEqx2IlDYyddYxrQ2mgkZiC9natvdQytWHmUEv2UsdiLvUdFDqpO
2MSa3DoFz4Khr96NADcfKN/BeD1IA70Ol/VkLU5/I3UxhUTOLdISUpvcPXmCG77WFe+Ayv/s5PbD
0FtoqNj3eBEyv1HNxg2DsDWzi+3oKZaowYba9JZd+mURsQrV7UWxNbtrGwKMRxbQOOeL0mVOpOUK
xHfzhjBJqNJwQhtIDXVJI52x8PKcrg7pTJT51mz3ICfthkEhSAc0nMu1nXo/F2/9PSELjTRRzoF+
b4wHjTFPtXzfyjKy2y1ysTX/cD5rC51kRdwWYwftUJSkQVtUuPzN/DH/4kyTbyL3DWbW67FzXi8P
zlyJDwCsTtBl7lALi7U4UJkybQdQTbcn0n9xUOgTTnVxV6LE7IpWEoRrLf/u1NqV5vE2tE1u+nqc
hCCE/5a4UxIMTES5pvtNvRu1R70wgnxIo1JR6dsKBB+9Zt56k3yoge+bmdYr7mM2IvK1y983A5g3
+1mA49mTapJ5eXpN1EHnpNdc7KkDgKIOEBxgMaG7QWUssHNzCEDufGtBQwAdRPwcL9RLHR+PzcPl
aV1TTBu0fqBncGyEFItwpe9KHE5Uh4NcW4SdYQX6V3PkG+ima2bsTMjS8+ga19HD1GPpwOXezDM8
1Q8DZpzMU18qJa5jTW60Nm8JXTgf4JvUWi4xMjoBuq3nWGzAiXhGAAa+yO76OzqZny9P5qz6ixAW
ZMQuRXcEahaspe9xXZqOrt22qBGDylltAvZZlWyYki0hS+sIwmOgLUgIqYqDyIz9JgfWbCd+GQYy
uRgEuj1+IY3SAEJj8LbE2bFFrW7fkFeZakEuC+43LKEBWEJZgJsiKCYcQ9R25mOSNmbg8O62qGsR
qR4Fme5Qen7G7CHoAKaRqZzvGPVehuaAu5s7BSpEMVXHONXvPKN+bb0sbEz6MDG6J664S3Q++H0l
TT8n6TFVgOEZiX3XNSOMTOVFTk8PLcHdZU+cSE7OTUxyN2jbrIwKhsaRywu7ukt+zsiPwO5s69a6
PRR9ghmhRhk1U/Y5649pwzZLe2edvDDzPzzzmZyBGpNVm5DjMa/yPfwc6HHaBwZMWVGUhe+S4tor
caJMrNeKsTZIenW8PNY1O4siKJxgDN1EQdTCIkiUDhMDpDun7j+TybB4jn1Dcw35/E5sOa01J3wm
blkakqGOzEHfJGJiFLfF1TOqXbonef9yeVCrofe5mIU1cBlmCy2AEHNL3o/AMPpU3pv6vbvFq/7j
wnm5hASIaFBiNPz9QgWSAp5SqpohG6B/s6Co/ayxCqqbzTpMChByzlqNxr3BR/3jndXE+9LWHliS
hRQboWDmXY2NkcXMvEZez/RRK6PdlP3kRZfnZG2hESSj2cE0sM+XN05e3XBqFFjopLd2ufwQ99dx
Xx9luwU3hez4il6fi1qEP0nRGTWIU2BRRtIEeWe8Dl78iMHpQHJzeACs8buubV3fbOrBBx/U3jA8
O3TG8SE208FXPbtPXPW56IuPXCNA/b8pdMWDugR+bmmnKoiz+iW1quse0Ylfan0bWkmKSj5hZj7w
lu770Y2joRZfVAdQd6vLujugsR5Hwzwp4qBsPAF5c8P2ytP3uNh4GKw2w7sBHX2aTIBxaDx/YLyk
R0t57ENuxsc+894DIy5A7kcESeNZ+7IiMjBMGftVYsUR6/s+rHJs5IGjRp/Vntq1oEFSgPgIdJVO
Ox3EedHYVtOOE9jJ2FJNlGb6IXH6T01RYV7i8spjhTg2WXqQrGZgAO++aon3sUzvNP5cu+xL3JFb
IFCQoHFp7KdNOZ3QDPncjvnLaGL0YGDaF9LWAV9ignupaq4rAykcc6j2bay/grwNeU/SMV9N8Sej
T+MgdabnRgeyBPOKd7Tn9r527W+OXgLgBkCHOqNT0JQgchq08jCNDGA0TlwjrJXfRF2rgPdliBL9
Luyaqt41ltM9ETe3QfIr48M4kA89cXs/tadXweIhApYvcH0T+ZGwkR3s2n7s5Rj7ev4ogZaMW68b
JABidFNotx5ID7QcZSs5MY6JAt3BROMbzvgVG0Amz8CkK2ZKXQsAORQcu2om2zXgalwQ0wqdt34a
E5SP6neud4uxQks8uzzy1mp2mmY82LDrJSpjLCfb1SAtE8bU+lWey9C0GxCM1ABPnUTxPsb/oWBE
3bteeyinG9185yZJQFIL+AHMvbVN79iCFQZ05/YuHnmDRBPZuWCOQWXPLtXsyXfBTyJ4BW03u5uc
ZeEE1hVk97uAo+vbr039MIAe2KcZ6MhiQBl1U7Jv+viuE+AKQa3Gg7SsQ2x+RefBvphx9lMA7g9i
2FszAr+B3REDkj/hwObXANJfC1hWZCUexywWu9jpowGA/kpDWJlLTDa9VQBNT1jS+6Y3hk1sgVeX
7DORML8GjHReyhttMqcQHUkDCCrSxB+FeHEN9pD1xPOlp13H3lT7aWUhus3Bd8J796ry2itTcyo/
mbQn/ONEMSDuGkDd6aPzhQzDdZPlDJiO6VdcluhziXPhy1hEQ0GB497x0Xfs9Bn1RIDwoU9oBXR9
1JC/N2weea536EcDCg2cYa0EeIdrd4+JYd0XjXFlDkiltNMAwFNUQeFQWeI/6qhMXewJygA4XtxA
4fqocwDwmPRTFmncu2XonvWa2baIzvRTdAd3aXs/efbRdRrjENda2JWo/xkS0gVudytiXCF55hik
6NxzcrqvUI3b+vbcXzPNnTbF3HMj0Xwz1MQnaN/Qi+zZ9tIHO82xZz6kNXWPwuTJkdhq56FEHSZQ
yGKMaEzqRyXdd442vThmP+2ngr0HaMleb1oetWlV7kuS9Mg/6MeKo5NekuojVfK1rLiH7YZKMu55
ya2FqoV0al9RHBDqlF2VOtuPlHx25+JF3cr7EIj6LMCV1RWrxad4mN63E/BC54t73SvAbmy1N4ji
T64tWDDgvn6cQGNDB2AkVPNFNPWaJ7up3kuXAg+HpYEhSoE2nAQICSTGbTCKuneeDt65ynYQ0dW4
tkY9NzG6Q1uSR7A51KGpWfc4q99n3YQUGDL1Ahl7UFTYQWIjiT8gm6+QXBeD/bnqG8AEAAYi44hL
53xg3Zv17WBXjzy2wgLUu7lUw860y73ugMjTVt968FZEorAA0CVgvOd8kNnWBycl3wD9caSdBfJa
ehXH2sHM24cR+ZWcl8jF4RxmNJbPJHIQIGmgt54YD7E7WgeJC9TQQEorZ4bv0X7n4SImlBb4Ygat
C4AxjlOmErHPjCIyY2HhS7oWVP38R5M/mWObBK2ZAwG2yG3YVvj5Drc5cE86uxoHGGnyWI+IEQYr
bOGWW0pvUOaHbQuI2ZBKHDLMTD5rVves5+yb3gjrarDFjauPiCN0967Lp8K30S2QEYZsH1h8oYlV
umsdDluemjyklUaisXI/Ng48s070u77XimAgcmdr5YkZj6yvnuYSUiR6rHuzTHE0Zdz3NO2JOsWd
4ZroNEM5gB8PJvVJritfifS+0BKw8GkerH7tFkh02ujz6AhcRSq9qLBAX9+AezHAs5rQ7AS/Bjst
SH10/UhIIwNHwcqrrD42hYcEEBX1XdxlANqPYy8cDPuF5qUZOYyPoBrtsVdMVexrmxsRUsnFUW/i
5gsgeE1/MLtXBB9fed5oflaMTkjhTOfvG2Hb9AyrmL0g9cki1DZaQe6yR6I1qHrkzriLZa/2KjY/
NjOCL/jOpzCt8zuQjyQPo9Wbx5zwGvXSRonIhp+SCgtqAzD22CtSAnEb1/Kxml4Kh6A+F13tWg5m
R0ZHCweJrNh53jSGVqO5IdI2Kkh7Q3/GI4qQj0W5T2MmjprhfNHBqnyYmortgMv0ybHY+7SU6IVW
+TMr9e9ElsAucek1ciH6wXBzzfccqfui7G9RhPPsZsw99VV6QztSRsxKqxABRn9VupkdtKyXvoAo
FAX1B48bH0XckhuvdG+rbnodHH4PjBceGROIVsE1h8OdmvihlbV3QmFv8WTLScCMmVWUcCRzmZHl
MwKB5wsxfmjTHkiN41eBGhnfbd3Kt1tS7XK0mwUgfzgWrPg8AJa+r7uvgCHr/D4Xj/ZktwGT5Fl6
79J+uk6VrPbxqH3Je5kFws33GgA+4MRxIAHD7Xe7z/bMpEejrmSQa21ksOy+K9MIAdcd8GREBMC+
z5qb4rTkdeoKdVwWLjJkEvQDOHG8vrFCEA8kOyDUpf7Isjqw0rLyi1i4J73yjmTk3xRRjT8xPgSI
P+9ya0JM0Wgg7UISOMKSDJHVotY6MdSdUGhRRnnDu3iSIsiB/AmSbrtBTTh/r+u1GeKiFIud5upo
6m7rc4tW+xJXDic7rehtVjfW3ovb67HPH2Kikmjqco7eBESoaSxEkFkN0M9NdeMYFexryY/WRL8A
wGbvzQ2QelV8GZSXnpLYvS4Z+KMa/mUaiwIFKgDnqfPmhYEG5qHpbXNXpwxMP1MdYUXQRloN9wVY
WyNbV2VglFnp60Pst456ktk0lw9XgWlwXwK7FIfDys+M8mMuq8fUNBG0qj3os1VQYoeDCDpnIfhY
3qOj7UGrWQ/yifS26QFi43lVNCOs+wC87cIxNo4cvFfYG10axH0mQu4hPiVZVwVc0ep2GHIvxPmt
3zFOhp01oFaD2cCtpe0V9VIHoD+49pWyeDATCvC8XCNB3dAK4IKaczvpuHuVhlWHhs78xI7n8ILh
/iMBglCnC1A1CjANGgW5ynvXxfV8wgLdLkSYA+nlkDnxe5q6XxW4zeAY8m+oS8gQ1Tft1TiZ94Jq
na9J9U3jReZP6HsNfhzS/s+X8f8m36r7/5wc5b//Bz9/qYRqeMLaxY//vuFfmkpW39v/mX/tz6+9
/aV/P1cF/l5+5c1v4MH/FRx+aj+9+SEqUdmrHrpvjXr8Jru8/fF0vOL8zf/fD//x7cdTnpX49q8/
Pn0t4B+5bKFe7R///ej49V9/INlIZ/6+s9PqLOS/37j9VOCXnz+pf9wC83D99759ku38HOefNtBj
DKD5gNIIrFp//GP49p9PyD8RyqKHDX+AFnMmWyurpmX4JeOfLuAVTepZOgW84ZxGllX34yP9nxTw
Th4atQCDjySe98f/TsKbdfq5bv8ou+K+4mUr//WH/aOy42cmYOb5wDUUahBxgkU3m7lEAQZaCvJn
xUQOBmM8bORU+ilOfSFpjRtuJ6i497z+vvQQyZZEPo4l+sFE3O/yLnaDmht9OP4/8t5sSU9ciRZ+
lfMC7AAx6hb4xpoHV9m+IcplGxDzJARPfxb1791Fqfgh7L48N90RXdHkl1IqlcphLfhxNyiHfRHk
4qqyrMhDGg1tk1rSecxILjquH9KyvEma1sc81pPVIr0Z4qhi4CcAB2gVohOwCoGXhXKkV9gAzg0d
m9zxYW+0RbEP9CLzywRVljSEN9XVoHfHzo73VR8j46R0fmplg4saXu8qUfQS9RjGyqz7gbUHDga6
q7Rizr1F259gPDR8tSO5S3LngVB2WwmUB3oN6cCaa+m+LXLF42rywNP6UU8r7mqkiIHpgecnHTrh
RRFCMlzNJ5uXgGQJizuF9sItaWV4wqp/0tpMDsaYJzudwMEMVn5rx/1z3GTFXhk7Y4cA5LJ1EGII
HQGKUFXNJZ3yxckCX9jhjZOTRyM3L8u+6rBIVX7mor5JKjYlaW8H4twnRYb6TH3ndPWPPDCvwKcH
+mnFTt1BlOhHi4ibM3qwouo1ATe8y5v+ixPpwX0DWPrvtE1jjxoqB6oMkEsueGHXbhwFKFtlWlWf
AzMmryqJtX2VZdZen3iqkj64Gsw08AZwJ3pNVaO3Lw6R1AyABMLwpTa1UR4ISuqRQg99ZCng4IGJ
g76W23QArgwielKzy4YHpybRd6HRnEMCWpSc4goOtMkvmrsWr72EFydgLT8Gar+vVNUfBJzsiCof
yLDSV0WdINOC0Nxztbipo8zt8ocOYWsd452fJu1JNZtnnqanALwOAOAI7soE0VUTswegIDG3S5Or
0NJrN7RAgVsG1kOp1LhcVe17GnSvY64eIxJf2V17gr1daVT4Ztmm+6ZNb3pF4PkkMLdF0hKtHzwf
zrwC2r/Va/QqIwIkHGpD/VCPf4GSyrpCsiA96Eb8aDGQuLtVPSjumFZihwC4821aKocIMyCHAv3b
ft+NgIy2O3JS9Sz3csdBuywtbg1ipniiIDsHRLe7rCrz6wKNYPvaxHtMCWLQ1+QgAopDpFa6TMPp
yMMXYywUl8fteJ2nvbWLImQtEk3z7aF9NZRXqqiXoEW8w8Us/CHPajcSBJixWoMrnVVXCGcQHuMb
53gsVTdmxSVml5RrG4+awbZvBeH1Bd7n407XcGXmdYk+iAa71rLgBaV26jEzeAkwcwy2aaVM3bLL
0rvWFN9YrGoez5IveBY5eAMjyK8DPEvipEvdqA+6I/A+Yi9K+33kDF8a0mmehaeCXtW/a93Bqzx+
6pz8RtWMq96JvBjERKPokG9C1BQVvoURalb1d5lV3Ig0+AXeC7BYxKE7VAOQ+PLYR/x+RYLKG+3u
t35DbeAbIvPg3OchOSHJq2HMm3/XQ5wbWjcHNEofy2D47bTWOSvbbwmxTw1LnioFcw/c8dp4HIAG
Zx5NS71ifXMlmq5yS8LuTBJf5Gai7pA4OZuJga1Pyuuq1l4EjAFBd/hTG0F0ZUR4nHDNRR/4LkI2
a5cjRPeCrjtWKXTj2a5oe80z+OihknIBLKM90kvItajtdVnrX/MmfsWA9I2Jeb+6Hh+MzEGgGyi3
jqM8omZ/1xP0/LK8QuWO9XA6peUNrfaYqsmL3odftGEowA7LNa8r6pc8M0dwvFTZMYnUp0RLogNz
OuFWY6l4UWfVt5pWkz264jMfvo95kc7xJGHpvdI5qZubbeSXDsl81Ktj39D60bUadHDwpMN8Nqge
d2pBnxpLx7kyh+6HQUVzBUbW8TvoLky3Bmn1QQUf320dUuWlJMg2h5GhezkmGpnbB2rxECQ0O9IW
Ia6lhk9xn6pg/64RJAVhD5cWfzdFSJ9JNwJ7R9MsV7fLzEMlDGEVmgEIc8ee5aFraVm+55aiPTih
uAhIbHh8qLIrDqBBpHfqGnYDarxqVC9FoH/9fz5cUpAzQQhjAPx8LWK6fIn/jxe9dPOI6cP/+r+g
Sf8PmGFsXERoHkNCAoWQ/wVN5D9gVEAj8URAiZoACj//DZoI+Q/q7QYaXUBQSQDBjtjtv0ET0f6D
2As9MBhHJQaAJO0/CZo+1tlsR8NH8BPwxQnaEBg6qCPM6l9hiKds247OielfcnIUOrLKj7NV+W+c
No/LPpaFP4uYyqszEYgCUseOVedU8CPr9gLVLWdfDac/nrFC758JLB4K6hbNwhi+pEvcd6gF9WNw
KieoS5O4AXKs67p86tSRZUjKDA2KkoSrwckwQTOvV0jiofejOI1jexriAVlKpTjGpMIMGe49IOIj
GjNKnh3Xf8fHbYNXlVSd/j5bU7uiWUhr/Ixup7/i4tvC7tz6vlzyNqLEsnJ8X1H2JTLwe3v4Q4h9
WYOpSjnToGhCRscMEtTaBaXsbn19Ptrc5/WZ/j77esz0OO1KmEKIKyQuH9EFvi5ga4Gkmm2LIrEz
4J8nkPAhJQ2q2o0OyTdg1vfHzCcV5H5jBiOPGGuCk4WKzcAyJFDoDp0irxgZvagH9pVFxVnpgMDr
9Jd9/8XIf6ZliPhDpQ+hA+yyLt8N2iNzwm9Rtk/HcT8o7Fgh7txRRSFA5rd/alOZxyD2RRnYJRJn
xu+cU+YJewD/Du3RnTUKDCsnYMftMZLcILfQHtPUetHH5DW34kdhjLukvHSi2CsydHJ1SP3yvW2Z
V4quHTuS/UZ6/bVLrLs4C/ckv02Rlq4ct4sjw1PxIbTd3pTmLahVPRonxFvfpek0flpD4D9Mjds2
1eRueaMUzB6rqXToiPNA6jNCtnUJi3YwkyAZmk5yOIJSC04ZyR/M7K5gNliM9utCprPwWQ3wIaKl
R7M/dVgOAug9rWoGJy02AG4bvpbkm6r0U+r0utlqRvlUuH87mea7NOnsq4g58ASzglOhkS+qKgji
vmDfDPx+NEbHrZUBxVf1og6oK1COXFd1ecfehUtuQe2KoB9GqNo9Nb61sY6LH0cftw0ecADOyfAm
Y50mcSBEcGK9caCoFddO8Lj++xe3aiZCqrt3YWmYdj4Ep8Thv9VW/eZwCzQ69KHV8i8doJfWxU17
8ckyZuKkK6/XkevkCp6iVzVwpBoXxW7UJDaELNr4TMi0rDNnqlvoJgtrLBstENijPtvVviLSDYe3
tTnTr5hJcfAiS6oM5ADhvb1HfXB9oba+Lhl1DiA0wXN8HUgC4Nb6omZ84/cvbwVm5ZDnmnqwJcul
ThpSEyE3suKPV0GKzMtGm9Cndsa3g2m9S5B8DVArhcLGDrZlObd61D2WuAkaTg5U7/ctbCuznJ2J
uhYACT3wrJyttj/SCOjB2rirstFfX9JlU3//OdIVaKZWFQQVbM8IdulFtNXXs7xj/3zekVBi7TRC
6dDE54URurzPMEBdbPiDRcO2CaazUSakgCD9aHLp0Jg5NXE9lI9dugvoATWcv1gjuBsC+HOM7cnh
dS+iPJp6FE4B+huErXlNnZ0EJsOU5OQE+eO6tGV93qVNSzo7QlnZh7VuGMFJN1G42CvZOXhel7Cw
KRbyuxj7gAdFd7Xkb5hTKkHU1TByXNiVeUv0fGNPFo7RBwmSDg1xUN9JcIwE0XzRxbvC0F/GYLhP
NCfYuLynAyN5TwtZbGdSRbXBdv1xvZRMCCU1quCEGTbzJhbeYH9PHv5ixWYypEMLbL8eKTasWFmO
6PmNI4omtMLe0GRh5yeqZHvqgnU+Dykh/0gYNic4mWp9iICCqtAaI+rqYV2Zxc2ZiZE2BzVZaqoJ
FixCn6Ri5CgNPbVcO2ubXPWT8/i0NTNJ0tEsBgeTlhUklUK4eeMBrLZP73vg3TBAQbjplitYNOyZ
vEnz2dGxlMZKUoEF1IA24vZNdNGl2t+YwkyGZG4mpxxZY8gQ+okg3N5iSttaM8nU7EgTlm1izWrH
zRBnE+emipUdR/StIMs5Gs1ztDX8s3iEZjpJlwAZRiVQBsikyFhebtJCbxicfAmYQz8mDFXvk3Lf
Dvd5923dnjd2XZ5HwejBf3997AJM8rT+8eXfjlSEDe8PvHO5AbY2lD6tcpQJ1CQ+Y+DuiZHy5xA0
8Tmux/26sMl2Pp+Xd2Hko/2ioFwUYjov+phdmwIFg+pBB7odioXHAf2e69IWVUO7uoEJRIxcyuuW
4jnVDDVUyxp9P5phhm5C7WAV6AQt660pDrlFG2EPCNqQn8IaAi1Xbo/GfwMApVIgdMvDvdkaN1pG
Tjq9J0OJXhNgq3TFLhowyGjwo86e1jVdtJB34XKzdJt3LAynK4IbrxVGlho0ya9LWHpvzfUzJTvp
B947NIB+A9kP4bGodvmX4B5tKz//pSDJRohVI0hRoYvRfdOvUbN3rpMGNH0u2ciSLToFSnCPU4qs
hAzJjRJlnlI7hXmYaE/xUH1zRfIDTYIbAydLETHgp94FTXY689q8ZEY8ZBk8Kj3kj/ltc13qvoU+
40OTbYT3WzrJzjvJSxFPpxkFg30d6h6JdExeseYO3Js+CA3RXXi3sWHThnw61DP1JIeO3hdMd3WQ
yc0BiZ0mALdUy/NDUBv3Cpxh2leHnJiHOKm/t2WUH7Q66VyjRuln/ZcsepfZD5G8fM4j2jEAqp6S
ZNcXe0J/lxrz12V8Ahd4O+fvQmRYn6YYy7A3IIQaVx06NRNPL5/pLr5qiqODsKmuvm8c7kU3NpMo
nTyamwUlFSQq1E8Oun1X9E/GFlrRW4y/sotUOnaRAfzAMoSRdvU+yHeV6oXZvn2KH4MH+8q80rJj
bfh2vzHSuaWb/vFo4LVDk6aAbnApoFa3Nj6/GHDOlm7ym7OTxzQQWvMWSlVR8Q0EVkXRP5pb18xS
th1Mt6iNWCjGfJ4XjUO0QShokD+17aHpO7S5kbPijEjwG3tTC2KXOtZRwxiLo2Fi4E9h4SaDnEuX
Ng7Y+oYpCkjP0JEdh9vRzdIizgVIeySaWLAUEKInW/VRLw6qXSkO66dKvr+AvICIFURMU1XkcwbU
iZSQKKyKzq157o+1svH56eDPbVv+vOShkqRlcVri84Hpat1E05llvh3VHiExOjHBk8mGfceqjfhD
9keyWMkfMTNFjRgQkICFvSuaXt2B82mgP/vU7tGqk31bX0P5KL1JA/QDCm4Yy/+UJihFYkS1CmzO
ztlpaK4JvPAhUX/8OyHTj5gdKFsv87DHvAkYEYe9on9He1yISrr4nfTVxlW2uHoWXrwaan+fkxLo
FO8DOkAfBxvVGe1lkps3qFYdxhR5/Gbcml/+5AH/vwV8Fyg5C44G/V4U0C1rmZu1487K0RulxF/q
TA+OKhP5wepKFBsoptyNCi0OKcZ06iw4MPyy9XVetFiUdw0MYCGfLkeTjOpj7lhFdI6H+JuV/GB5
5Aem7g1AJlJN220KcmvTp3Wh8kF/W4B3oXIUybkogMyGBZgmLCbd+knLlFnGH7plWZB0oyW0LZWy
wdZmAGYNUnEzKuXRjLa4wRctaOr2A26iBgwsyXGFAMotlAmttrM8lT/GX7Ir9SLE2Nj6sskx15s2
MzGy3SgsqwFCEJ1LPpADz1WKdobyphidL3UkGFKsAUYUrGgj7lo87zOxUu6BJEHIMCgIsaJ4iHh8
C1hNF2CwDHyVYuMsLvrnmSzp2BNUrdRRgyxRq8Ajie7McpO/ZkHGhNSMLKcNaKhPiOO5OdCAhljG
nFXCFUXxoiZbyeBPrxjsFYRAhGMBnUOVwQKEgkFdkkBIl6P9id6xBgRHX2yGBiBMTqzbxcIZ/iBL
unXQSzCEzmTlRS5uIv5gc/PS0tRj0Dq7Ks72cV+7bRP/+TXwQer0q2YemicmB3ELNEyK0cU0GIIC
9ov+abFFWse3adeZFMMOewxaQArLXfSio3tuV9Ateu1li/hns2RCI4uJOLMrCNEdtKflaGvLEl3d
re/SgtObr9fUEjxfr1JkaQgCUEBa09i9TquLyjr9OwmyG8pJa9kp1ODO6La/hvqZ5huRxpYS00rO
tsMcjCgdpk030ACc7DO0YgIIY12NBX+DHpypRGBawIr9lCgaAyOv0DB9dniCrr5UNfcM2PECFAK+
0vR/zGSOkzoXJ+1Lyups6AaI60bQqCdtimbd5o9JVCQh0tagU5JV6DmGGWs/gV3Sn0JgiWDiIP2q
WVl5buI/Z61+k+iASQS3EjI205012ylmpE7ZxFAr4Mehx9AGltCs6kdkIjwlHI6gcLmre7or/hgg
TBIseaOmCdBIxifBQXqZWBVwIsjYbKRUFv0rUMj+UU/yPhg/LEQ87dpjxOpde/G7FWcKHMMS88sb
oeiyLIyp6zpwqVFwlC5ATII5KR0njTBqVhUEgKtR6qa57hqZ+hyZDxiVspifx8f1g7B02MhMrnQZ
Vg03BEaREJuZD42CuU39BaPf6zIWYgqIeNdNMhO9bBmAJyFDj344WewXMSZOmF8cUr29KcSvdWlL
jnYuTbIN3pKGAu4U8Vj2g2Foagu4c0sbySpiy+6Bb4bvM8fFBNkunbrN0n1cbsSVn5Iz07U0U0SO
YAeAS/MY8x7nHv3X6R3RH2ii+7n1vbCr+y55BO8cO6yv3UKQ+UGkFMsWJe/bfFo72tsnqvZXJdn1
4haN6Uhg0o1U4sZGmZJTtLomTdXJ5On4g5X7Qv+Lq2q+fpI/BAdjSuNJGS3el1fll/55fbEWjw6m
awwNaRKMwUiGkBtq3Bkxx/6kzEVzAvpP6AUfNiLjZc+ggzx16mRFSUM6PTbmLsK41aIzxgE60zOL
+3U1Fq/C2fel88IsMwVvtBqdCUDs8+w5DMXBCAKfHtflfMosvdnzTJC0Xoomal5lEOQ0A/NooySe
2aux12lG6qOWui+KWveoiW5sKxpyFzOxwKMH+MTG71i0u/ffIYd7ZRGavSNgF7xmxyjGqF9eJsRX
1KbbwTE/U9o95ZPc0RaY7MXgxkRl9eiknPgEk+Vuq2w14iyb0j97LAeHYCdU67bGHhN0nKtuUu/W
dV70WSbuFR2ErCr6ij5e1DQs0Po52ZA9LWwwLbExZDowtqO7cCQlpkDKy8Lpv66LXTStqZ0EKRxE
TjJ6YCGs0FCNEa64BONwZIjMA0AiUoch9YUlNu7QRSVn0qZ9n0UjVqWH5RBA2tj/xliY7SK/gQ6d
vABWyhZ636INzWRJC9r2isEBvYAcX635tUAf5sjC9m92bSZEups1RwlM500hce3Elm9zTCeniIbN
S47hr2rDH2/tluRo6lETiqZh/VQl2pOy9MOq9By7xrzqFvzq4j0z02zaytlWKSXiHa3F8pk2GHqQ
Aurty4C8sMzygVC9sYzTXkgJUwIC6n+sUPI7mAvLeTXt1Y/RPZcb3mRJE7DTw52gpQnzBtLHAd2a
lUY94JLhz7ai3VbmywhMrzDww9xdP01LNjcT9XZRzBYNA39g8tWxP3rxKBgPdyg/af66jKW1msuQ
AoB3dcrI2GEeMuSRZwc/14VsrNlb4DNTJAPEgNFPa1abL3o6+mp1Ww73okY845DTuqzF63OukRQF
ZFWf69EkbGTtvkD6FenG/NUY+D4minB7bgAIx77NCPWLYeNq3dqx6e8zRU2r1GpqYsfsxjgw47up
5xt0A8sSgMaHaRIHEJ/SmY24UMqogXYFUtgCTelQZ30Bly3iXYJ0VFvkuJS6gIRAC3y0Qd1GaDuw
m/TPxSCJRTGv6qiY05Wx9mlIY+F0fXiusvpUOSdKDkm1Fbp/JvRAWWsuRVKGoUWrwLQa2jQxoQfS
ng6jCpGwfVJchPdlcLCSM2+uecRPBD2eRar6nFUb7mjhmvrwGySP0RgxfGvXhWeMUWIQg6PBqgAz
BJAFjUPHn/5492bCsLwfLTAPMvAilFC4CCFqNH30K/kYA/1z1/RBjOQ2kD2LOnClhGdS2dwDO6/H
Ih5uuNqF++mDEPJRl9jqot6xIUT7Wjenyg1vibLx5lrfG6pKzoKBPt2CbwrPaFn3MEAFII57YO4U
zV3fRzvE+/769kx7LV1NH1SSHEQct4aWYS7nnBoKpkGdE/iXjqZ5Ism10QYXoTMezaLdELrgMz4I
nU78zCux1GlFwaGk4TReBigzZav2siVBClzezQHQSTUClWbjCC1+H7AGjoaQlthyEymQovRcR2sS
hmiVZ1F091q14bkXDWEmQXIUoalh5IZAgnMInkh6THPMr76ub/6iPU8kWLYFYoVP7LV6GdFmGLD5
YWJeKHAFam6BsMU5msNW1nZ5wd5FSRuSUqe0FFKHZ6CMEszr+/9OE+kWCtXOBuxzFZ6vRsCQ4DIF
+txf3HTY63cVpB0ZAJatB0ExHRUvedSe1jXQljf8/fOyVy4BpGu0JW4GsSMDgLCApHLbJ6euvUev
fTS4unbXmJGrRi+l7W+88RfuWDzNAKULJi/k/uR3Egh2MjM2s/CcgKZHD59I1d8ACmBdxUUbmAmZ
/j479n1LgTSZQAgQHqwH+7D+9cX1m31dcipKOcR1zVl4ziKPH4OfenkApzXw7KxyQ9LisZlJkmwZ
ZFFA88LkB0j3PGBZ9RaQMAH4s1/X5y2t8sk1z8RINm0lWRC2VRJiPNwDrlGSH2AT+Kf9EPkdc3XT
1cufINnYWsgtW5DsHEjYqHg6kGvc0dcWiBYbV/VSGuaDsUmWPnJMOYMMAjvlAimJDrcFJvDRkngs
muP6Gm7slNxJjFZcYB5VsDhcA6HwR7Jj9612WhdCFqVQEDsDsBd8ZW/0YjO7DgeaiTBXwrOtAE2h
qfKjBTylZAi8usp+NYX6MNY2sF5Kr1JAIzw6+rkF7Tso3k+OJn5lPAb+U/2DK/W13rMIcEnpTyvP
gZlQ3PBKOVitc8WiAfzw9Jrlz+u/fuPHv2HKzn68rrdKB3RJ5BAROnndQTmY2ca5Xw563xdIl4Kz
KrA1ASCNEEwHl6T3G7/T/PwpvFXO/MoAiNffOLOZOClMKwegzMd1jPIdeyjgx6xj7GzczlurJodp
qT3onYVVC42HNnXcIbsx0dzBgw05b3m3T05gpovkM2Na1FRjEISz3ypnlT275Db2skv1Kwq45ncL
0KVX4gno9glzw7+JD2bCJZcqtFhv2zDEy8v2K5/vhsutcHdrHae/z6wP4K+NLlSGUkaN8ZIfSdF5
A8L2AACw62ZOFi+fmS6SNy0CnllKpOGQFpXpNZb9GIvhqBUAicwAdhrZhW9q6quBeWYtvm3rBlhS
pdm5ZWbfcfW5dNofIDKzfAv4oJUT/hwpSpul3XjI3wI2aKguWNx/7dNga15p8/RI/rhANyJ3bOwC
AKY08ZQDYs3xnAu02gHFh4LgpfHY1oTH1mpJLppRQ1MxQQCvYDwalPuARdzYkKXikgUS1v95TXnU
XdFMLbYibL19w51jMwGxNzsHqfBsyj7bL+MLHNFW6n3Z3jDCZmsanUYMPtobKdqG6hFyCUB0vCoD
gk6LUgAhT73kXG29dZubFunz2X0XJhl3pzZxMQI+6hx14Gnd5RM3pMN2Rn5X6s/GmACrb2NRt9ST
jNwWQVtHk3osTQ7ImwJSu4CS2hat35YcySTb6H9yWv7AHdeELpX+HIIj7d+toGSGw5g0gFuGPrWS
ucVwpyIhmAd3NEVLJrC90aAb/VUiAbB1/7UQmUQj0zoOTw6RVhV7bErQAWFtyxtN67NiGbZ0IWIi
g8CnCxSAMs1nFk4yjnZ/hUZWQC64AHbcsItp39fkkY9m3wH7cszsHmet8DHDCWaD6HdmnNifTj+h
wAbqRRM1KMDe4F+SXgZDYqcYUZAsFX03jOrNSM3LGNCnzKAbKi14qA+iJJUo4PrDlnZTLS/zDPsF
2N77deNbWLQPEqQ7vjYwlJrkWDRT2Ify1ek9Q20Dr1PHs6Poj+vCttSZ/j67CAuaOmKIIYwCNLrL
Pdy8G7Hwgs19UEdyfRYQy4Bpjb3JXxUN7MmnjB2U0W34LTc2WLAX3AOQGIk+Vd3Api33NpEWkNWa
nk2dZoB48wE/jj6ScWcGGypNWEmyXX8QJBlBIyqAI4scVUu7BP1jioajwcdQ534EX6afFjqwwwn5
pWXBntnmobb6A9DpvXHMHkHH85pmqReYADqJCVATu2b8jTbajY1dtKLZWkhWlDTRgPciWo/Z3m4e
9ATAXV4V+OvWs1Rj+LAQkvnwLFcMpcBCxOq3EN3qNsgRyusIJJymchsU6S7rECWYxsYh3NpoyabS
tigxoYyNTsvkQs+fGhIB9I+7KN6vK7glaPr77HgEsS4y5Cew0SYAl13g8d5m/9JopbuTlxhyrjss
YeZl3jfvjwlYJtdIQG5joLkXE3fSVVaOoNLTghLBwDe0NYMq1uCHXtlYpmm9JT8/FyIX6FIwRUQM
EMPnlLPIU9Rv4I/wmjDd6rtb9CXvyry98GfbMQ5KFVgMzpex73ptDV7VCg+deF6FEwZY0G8V5K5b
wFIYDN0wfTTVOScyuY8mUFm84HmYohN39Jpmj14UZfBb5hnX8Y0JKGFvvNIKb/yu7dYFLx/gd7nT
Wsx0tfo4KdEah2Zt834MwN+BF7oKMAcGYMl4Q5a2bOfvwiQrsVtFzcokgefkh7C7z8c92KAUG4id
nh15zW2h+Pl1eS6/r+v4/+M//pErJ0rw7up0UBziyQz8+OSkXX5TgHpaecmt6fHDurCNBZXniIUm
eqpy6MjLG0z8xbf9I79mG1fDlhDpZqj6xggSA0Js/ZfxADoF9kJ/g+VnXZUJkW/hwL2vm+Tdbas0
Ehpj3YALFzl7IwbpOvIbQEsaYqD0u/yuwuSCjzh8XfDyQX+XK/n7uBk00PBMN2x4DfFuxEF/kPxa
F7K4hkgI68D8IEAek5SrQRVFxraZ+hhBftxrr0xxJoaI9Ia3MIw/RWN4Cx5n4mSdlJKUrYauKIKJ
cgNOBKzTGz5+cdkMCk5YG0WbTzPKil5XagKsK9BtevQlcPUNJ7X1femacphOSwoo9DNeFz4SXkBL
ad1s6yrZkjLt28wjjULHZvQDiHo7jCMYijh1Css9fdgwsqVELaK39+WSXF8PmjSDJFCnHHOv0dkX
EYT1iUbPyWg+6iLFMHnN94CRA3vSZd79WDe/xUtmJl3yhe8FeUuNrpJ0QkHLk9pj9EddAG7Vo3Ub
bDRcTyb26f58FylPI6dtBDIJMtmHJW4s66ITW2g9yyGrCbxWYqsg/pOnqByhoPaZWaghv+b2yU73
TuYHSDh52lV/4tfZrXLIr9Pr4iR+Wxv7uXieZ6KlA2Ywi6aA5g7PPMh86oBzEFSiQEdzgVXubvFC
Li7lTNhkxHMjpYoWGin0/NrtzMO6ZSxlRW3Uqv5ZROmcgZNEgDsAmtgX2bm4yx+04/iDPwMv5IK4
fple178wHLIudHPnpGOXq0Ndxy00AvvVPnbtiwqyAG3sb8iZOiI+GeFMOenUoeW6KXpLR3nE+Nrn
v4lS3kdRfU+z8t6p7gpLuDRtcclsiF18S83ESscNQzs9IQHWFMCRIt2HADN9QfCRXBZfdQwEAHvc
OiBhteExl8ZE51v5hog5s5MeRG6xbUNschzRdeDSi/ImC1xQL542FFyMrTAKh/kkTMACke+jRWZd
nPeZPZ08F4DoV/FZ37Fwa/cWV3EmRNq8Ig1zWnUQ0mnfIr29buI7G+Ut/aqNUdk1n6znda0W74KZ
PGnXrLIptCGAPAI28x04amIf1CG3+hZQw+JxfpfzaZuqOmdlSsNzD0YHX0vMO8XWuo0jtqGMTJWY
1TQSxrRDefiUO482kP5/ry/XtMfy2UJ/F3gjbXgPUBx/tAEAdVNliLhy6uJn+F4VBKvVVtJy6d6a
yZAziAU46IaeD8qJx3yvmdGlBoT+VlzldXpEA9TuL5p07bk8KemWtiHgXsse8nIjOTCSHTtxZeBR
lgTikhhgkFNQqto4t1tKko8LmQ2kH1nQKKci0A9j8CNmwF0P+I4U4LfR6GtaqVtDs0tHa66nFI5y
G22uFR+VU1R3BLyAKIC0YNC5YaHSu/3YPZtmgGq1fR1k9Z71VuqVkU53IL08qSCsC0zjtsnzfcF0
zS2LQDuL0cIAgNU8NyIMz2MeY/BS1MNt3fSxbzkKsgx6dIptEGapowpOD5H6gSUe8kZHCqJvYi8V
TQt+kXzfDs6F3cRoY1fIRLpWXfImtHY9T1DGBZ2aA0aMkLFdp4QPqhZeoGi0ywtxl4616VOdAclC
x46tG/vSmZ0v2PT3mWuN2rQXNQKOkx2Cbv1Lp2zhay4677kE6ZLno9o0NIapg8aut0ALdWm6oBdt
nJtW+8by3bo+WwYg3frA3u55OeLwWuHJaF8Gcx9eI7XcPAzCPA5Du+GNtsRJ94UemmOWUIgbM7K3
gbDvGRUHAVv9DQlOvxUGWHketvrSt4RK9wfLwWkQh51ycoYOiahhdAvluxligVs0CbQPHXAxNafb
WNmlq3G+j9OvmlkKyFN5GZhQ9aludsFTcWkN+/W9W5agO0DZB1CqDtKfDxLaVAdNBsXhHVDdtfMv
Ik6B7Wf6oJT5+u8kSbrUta4W1ghJeqfsQyW6YSb19LzzWhtUWuuyloqY8L3/qCUXMUcwVLHRhrCm
roAREvstMU4mRp+LpN7X+g8ruhS4+HVQ/4AB49ABZ2L9FyyecbAzAQQOWKOq3LjVAXeYaW2rACyn
O1vhsNP5j3UJS5cy0GQ0PJoxYQsw6o87p3UTBbnFlJNJ2u8mKt9lQcADG23F14uWTyEEkwwoHcgJ
0kDv267UYuWk5FnutnGK2gTtLxuA/Ti1+sQMPgB63wD81lY1c0OynDVlTe8AciSdLmwCpK+y9dAm
v4vD60AjL2JoriNF3Od/8dTU3tWVU6ihCtZSuy6UUzXo+yEQfr817ra8cf8sqDzkQIc4L/S6VE4l
CNVfDXJZndYtY9n9z3SQbuS87Y0gGjPllLbdNSnMl6q6zscKVNAFvxWVed2ArcblNPDxetdc1Zmq
dSTbWSNAzdZ/y/I5eFdWuuswygn6PgvLOTbjaaAg8Rw3fOSWlUzLPfORCmKJOOBYzrwzrX3NgFsf
1uVtSflVPDDVawLeAn1Vvx7LduOQL0WtGAMnOmaIUDqQBzCzsiZqYFBEraDh063fBYjO8vp65Bgh
sLcm9ZbMBlABqN8CRAoHUdKzHWKWiURH1EBd8OwN/EA27oKlvZpLmO6K2Uo2dVy2mGlVTqLyVfBr
bZjCYtpq/n3p4gYEJ+imOqKckuzoADvMdLPHAFS7rhNsiVoKg+eipGsNBENNQSMDl03rAoCVYIj4
TgMfqO7baM/0/i9pX7YjNw4s+0UCqIUS+aq1qrur98X2i2C7be2iJGr/+huaizNdLeuU4DnAPMyg
McoimUwmk5ERhdvnr1bnCjDoDzu7b8/04q9ns2glZZiGAuskOxcAQrvA09vL5U21dWijXVNVVZ2D
35yuNpUy112o5SaS/OLQvpo+BPX2rnybJ+i5jZW7dSKDTGDCkNXHkBu/Ufhh6m+y5rvg35h0S/GU
zNfW78vj2nbAj3GtHJBWoxLFIVWO0JOCThbd8Yrtlfn4/Mr/eAsNzlnF52MTmqX+4KIr6qj/mnTv
/zaMlfNBVS5T09yCn0O56onv7aNl5td35fOVWTmYMqhNX+rw7Qz5081UOO3j5d+/BXnH8/u/E7Uu
KnRW3yQQS1SOXLUh6a4z23c70+9iKLg5zWSbP5vvVFzzHIy2O21r/0uQ+LC9Sms4rxpBFfjdHLnt
1xBdWD+G0umgSDK5kIkP6U5jj7bjFab2eb+aoyCmMsHgpF+3hoNEW0KI9Z3PNn+xHqLn9FW9qp/7
b8YbGJun4HB5rndc3lwd1RnPoDkFGdVjLX8AfmQPbez/FwvIEC0dPTHqPzXbs3jErLIfhknB+BSo
bYJcXdm7Q2zmG6A6/9fEagpbvUzBkoR8em4O5JuheP88tsXVO4R++bdp75Htf4lNH/ZWk6apRjsW
LFSOkCXs9KAyT6nff28e5V2dOW5Kny7P4LaHfJhbhduIx+AmzdHBkIQe0R7Ce/XW+pZAJXwPdbu9
sz8MrWKuDj68JG0wrqGHTByEMOME3UX5nk7Jts99mFmFWRkV2TiFKK1M+RP44yFeOe1EwP9lF3+Y
WIXauE7r1DBjmCiDpTUi93VoL7tt/9K+smYvZmylgHiyQV6kq8bCTv15C4+9Fsc8gYs3X+F5cRxY
PxPNhtZk9B59BXR1DLK7naNqmaM/gjBYWLChULWmfOWCSjRDtD1DrsRJ6XX1jymFTqgB5WVTdy97
3+ZqmWAJWeTnOF23tJGkKUif454XImFpagZJ7XlnAvdMrA6sEIrsRQVOAbTXihdTQhOb7Pnc5h46
G8Xq0Kog/NSAPhbsvrJ2tSy9CSPNbjrqTgyi7OHwQPM4uDxxOybXNQBViRWWa7i4cusFG8mupttI
sdMmcWW7c4hsbtyP0a3v4mFimqMFe8eoM08s+UGiQgLCXO5y8G56umWiowW90Cbeyj97OiMTnSVE
UI9GXR/MPgRXXHuj1tVBQgBKKOq1BMShVHFiS3V8zHLucDBV2ckApnSq5cHY34XsZZwo7noD2C9R
7bk86Xs/cHG1s9PGaHhERR9C1SmSd71kJ/Fq3ll95VZtAzlk6bOKOZdNbkw+WtxBfakvUwKuhc8m
S5ZAZyUBubIxvRgjjoK4HHcyx40NAl0SyGkQNJVa2ISfTYxzS3gmQLA8eCrzGds5ordGgOcvqIZa
FkHr6irnqU2gKgwwrB5pNh6m7Go0QqeAB12ep42lgYDbh5XVKU3mnpoNGiGOEYTr/Ti8NpPX2K2N
Q8V/mdbOkDbiI0RBCHS90JsJKqRlyGd+MJa6JOUMtnRscTMNEuWbeZCatbMuW1YQGRHzFzgEWGQ/
W8n6SbXShUR/BBCLdA8m+rLRmn953qxlYlaxHrQDH1ZWPm2RmWV6B+rpEcJBYH5HWg8RuCcQ136P
LeWuHZWbpOk7D8RsfiaGExmTG51Hfmahcz869l3ZQp8lln5URkfK0m8GQySPDNNGGfRrxMc06JWk
tY1hfIgtWQTWSAo77PLHmJeP5liB7Qh5oY1/uTEigWedprEHon0tJH2Mw0XAFtpp6EhHadMiQRZa
9thYXgiBMNBQOWMx3kn8r6ydEfpSUrmAyv3UaJQEalJezXi1B1iF31fQJ3V53N7xRN7SkhKnLctD
V6WmF4KCw2ln5lalAtVpPLlQwyshqpUNKLnUYkQPXBXwun1kRW05RgzYH9rvHM3cI8vcCOoc1Iwg
SsZ2N8GD9nnFaxBn1LkahUcci5Ed6Z1d9xKxXaQCQsOnCOrXtgCya8cF/vQAbHwT9WRwbZl/8BQP
ud6bYROD+nyIbJZJL+OPSfJVNKNHii+XbW1h/s6NrdndxqhINSJgDHLcR5WEXjTGkIp8TvmjBdNy
+Qn97wYXlcuGNzbTJ7urKNTAf6hWwm6ekaAe8D6JTkhXkMwlvbkzyD1bq2WMxTCqs4ZlHAKFJU7b
XvPEGeZ+Z922Auv5zl1FITlYht6qiA8QhEvtMdYm1zI0v2r3wt0SAi6FiGW8Z+FOhVJ7U1cw1FSp
V+PzxR5uZ8lhL1lY5bhNm5O+49ArAj9piscu4zrmmi/1Zdp+oIfu+bIzbOyzTzFv+fvZgDqAD5VY
LJGVoYExlXgZ0lNcT2FIoLHSmSQ6zzod8JPLdjdXDJEcSiULd+gaCNDzWlU0A/orSeaqt/PgVnvN
CZsj+7CwhgGoHeUZazCRmv6G6yrevR4nW8N7cKq/XR7LplOcWVpvqFynalliLKITQal8QTq64997
Y1lto6rLdKGh4HiszPRba9QPaLQHEDRyu254S4v5Z1g/XR7TxsaFNPW/67NOQD8sQvMYzzHJG+0K
2zRap4msHWDBpsefmVqm98wFqV4RlmZYqASObgz0NLf3cxWk4P7ta+PXX48LHDjg6aLMAIJtjWKP
ymTEwzJSsDgmjlI/RdFk2WhJPUztrtLdRiL2ydZqb0G1j/FEh9JEVL3GZnjSavWlGlq3HFHOADrB
jLUHg5Odldvwxk9WV2lypcdWG1qwmuTZ62y1/twl/uVJ3HDHcxN/oNVHKBJjyaDRoXC/ycWhKJ7L
7hTVP1I0+gsM8bK9DWf8ZG+1wToQFcZhjcQs0gtHWN/JPQkP/4Vd6JOV9Sb7d+L0KfWVqPdLsmi4
hEhxsHiXR7S5SHi4gCwuVEtBWvDZ5xswdhU9wQyWyV1p2Np/OKdACP/x/ZXrNZMSpdWi4RKF3tSe
0mHnjrERvj99f+VkAIkZI1fx+9PQeUeiIv/+on3+/TVDZzkmokpK3GGAI7fz2rJp8jC10U7k2UzB
zqZpXTNVWcqjdoaZOtefTB56mhIGJKx8NXw3koc4YjYu57ZS1sHl9d/cQR/rs6Zp74yiUNQG6zMQ
GQcgfUUBNe1/NOH01OiicXgJrjreFDvLtrWRVNwMqa5CetNct34oiiyyUEPqF4FFEqQmPztzpA5u
OsRPlWGv0WSrXoxmqw9zqx1l1GPJuwleUo3yyZSo1YVprx1bPp4qs5VgAaA3BvuhqNa9oo0Li0Nz
G9GwOzZKukd+s7nWKmHoASOgfP+DRbeogb4GOg66XonfxtTmt0XQ/OIlXjhe9jgDtrb3ua3V9tPM
somh/YAA+TJd7z3ZbfnO+cdXe08amhpDBgQSh3XpJv3J4rXLj7NyuOyiW7VdrN6/E7beg0OV8mIa
YWc2QBmbtsDVdQ+EaG6otp5aD05cGj942T9X48OsqDsRciMr+GR9FfNFaaWsX65ivHkr9WOZ7tUU
tl4XPl0xVxbimFkJ+tkW5U7Vy2vVEWCXGDrPjAY/r97UNPLm+jeTIENIxW301+rY6Lf5dA/TP58B
oVEb4cAVftRm5dbSCVpGO3OvI3Frx5/daNdPyKAPkS3InTFI5VldmFwLwGEjF0D6nYT+nzLr6uLy
aTjLLzlL48a6wYlTU36Mfmtm9x3479AfdMWw27GhdqrXeOU46Po9Mw4xsEVWR3yFQwYofWgi9A1a
9DjnmhsNUxBCdO+qEYjGkT7YM6tmh5UZ86LKfCsrmrlll70XQj+Y6BF/HjntbehWK96UjE+JPntI
Fa6zvn9udRRTLKXTnuMIMWUmCLS6sCey+9KydRyez/LqOFenWS+MEddcrQHGzXps2+lUy+l4eUdu
WkErGF0yBl1dI0MMqih1stREEDCDJDlEUBkXe4Irm0FbWxQIKP5R/5AZSnkOjTcKt9T5C396TmXQ
Fl7XeOl1e0v2DqTtIX0YWwLpmdOYYEVQcnDlHuf4m25W/pjcafl/QNRAa/rDyPIjzoyU/TTVagkj
sXkw+hNuaXZE9l7rt0L+uZGV+wPxiIasGEb4hFYNlG/UvR22uzIrLyMh0815GUcYJTawBzZ32uGU
3EV3M95VUrvcu5ntWlydY3SqCG0lLEpsUaEcFkLtCZQfnN7HYKF+v+zfy8H1RwQ5W6fVwTY0yajm
OjxP9adXCUCbPe6A/rY43c5dYY14KGfFpHLZQm2C+mF6D+oBBy3F1tUiDqAL3yzwoOJZ7uWBbQbh
j4Gt6/5WGZaiUTCwPC7tJHuNquc3o3i4bOTPAxPqchRlLWJBX/0PXfWP+GtU821b1D9KiB407TPq
SbdANe+E+43s4LO5lWukyRTnQ4Nwnwl9uOonkboFapV2hQ432wgtwzYYCf1OyO/iJ+v9QexcETbH
i2Z0ClZ5CMuR1a6uLK0NKxU/oMDpLBHcAds+Dlprc4He7VT5+R+m98zcan/TgZuNFsNc39+bBnPi
8QhEoM2jnbRrb1irTT7yoamTBHbG7rahjTNnt3jTVMvZ7nYs/RmxsIJnI1qtoKj7MM4jWII0i6dj
4kje7hDK/xneYYKphvUPV8EfHcw4p9GwimrMMRxsxY3u9rxwcwhn31/+fhbZeZr2DV0WRen9vJbc
KTl6RC4v/J6NlZ/FYB2ewh5jMMQjJL7Ra375+8s0f456n+do5Vi9Cf1JscyRRD0vyvUflvge1fOh
aN4apQwuG9v0rrMJW3mXLiGPMC2DGYGXJI/MOEL+4c7aq+5uzhlXLQQkoi+Uqp/XRVGqvtcGmNE6
48Hos1NrtXsov03fOrOxcl9wUxWWMcJGzTzTcJtvurrjvXujWJ1HaTnVpF8mK4sal5L2KmPKl8vr
sTOI9R1Lretp6PAOdZykPGgmt5XYdMv571Xh4GOQ5aWagVr7H03PoopCa1rmKpNARsyPUXOH5vKd
4sL2WD6MLNN5thlDPZ5MXi0LMldohk/tfEaybe5hI/48TD+PZbUfoQ0PUiuF8GOTzcfcGO08Un3Q
ddqc/LVq6WdLq52ZMj6rOsBIQANkj01OgBn0Q/4DiOzLTrDBYvHZ0Gq7WEPVEaB++NFizBuAnPAy
vMFmPKUuLm/fkYM9tjHoauYKTPGy+9WVWbC0sygtPfV1PdthnN1revhEy1o42ZQLp21oFxT63NsZ
dErsOHpT/75p6fOvXm3AAmmUCf4NDjQDuDHnnxDwcYHfjOO9hs69FV/tw6yPWMFLDSs+tF9EM/R2
jwkAdunXQIq90LXlxdgioMDl1KB/6A4zq5pkr4+4/shDpjzFeHi29ogAtkL+uY2VY/F2nuKEYr2H
2GzxuN2if9Is3YGkzOup5WmdZ5G/J9ZDve9sYCsnCwuWVLOCgY1tmx5pp3zL2vDvVRU/G1n5hAlf
Y+YMI6yxk0dxy36b+k7Rdvmd6/NSBXwGBUyUbpFdfA4zWaqkg8V6nPn8OQRZ5VVWnNT2Dpioy7ty
c5HO7KyKl01aCxDl/2OnvhF57ZEOSpfAa8BsgTfmdicKbFy2MHdnBlf1oLJUaq4sXoG3UTdSSjfV
xqsJdsC9iEb5XGa+aUBqTh8DYbyYM2KBsfMbNp2fod8APFmgSFlXGGYqKJtiLJ8Yob1+mNGr//Xy
rO5ZWLm+guw2niJYiKf+2erfyx8hVX9dtrHpIWejWP5+dhBltIkKlQzwkPkdoB2nn37ONJjYdNTq
PbzjVo4AFYJ/Z2zl8LzrhwySFMgOwR5vG1Fyh6bcvSLe3oBWATDNoPzTL5OWMaE6rGOzO5f6zwx8
hfakmF+UeI9BcNP5P4a1JmKRMk+0XlmmkCvvzXBnKTRQjFvxNNGgm3auVjs+wVc7ui2tlhUzjGWR
7snxiogv4fD3EBHsrrMRrbYzSRWDEtRbj9VTRG/R4RhX/yUwnVlY7V+0qJMuXzZPK8Uh1GuXPafh
azmYjp7/PTfm59Gsci1a9bRgwzJlxfXUuXl/Gxd2P3rgftu56O95wrJ4Z5upGgBu0JbNlHf2/IbY
a4dHFt305eOcepf37eLGf0R2ZlDQuAMT8kflkapGLZRliRi8TQ53WZpek0Kz6+Q+HSEPVRRo2TD8
y0Y3ngGWqfywuprK3EDfoEgmHMZoy5jj/rnIy4Oazb6QQc5lIAvw8wxBQS2naiunSnaaC7e8f2H3
MvFmivrNujhkmKEZkwluw2EFzFvQcXLAGLizjFtx6tzKyv3HDLc+fTn9a4yhxFig6b5zYG6laecm
Vv4vmTpHfBmIeq08yu5AB3sX1LM3WevFkgYarhhsaOGrrh8aaACFeyprm+MwIDSi6xTK6utG6KGk
TKYDbMgI9OIh/jPIpuSIpunkyCzauJcdcCu4A9/4P+bW3c8SFA7CqmAO4K4awMtI8ccsPhpQK8Nz
yQjaUBi/bHJzFgGkxUUQWBikuZ/39GioNUTrsdFqbrnVnLlTDw0Nba/PdM/M6qwf+3geUtC0Ly+u
yS/j75Fy5sLm+e8oVsf8ALJQKZZjY8a9jIoO1CsgoVTI7RA3b6zMf/3fJm110odh3yUagzmL+Sk9
AfTK9jxvb8JW57wChg3W/7MuGfWigrjDzzkaHy+PY9vf/p22NexUSNrIbjGSeI/T4fK3t7fOx7dX
J3nUZqo6LWmDVeEZVT/2Qg8k83XqXLazdSiBQQjuqy9tQOuunCJsKDFFz46mfJR5YTdm48qotUvD
8lILL4Vdu/dysATI9eF0bnIVeURJJSF1x45pxQ5g0nDjSvrTkNlDCSIS8xB30I7VFXsuxmPKv7Qj
2wmv6pZ3GOi+Iyju8z/BG4YiYwstBNYxxqEYgIrnRW0FcWIqXDkbv2Y21zbVR5cx4VrVMNpWbeHd
no8qpHaj1ybUnudJ7Ck/bR0s579qdbAYAuCshGkQi7YSiAeU7Utt7NF8btoAby9wUkzjYLX+HK80
fe4G6MuxY1x5hXC7/+BNqLH9z+fXyW6YZDXeGCQ7iuRIReSoc2NDc8FK34ikdhLuFHy3Nsm5udUm
KQawCUxjy45DeZ8Ew3ir4nn8v9RMzo2slkXIEPgi5NVHnYlDVqgvdPppVQoki/bKQJtuiX4cEE1b
oO1f5y9a3OdKoykQv64zL0bHg6Lf0XanFLeZpRlnVlbj6TVtLsHYAT5zTTnpiiD2aLLHMW27heQJ
EghRlb8QurjfGKLGqQ3cy8xBc41e31m/rQB6/lNWeU4+Ws0AOWV2VPXmwCcrwEuNYo4RYNJvaVnu
pAebD23n5laBR2mmCmQ2oXVM48KxTPLVhGLGkOf2XL4KjbxOg3Bb9kzEgUZ7MiRbcRZ9yeiF0pAM
mf9QMp4l/0MxEsWYODtO9Wvd5XZUvkKAvjINu6nfL4f0LTdCedoC4BwsOn9Qw/aS14OeUYT0+VAP
31Xta5rtpD1LmFiH8HMTq3xk4nmYlC048VMJheOA3k71N5BKcRsg/qHZCdfaVtA6t7ZKT6QmCpTC
YK2fWycvVHlFK2CoJ0Nhz2EYj2iGIMl1rjeaF5tD7Rc1vyNWcUoL5icqhJ6FMoZBQoznIhx/KTNg
EWGGtp+RT8KRrL6qw/L3kBTcGaqigEjZHjZjb7pWCc9QCxN0bIQdE1BgRaUm3bwx7lg+e0JRfogh
0wPaDKlr6om5E5G3QuT53K0CPiRiiJU1Gjtacfm90J9CVAUyFdD9vceEba/DgxhHbQCtxau9LCmb
tXGE18Xpi5ULWxZPWRLvZEXbnvBhZLWDW6KAHrA02bGZxlNb/gJZe3B582xa0FG1WwA7BOigzwek
VUgZyTpBFcq4Nms7rB4uf39zms6+v4q+dTEZTIVaJYriUDi4a4EdtX5cNrE9BEo0VdUYh/7v5yFM
pB25URdIS2/RmbbHlLfpUPq/X//jiDeijNRRjquIxl8AkXcGLXb0Vp4Kuhczt46H5eVAQx83pDfW
uSnBnmBGhopgPOluXhHfGFNHVYFNkKrdKtT9D/N2Zm7lXKIRmZklqBqb6L0UsfKQGO+XLWwgZ6Et
fWZi8Y6zUyC1Mj6IQaKwpZh+ZWY3mRGekG5qTqZUPwgvfwEYAdHfGEowvZkeL5vfDENn1ldRe9Tr
LtZT3Ck6iKIa4nuWaT6UU9GmeCKtvMl09ixU3b5sdNMbz4yugndm5IgYIYacxXhzQ43oxNHLftnG
5sAonjAI56gyrGULTdFaIQkFAJPR8Nvsv0G4Aw2nVnZnhPOdTMhvkMt9yckeD+/m0D7MrgUHtbAu
47xrcEfL/fm33FOX3NxpZ59fhSJolslR8Bqj6jqHgT8xpK2HXM2Vxl7lZDMppGe2VmEJnUNKPg4Y
SmP+NGbDDX83pLaFTny0NzqKaO1a9LaS9Nd5/W4JY+eU2pvJ1eHBSWfqo4GhzqS6JdO9URWPl11k
y4JJCPqrTeA9/3jrAvddW+RUZceMplcDy2wJ8t/LJjYn8dzGahLxeq6D/m5GOpv3d22GptMZ7FkF
kFzNlwrioyGv7fhXoR0S/SVC6nnZ/P/XdV9nZef2V7NY1xpLaGuER7NPM6cbM3Glddxw8nCeD+Xc
XI8iBgQ7K4RdWOpsU1Au+zlDMzBELVvHgpQpONlUjgRhshyp9lCo4WpuKyx+yvNecUdNC/K4faPI
nadJfzG0IjoIhdRODQ8Ksnn82cyTadOifi3q1l1QFDbp2P1QE+BK8upbVk/93dBmYJSsAktrXkFS
P6fofM7Hx9mqWycN67fZGt5qOTypMUCEvSkq14hH7VZNTUgGRjGIbpdCW6FXdljL8BsA0T+gXNhB
WXT4iSYQA0nfSIPIqLuDVMrpai7oa2tqg6+1c3qbdX3h8BA5kCDhF4KOFNsEM5hH62kMaFwcwhy4
zLDooEWhRYnXmHh+rbJfEzfik17J7ynpn01t/tGWUWFHbbugzRnxOuApbFNvqKMCawONt7m/SxD0
ricy5KAcz4ULbo3amUj3xWJZ6Vv6mB0KWkwoVWZ3qJWDkVWWzB9K+XOyqjagWn0vm3n8ZrSgoy3m
8NvILGEnQr5OLTnOEKMPyhSCurkGJWrLBKYqiTLrwHRk4iqPUrtthHnQCTcCy8zg80WreFA7MwNR
j8e6yO6NYjrIXkx3HRQJnJHpo63VgJjNzQ0rmmuoMlg2RIB6uHIN5m8zw2O00k0gQJSNDxFsXJis
ijvgKUHMGNTwZsxRbMNMJXbcRiCNqwUAtl2r23Jh6NFl/h1ERLWbKTra4/kAWeOmIXYdWepbXDSW
E08TczKVQzJeT05ooEU+LqtbdRx/DzX6u2Je4CEBjT22aArjlDCueaUK/im1AQdrohbMy1tW2bgd
zS7Pn8cIFOJdYg+SBWPWZl7Z9e+8jI/lPDzCOe7ZPHfBPHMsPbS8lUEbvaYBidYs2lPIxsBoplPR
YbdESeHmU21A5l3cJ2quHHLaJgBQxMLjdfIAQGkaDHy6raPqzVied9IIzoQfAJb7XnM7RXnuRxAH
1dYU2vJlAMiyU8ZrQotxUdi4p2Wh2yYJQdrZG8KjSsydrCiJi2troHZ4wUmInbLYnufQjthvA6KZ
6jTY2dQ2flEAoa9+46UZcEi69ZB2Uwye+1rCeqjkzb+SZv5mzHl+KGnzjYEImkZIdQwBZqYhjtwU
Gr9TWt420PxVYjqcDL2BArDWRZAUo7c5mw5K+tpnmQeeZ7+orNyu+vih1hLiNQsls6TmbV5YJ6il
RXbS4009LqviXS2Hq4kAwiRJBVFenRf+tJBVq52qXjUJz53O1O5VsFpTtTi2BooNfQ1qCg7mazLT
WwNM2ErV3aHd6MWo8xu58GSzhTF77Ge8ceIBt+vz7JBSxr3KmgdbLnyWPK26oGa1hleNqfKGSdzw
Zv4RiaH3BgmGtrxB2OnT+s7ouS8HXB0HSV6ilh4jIu4yOtpRN9V2V3TujJ9StVoSKI2i+mM1ewUu
Nmjp9o2qsmXS/u7Lxu7U8kUk45HgnQHh7GYu06fKyvxsEr4s0uemmN1ShXTclE9OkVUHntb2bBmN
TUPm6nrp9/pw0vTyoc01CQqK1CeGfItwnS6V0UGPYxCFjd3n6hPL6kcGHoeGWCdFP9JqcNCrryTN
o1aYdtVVp8woCNRNgH6p6rQE4YMTV086ywafpPQ1i18ANrRj0E3QhXeCLwwUIagoKCgp5MJNkYOk
QoCsImIULTuQzAWJRTxzV1lYLfqF36ID0UUOXImDFpPbEBQY9cKFgWaH+97CrFezuNIXvozaSH+C
MrxyAdVJXDZnoN8b73qQbCCp8CaQbuQg34BsadBGrV8orLyel0b5Xi3lTRh2mLQxVZ28UTLUpvXI
l/FPkZLc0UT+hUdo5k/wMyf1tRl/TFQ7AqB3X7ACyqt56Wr9SQEblY97npfELTqP0BrHw3s626Rq
Tg2pTCcRFncZgM+izN5iawqmahLepHQnAWpFx0zTq05RoZ95aPvmLpVmUCVfKVoSSv4wml91FBMa
yTz8HW+PoItVnZE8jn2BQ/ABGkD2gK68ArJJAvzeM3BdbOiGq1Fcca7hAMqDOjG+d5o/x18zwxrt
oo+zN1XHkvK4vi9o7889jey2bNxmRv/sTEDgHb2NfXTMezVIa92nY37bq6iVN1jPWU5BHKd3SomE
Q6jAImc0Poyk95I+vcFhC5mqRQSjTd5BE595jUqdhoyV21fQmGedcHQERIcOeerErRzctgpzf7Ai
66Ayca+qqA0WfXpVIjVsZ93uwPNmk3GAelkLBV+cBlcqyFpslhfvcinLkN7wplQVbsWmyW9bUTpq
0WB6Bimvxri8ITWCLy+pfhCsBLuohtpbU2RKgd+lP2tTej1P4RcU1hSnKqrwTehU2HqDru8Sy4m2
vUT38tKc7Dlk15OBqzUQRfdNbslfgHsktplYPyGxeVBUSIKDfNbWZvUJWdmNaJPOAQLkJtVQB+I9
C4YBlQUi0CSF5DCai8eBV0GjtMdK6q8szqFbBtYqp0GeFyQ1S20A98hNO0gvymbDLpJsugZ/vu50
mmaBwL9ittK39wMf/JhAY6KcUxqwmD5YKvhCpCGuRN+XtjnpPUpPMvWSkfZePvBXHhFyiEF+Q3Sl
sWMorttEndqDUcnGVkT9pFU4WIt0iLwuqoGsy7lAEGDPOeqBAM9I35x77SaW2ZtVIqeoEFO/QAfW
jXrCbRo3oaNXpu5Mhda6EetUH/w0hQ+WAABnmeIVcy3sClB9iCAqvtVE3BP5AOk2JWWgBlZey9EM
krR/pBMmpDaFo5T6k2RVFERjhMtX1L7MTYg3nbHpbTqipLbQ9Lq5Id9ZqgbmoL/kWRQYLdqDZ/o9
FmCDi6NJuiGp0Og2o4oHTi4nZxDsBvW/9OvZhL78UAYmjQ75iHM4MXDGWrVuXrc1qv5qm4hDpxk+
qgPcsQTu1OmAB7M5x8GGQK3UEKxQmIcGh/cQ+q62Wskjq5hLkxxfT+6IMQYRslo0vGW2ihNyMADc
QmjLNBVcYFl7O2XkBIcJepMDXQDAbBgbV1ZlHkwKFok+TBRbTnrszjTBrbrPe1/JLegnGDgtrPRg
znEVsJw8R02s2WU1wLt5egKd/PexgiC3JcnDpJtZBUmGxvDTztBtI+nz+7Q1QVAUHSSPHEETTwP9
RtG+U1VNfRUlYHcwiOVxlt1gfz/0ETQYZARZhmIgtlKQ12KMHw3UTd2k6WQApctrEuNaYiR1fkyt
Ng8KJaEY4QgPAHbeibUkR8jVni2qfG1US4X8cvEOTvbcTyS2lKYMlauo9VcT3YR2Plh3jd6Wdjh2
Cs6RDI95YW3rbfuFZpkPj0sQo6rpiHpsjoYnrh3IFObOWFvvJGyEUytJCN2J8iGRlVuH4ivkPx2r
6d8TIQJLiMzJ4jZzNCI9ammhjzLNdDIBZX1Fm4wMdNAVk56CXWly4kZDi0wz2cMEdEam8xNh4rYF
NZNtsqR4s7JauKkx1UepGOV9ZQL6jEgOkEgUqr87wd/SpNNBs4ekzkyl4QsGSP8kIi2getp4XIIo
EQxazkzn2OsneqvgUuHEHBhXJLzUSY1BulLDoRvW+o1scHZNFbe8qSrCt5GJRzTQIXUCGaI7tYUa
FJ2ONCOhzHJaXVO9uuHToVc7y0HlhDikQeqcycpy4H+KN9ap7quqEQZZVynOiBKRJWbhlSzGf2m5
Zvf12Act3gUcBRmW14y891Lz/1H3ZcuR40qWv3Kt3llNkCABtvXtBwZjlUK7lCm90FJLgiS4ggS3
r5/DrC3EjI6YqpmHGbNr10ylDHlgdz9+/DgJfbhuGfYJvdAm2Y1x9zhCkMtu45eqQpwXYs9siNHv
dOyQi3As2BJXWwK3P/bQGq3CR2Nqb1FTg/etqKMVJU775OWEBR1PbZ9luMd4igCyGtDSpC3Q3MGK
6uYiCe0EZc0V90nWhiubjS8Kqi44JwUPDJcPSHKZL52rNjoxqS/DcU819Mj79l4YzlWkJXx/66YS
aAsoTDvGCuB1EWlbbDgd0iVEl1dmN3wtekhiF5XhLXWXWEExlM8ZU9tBZt+qsLdwrafbWKg60HaD
DiWoMvUtr3tHt11nYVURaMOienJ4Wvp2BJYys8lVnfQvTSQfS2Wuur6vUN3fvEdVbi9zZFf81mlA
LyrFknO26YsOygpJNKzU6DxHrW37fdzDOQHc3g1YcQ5Fs1gmjt8x46vZZM+CVLvRw0Oa6N4ftfN9
bHKIpQ4oVKJJn/gx9fa0i8UZlOAYqHSIEUw4yQECqQvQYpUHjEJ5yX1V5ki+9z6h8Zbl5wSRjqFy
h6ZmYGcnWydnHbIeYcMeFG50lXbrweIvXRJeZU3Q1nI/ynNZvuMDZASle8wDlj7DG1PPayoyPeS0
kIHmgUk/SmtPyJlMxJHBea6JBg8cjhpUIGZmMlFGXYj8GygzyzL0HbovCp+uhu3wyt5PAzvkCHb1
ydYsfYSgyUPyCrYAW6EBjvQxLI+vcuv2Q3yFittpcz/SzDMY6ZO5aegHW6QoTU8oPrKtS703eCTg
1edtgX5BJt1I2oOYMTlZbORfvY5/REn9WPRIwlnYrUEJcQjfGNA4ITSjG0herT3bCr+g1wviyDG7
Jg0OGFy6ljkPUNCAk+c6cEeRS2h8x9X5Sqr8tmdpufcM1uKWLbpNYg5GYJQ2VrRcd7q8L6QJ3KHi
8rEboStCZK6XRjUuPLORPi/Uu8slVMuE8FnIOt+KyUPhhhfE6YLc7CofjvRHyvPAnEgfuP4evdIg
6GiS9peqgXabkVxberhUId+0XbHGrYCGKOdygkf26eEs/xABOJjlvKZjD7UQtjXEt6h7EGkQo1n6
0D39WM3/eOv/U3wUN7+tW/3f/4Wf34pyULGAV/75x/9+KDL877+mz/z5b/7784/4yO9/MvjWfPv0
wzJv4ma41R9quPuoddr8+OswPv3L/91f/uvjx195GMqPf//y7T2LoadRNyp+a375/Vfb93//AiQJ
pSIMF8V/HBr5/V9cfcvw4Y3Oxb+eP/Ljn/v4VjfT33F/RYkX/U1NGU1fAZ13H7/9xvmVo/cEmQpu
TA6Vgl/+hYrhJvr3Lxb5FWqoLmq7TI6sOZ0a+9SF/vEr81d0ckFuAa3WHBAzTf7LH9/v0wr8tSL/
ynV2UyAHXv/7FzAScYL+OmGMuyiyNS0cH0qnvBafHWhIFeKNanmyg5T5s+Hltc+Fc5ORDD6rVbbB
kDdV0GatvYSY16WJ+6XLG9BnLAjlDQRNNmWD1kkR5B2qS+Rz0EEsXRWF/hjycsUH52sPqgYEHvNv
SMTujNx8Dlm21fhCPlFjvgkVQQGQfV1A+bETCYEambNsRYyi6vbKKN2rKDZv23ZkV22TBjV6DS6k
ygAECufSaprAyTSw4Nza2PVDOOI7jsAtzCYoEEZCfsz0OUnvWJPFIPbF97YhjaABtrSoIoZCiDwA
Kwu4rsi3FUhtk/ykVnRnasAiYY/MPJyDXi5Y4q0Mhyx7Xi7NLA/QLWuRAGxdZ2nzgcYbaFEx1s+G
1iZCfbmMnXwCFON9ixfXk+V1RaKHGiG9m6GQQGof/R+uuhZgb0nJbewBn8pTeSlq6yG12cbJHsqI
4zn3gtEoA6UkMCPjNleI8xmWISoAy0DA00T8nBfZghITIq0CqUJAdtJchvoBstMB7Qxzkcf1BRfq
2RlEAHW+jRN3iLGtJvVZPYXyhbOpaLpNPb0QYb+C4MZt44wPQ/9stFWgCoh/t+3KRRg6JtkqA3I+
eMaOJfZu5NY1TtAO6j7gyAzmOh0uROquojTeatldZo79NmT01nMlBMUQ8Ol0E/Wo7WPYD5Co6BZd
3a3GGrObDcuxzrfdoO5pjyagnO4A0yyNsf0yyPpJx94rfLq7EnAjfPVgCPm6HeE1V0mCisTe9b1B
LYth2xFg0BJyqyBk6AIB/jCs0YAJOCaHEfOhypwbOOqIN9Z2CNCuyd77tgkqjmYsdQvn7xVa/qu+
VT6J+k2FYvewe4A460plaGiBe3kZiW6d2NmVSj9qc1jEWb+riboyR/fCo1BUzECmQdTaDZOqa1nj
dg83tqzxqNBqARS4xtKnfhc+0XGDG2Mt6yhoSOKbaBlLRLLy9Htav2fweYE9rFPW3Fgh3MSebGhG
35GoXWuJECJDwTKtgViBWO719Nlr23QhHdirJ0ccorGshAvepAuB1IJCPBIrtLmR+SvCSRR+CBQ6
dRfMAYDPa3NR6DxoeXnhqW1NDMQaWCDI5tmc3oC8c9nnRUBzvsls994y8xIwWwL0uMCBTZLtkKGv
b+UserQLrDMDFKJuFZpyZ9I29qswBRvZAwhpBCUz/LL6XvMoYLEd2FUP/1f5GfcCpIJviPdAEaR2
VN5rV+9d6FYJhNpef2kk1q4AMyo25FqP0c4sASJR99Li7WWOREU+vnVDfifyl6yobiq9lp3l2+D4
SQKv0tlS/eDA/fWsL3UTPVMgnHGDHtIi2Zhxb/oAQR/H/LvBnmn7Ukbjysmnc3NduOVyjFZFDFJo
5EZ+ie4ZtfZCn4xPDHypHiBvL5n0xUBXbaxyf3QuM6sGzPLaJxA94XuOgM621lTqJdClnWyATIXY
A1D1MNmH0qxYREJsGqtAiYcYg6avoPbd07Wdt/vaiW5B5+9WtQEICdwitHwS27Jij7YeYdUUtj8S
69FACgstcspNVYi1cp099Kd30VjYATTB1CKjY3sB9Au92kd6a0p+18Uc2ELyEBdkb4Hih9ibG4Eu
2JvXh6MPdaYWePp4X0p3Gtj4rXJ1HRS2fEa10nVoh67fJm27syYAljqy8kHyuhm1ALNZGc89/pzv
VvkA5D37SIZ0UZfelYM+LcoEOkFxlBxEgj5EVyHB12lfMhzRenyOxugiI+M3JNUBmXJEfAp5qIWZ
Ovchb2zEYZD5QVKj9Ru3NpblOCLLMBhPtqnfWzN6qeP+PYrremFKqN+iy9lOlqkKZK/VbqzSbGUa
kV5EyR8163/Lr9nHb6qoi+/NZ1/m/1fvx0CtDnSsoKeGAOB/doAW3/J/PUTFof/z6ZN/uEBwdNAc
1oQb5HDTZPAx/nKB0H+BQZzdNR3qTt7H7y4QMX+FJhKygygJBWwEqYk/XSDvV8jFu5BzZ4zDY7Eg
I/03XCBv7gHB8/Jc10VlJHXgp80ZG40RRm486mGDSzK5lznbFwPTq4ohFeV2/dswFjgDcHYAiKNg
VERpvnI85PUgwI+rsZOGDkD+yvzGMZ+F7F9svPVBQtw0cIVbrVjl3VgGDkWfmgUKt6l708Gz2xkN
gDo031xL1m9Dk+7CUNINpMYDhDhAvIV7Bdgywk4urmLTKSFeL15Lr9oXRIOXk/YvFYJYNFBrv/au
4Wz61L4p87EckOR0q43kVbJozD5duBB+2sMXsgNVQwQT6YxiV+tk4kvhDX6lyEdfxGnOLzuWWDYe
udC8TaFH9xzJHk0XodjNUXneisuqL+IHp6h7L4CMWyqg1S3R/lTKmn8REUelJLFCiIIB2qgjV+GR
4ukOQhKrCTU33fAJiK3eVFMPJDyNpQ34vQWwBScuJ80CNKd4kQEYCVJTGTcq8zamZCE6c7Rw5owE
kVXvSTE5DkCo0q6ZWiYnpZ1A/9wx0IYMQFEBLzNoc7SPCxKdsB0aqdbJnTD2FY8IJp8YNtv+34pq
PsU4649iChrq+f3wKRL6fyP0+fMIT/2M/ufDf6u/IfyBTk109PxPH/7j/PNfTZxtdCSnuAZQg//X
+Xd/RXAD0UroRU8dTBEc/RUCuVNUgh6ZDCji4fm3zF9RyOSgYgAXg4d6cfvvnP/PLEgEQJNsJITX
8IccsEX5jCmT2LEWbS7UzqluveY+J+Dh0nNtDo8ZsSxwLafidg9YzWccwxK5ZlzE1W5wAC/DbeZp
cZl1+vFgAX4P7w7DuSNmMBqYYMA8kTedIUF2GcfgB5TtLio9RDJBlF3V3sP/mQ3cy4eQTJpUIA1A
Zmg3kBoYgbmg/Y1VyvVpK9M3/RSWOsDM0H4CuwLVd3zek6XReSk87ZTAJUu4q2gVOrjq1mjFOokg
reqY5wies0L9H/vgk8XZPihiFYd1zaodRDueBHS/Hdbzx6YwEKSojer7aIU2Qdctc6deDMaiGLz2
EtKIz7hyzpU1k4lPNxu+CwIh2DmQrMDxmGC4A0TGgCOPPixGuQuFRCCEskshvvKYIVtPF9zBHZ+g
V5IVtjcyCwvIeJZnkLdZY7Uf0+FOEk8eZFURjlmzrZRBM8CxW3wD5RYbkcJyOr7W5bgqe/PJC+kt
3vtNr70rM3QDOjK0BRIrVGk9EfTt5aV8aCpxaYbJwpXp1szDddeKYMCz1xj1pSiqJQQeN1k+KEB4
xXYY3GUUq9XpTUSP7CIXZw4IuYN7h/LZNFpoZGW1dYc1TeG9V8jfpZ3eIIMFKgTg+6q9IkW+LSmU
ORCCDC5qAIHUOqpAOSAJnLC9rgdwShLxnkkO0hh8ZQuhrec84i4zFiokq1hXm6zPFyZpL0oun6VD
LsHjugnH9hW5urVVgRdQ0gxgBrGQiI+2QwJ6mBAg1YxXIUpd4Gkghm0SEO+Zd51iww1us04TfTeM
Ixzw4kzR2zTo+d5CEZHrgm7AyE/yXWHaVYliBSB/J1nBEbn1pPf19MTPXSrcqcBpQObCEZ4UimZ3
BDi2nRdbebUrkG5qPF0jaSHBqmDrMnW/e7rfNYJsxoKesTvrffjbroUXh/eEcEjzmbMFT4DBVyOV
1Y6OfKetfJs0SJNCQjGOGSgubovMXLdHZ5ILio2gXZQZl3V1D+/gShHzlqGLoGGhYJtba1OY5/IB
R7ejS0wo20FMzp0T+j2pB6ussmrX9AAPoDrC4CPmQLM4fKky+Q1u/YS2nnkMXMwCqp3RcgV197ML
rSfCjTqFReiAk2f5a4OcFkVJ8Omlnl6u+W7Ck0Zw3JHOZ3PsuE/QRKfL0mpntFHQO3Ggum6RmVfS
aDanLR3bt9hOwEXRmwjw7Gw82LJ92se4kcawuq2EtU8660wRGD02GrQPQDUmVHXQp2Zmw3LdeBiI
W+1sou5yN7+YPNi2ylLgWknqJ7n6kg7q1VHVLkvKl7Zlt6Rjj8ou3wcv+9aodDVk47IFzQE6goZP
TXDCUrUwLaAeZpT6liO34SBWgoN9GcuXMIEKswRlpR9pOkGiL2DCGr5gwvAHPSBbXXmoDTO+5Nq2
r+1WfEHLd+dKd9kF1A++QnjG2aHF/LgIvRZ5/FFfWxIELKXQhOr09B/bvJSidB5t+jyKOfr8JPV9
nbPBw7VhgxfSRjlKci8iJCA1tpQGseG0tSOeDDr1/GVtWqiDB9DtM9PmRGOaPfFiZ/oyUfalV517
IY6b+esunPHa64LIyNHYvU786FkRCCM3Q5afGcuxjXt44c42FZrz6VgVGEtRV5u8HS862a9OT9cx
E1DSAIiPHmSQFZyZKEwDiol5VO1Y5OxJCYhWkbvTJo5NlUPRt4ki5wCnfGYibaoxTxuB9df5vrWb
lz6KCTjH1eNpO8eO4PR8IOvBUPj4g9l+sPJjPrhD2SMjbUTlAgnUmzTL130vV7knzgxpeobmd5cD
eV24zPA0cVN+3mSMao8kgMV3hlZvDa3FKvbiOxDE7+oIGQBrSh+e7fry8zniFrw6y7MR+NhoYfTZ
aArVPk+TukXTdoUixXAofDw311Txhe2BkaT0mb3x88J9Njh7E8ukN8LCyPHmJmz044qAsMkvK22f
8xnPGZqd2aYG4boG0Wkn7WGVEm2DnpFde0iJnBnRz+7FNCIXzilKACZxks9TCOXzpOF21u4cM42Q
fACCHlvZRU6yjaESF63EmLkqDfZlpMBPTm/Pn/cMR3yFZDuxTc65NU3CwfYcwiF2w9HVkI0s8TKg
j0X4TBJQrIq7VD0x7xxJ4ueT/dnebFIFcnOdaHu9GwT60LnNA/KuZ7ym40OCx8oQ/TK0p/88pFJq
7sBb07uMefuui9UGKYCVKsZ9yESEUh/ZBnVn/O1bEQODEh9iNQa9xSn7eTiRVCfgZBRM7ZI8Yn7X
hkiegd57erV+LMfnIw4rlEJf3QOWgI6vn63ECNWg/G83u3Ysy5VGk7u11Zb1fWp0DngnbbEC9wr8
vn7TQnttaRoZEpysaf3MGdckbC+Mqk38yhm/A0HeV7HxXEIeGZIUkIyrESQKNsA1qG9ao9h2Inov
5Tllj2mBT4xgXtnVuWVVc1rqnQmebdRH38M0CSS1O7/6mx0ZJ/cZswWlJjjtBIlhd7bZzKGGrQRY
CJ2yWTYBGQycfrdZ5KI8szLHLotDU9M1eXCOaoSGTWSh4Nn1llS/1OhZq9oz3SbO2Zg2/oENm5lG
VSsMp0A7ct7uYxsRWL89vcXOGZntsAFboTeJo6CW3e+d2nqxeXyR1eQfmYGH7aKOFi797LhwKhgo
kqhxZ4O1bhhZDj3o6WN75lQeG41t2SAeQCyTIIL6PGV9WLWZm6fdLublnWZlYEv5xtrujDzWrD7t
t51GAbmhKyuAPPzfZzsouUBURpjeVWqov8TxUK5snj5bNMJd3ppPcaHQX2Z4gC6kDMrYQ7FDDeIs
seKP08t37H49/CKzLV80tVvaCsfLLeOL2rR8pBYfTpvwjj35hzZme72TcduH0OoC1x41735aevxa
ZM0i88aFipAwBkHhgcXyJspRE+JRvahb9CptWLp1Et6sOMqcFq4yvzG0NXNrpL3zrIw3fR+CNB7y
cTGgIZjrdWAPouTGRsOKuHkkVAZFytZW3rzZIr+IKYRCIJW4Ncr0IXcJkmduxJ4MpC8/UBjUfmk0
zbfIQDbLovKuOqZuk5g6SNYyXzjCWY4eEI8y6n0OfndV8AIMStC9U7ddhD0aD2V2dpm0Zr4wMvep
N9Sqsbzv6GqzQCzxpSPFu4vWh5UnPxDfbYAiQfbNvutY5UCinL9FhvORcPqty3s8OdCic5A69L26
vdKuuSUoJjGiaGOr8atGCZL0UHEHodNVhIoJt0S3wRKp0yGyKtQWDDtAEnSZhfFT5jioFGxedYQs
bkz2UKJZo7hg4/bpTcqTe/Cr9nnjXbMeudh6VOSMt3BsdznURAtdhkfIm8uAdQMPUcsDkem8RlkP
MhJIXlb67fT+OvZCAN9iaFoFOgMe1c9nCdIbwg5rS+2q7MIGETp5qiEuKsXfa9X825kFJQopN3QF
dpy5oqOKAWM3HW12Ke8uQFt6qGz23p5tZ3XsCgJ47doUWTlq/qAgHtzaoLAYFS9GtYvbtvQz031o
UIBIeXLG7TlnZ3YFOVEpB8iUYm2y4TJDG5tODpegk5/BFI4dfsD+DiALbAP0J/y8OhVqB4aURXoX
Z+M+asuN6Srbz1yB4Kao1nbfnRN3/NEze+4y4EqFhwy0BIXEszvNsrIyrTNb70AADgMUOwzrwjOe
PJrs3La605W1EjEORlYs0MfriQuw1Z3MjP2k7yDpH4k3HSYfqrM2SeLqgKh+CsQWDF5S3I17L2Gb
pI02XHVs0WvaL2U9QCVKjFc9+GyBDPltnBvJUrRqbWbRosCFwDK2Qr3CliPviOqC2Jdwm9A7XmeL
qMvtR89L1qGY9C51o3yBEBndFGMQskQNrZLcWvRhrr8kclifPjxHTyiw9inDhBqxKd996CMMKApJ
NGo4QWfoU7/J9EdIzpWUT3S9n3w4JGZsxJguUupTmuvQSMkN0pcMWw1tvp5qbrxYQkO+20JZLJoY
wXl0XL/r8wBKz0gLgx1eD9d1xe+JkNcc1bBoGRyuei9auyLdu7wcgs7Rd3bXX7SuFQNuYjdNh0VJ
JOpfQ2QHbBt5UIv2bRAOENNmbqGWCDq/0DoC/UW13C9aT245SoZygRLHtkLGNO/BxxlV+f30DNtH
DxrHAzhRDIFPzKbYbG1TuH0H16UlbwWKMpYtsb8CXi236ODT34rI/agH/VHWxFqAnFctVD+Qq8jl
V17H4ntimkMGErrE24aKYd9GEtxPi+hriozbptZGuowsCnkoG5hj4uavLIIqAI94cWlw9Jxq8n4J
0RuQ62X/XfUCJWTDDYmTTafGeN233e2IvNKZQU/H+ucz6FFwNTnCxfmSRwytRUoU0O7a0Ev8LJto
W6Le2in5AoifrvE0y6AdXQ4/O8vuStP96paoOUP9NwofOnth9eaitqsrEAauNI2e25RfCMP+QB7/
qkiiwJQIXnIoc1Gne5CCXmqpp0qetoBEVk+DqgC3BqT9MwM7upg4Ln+MaxYsSremfa4wLqRn9zlU
wVrLbv3ob0qd/f7YEDxpiNowgfNHDfU9ExYcdTvEXleo/JcLSHQtc8f4kqh4c3qxjuT+EMgfGJvt
UO7WaaE0kIsGFRtozlKC3N70N72uluFAv9OB3/DWvDSk/aVwhoX2xmXqjgE17MfT3+ToUw5CLnB7
aHMxb/YmcSeF/ISGvxBWRRY4oodsaKHswA2RYTWM7MzAz5mbPRQipU1kGoXeWRaaaIXGC52kHXNX
BNBpuD09tJngzO8rak/hC/q/g7g8C5RqA0CAriq906JM7iA+Y/kZUZcaCa/OGK+zonlAGC/9KqqR
W2bnOov82DE/nci/7M99sbIchTuiQHGXaEluIglyPx3sXcicwLQyFDlp49rgsbFqu2gPifrSp2mx
hRQJmHsRNLtQ6ZjW7qbwPHy9ZtUg8ZdC1dcMe9QGJsNrksaXiKnkt9PzdvTAHbwdswMHhQQLLyUB
P8FBNrDLApfX117LvvwTM0hrIm/nIOE+cyIbr0XzJ4lzbXcJhLSdj85THZJU1ZnIb1rln1YBYOsf
dmZbDsiyExm0bnZF4d3yMnxlrL/vSu++6cL3Ias3Xde9kRrCe6fHdzTidBh6805bj0Kf5/MbjECh
aHF3NjvhJU9VYqHhIOqlJW5l39BhtDQRW1Mze3IF+RJ3tF7kIwsXKDo7A0r88F9/mgEGshswblDc
HPb5i6SGx6Q2swaEk0RedrFhoxoLhcZmNCw7G/ETwvNvJBZXCgUmQeTla0J68LN5eFtCmqTq5evp
qTm6w7AiAMocNC4ms0sH7Lg8UaUApAmit1805XXRVntHQc/htKGj182BodnaaxKmfZOIeldClK0I
XwxQldFNzEJV5WlD0xT+NMUo8p/2sTmlLD5PccstrrJcqp02xR0BESZ0odcRUnTnZsa7x8bvp+0d
ncEDe7MZ7JrYcBMAp7tefXVQWFfYb053LgF3dPb+dKNcbzZ7iSEjVCsaaicaVFrHHHXrol0aVn2T
D05yZganGfp5Bv/w2dwfkMZBEGYTUYCui5gSQtkv0YCSA+i0n560IyQXvLoHA5q85gMbwmwN3pOw
2qGf2N4ARQIB+F6h8qlELVbIVij8FTnfZqiVKlhyf9r66dkE+P3ZuCckskw1znxdol7fKwvhE8+5
Tt3iLlbyjGzk8f3xx2yCB/fZ2CDbKImjXO2GXL2YRR9AFQ+18+Z4ZlDH7UybHqHGVCb02Q4X2qmy
slE7VZM3K0M3R2aZX8dBn7FzNJ7hf9qZY9I81soZogFbsQpRtQm1SAlVHTA+UfvsR/qxT84csKMG
wekATdexKLCFzwPLapP3pYdM3QhSq0yerOibo/TCVo9WCqUL9P78B7vjT3twND/bc+uSgMKRAjnu
zJtWuV8tL/4KvYg1Fe4ZfODoMUAHn4kDyafocLZobhqSdAgBq+hq8AJQ9cdgalbQEevGVuZ979gP
dsafkzbdoD/EZdc3wenBHn0aUdsIHSKOSwzu2efRllCwNApR4vqKILUNpQ5gYxHEJkB1Svsd3KY3
iGAEA3Pw39Dr0nSqC0vQp9Pf4tiNc/glZks8sgZE6hR3KJFoXo68kyjOZYPOmOCzVfVk7nas4PA9
xu4S0lnoQq3Wp0dx7AQejGLexyj2zHAkLk66QMM/jzR3QyvXrUNfTps5dnsdmplGenB1Du7UXYDh
AMbJpL+yGVHRNY4ofpVn9sY5Q7ObC0X1thXleHScql5Tw/LdEipYffxYcHJm6o6aQhkARxIKqmRz
Cft8mMCDCpcXM6ur0QSJtSqXfRN+HRP58A+m78DUDI8ZhgYFWWGvdiHtgkoWS0hbbBGOQWtn2P4T
UwyeFdgMoBhMoz5YqYZWI1K4yHOxCgUGoEDqbUJemrOat8dcHhco8x92Zmd47DNv6jQFO6gwozpb
Je2jRBWAm/vpcCaUO75Sf9maHVW4HYBnB9zGOUdOlMqNzY113WggivGZ/Xf0PB0Ma3Y5tvEQ87BB
Ci8dVn2SLy2+Ue4/AbaBlYLZhF3nAkL/vEZ1K/umZTDiZWIRig+YBHKyOr0Rji4QnGwTPWHAXuCz
BSoRYkdVj/tNW88WSjUJ/WCAftN8XGgoNv19YxNvAMoDqK2xyGzXIZEO3Q0G18qO6oXVSSiUxSso
UqzUVEo4nrH2g1c+9xYPzc02BOvraBQaIQ2N+yXAt4sG7Aw/JHKj6wraTw2g1Uomm0iqdxRMj36m
QBrz6is7BvJp5cmbzc2rNDRumQGWomsmaP7uoEka8lzSd2rq7KVRvY4s4ktFi8e2aJtNZY8O1D2g
kuXCmWoGKJI5cWkjNTVWy7GlyQpgwHPTxeZFbdgRilOcZFkU3T/YoYdjn+1QMVpD6STgKwn71mDl
1k2hPtKeI/Ec2z0HVuYtRaVjNHTMceQiY9fVL1BwWZB0D4BiRWl6ZjmPnblDW7PbsdLEcBWPcZXE
zcqRqHvi1RYq4Wd8rCNkXcRhf23SOcTHZaZZIpA59xxW+4XXXZoUG6V2c/NOpAQiCwIUBNRsfSFG
gQLMuG0WqCJ9iOr6Fqqsq1RI4Of2ELROhXPLhh+86n9wfx9+ydkDOEAgLDFL3N95ZQRFWy9K8UK8
qyH7e50cf4PHDg3Nj2xbNbpPayjAk35R4YLwtD4z48fu7UMTsytI6q4umqysUF4tvAUp+8BCnQgp
5TfDLtanb6Bzm2h2JfQFpygbxXBQFi+msq53GcZ3jX2u78YP0vSJu2dOc44TaHEmrg0iST6JxHJn
44TNZeNgjaxsmYNeYkfg60futvEaCPq4O7C9e1+R+JqVFDVtkNKEQmVcQmI9gfiahB8FXagdKVGG
enpOjs8/+DUoeUQ5whyBDHWZCKhsVbuwt9dtug/V1htsH8Do8rSho1grwCWUaOPyRwp15umm4KSw
pGHgfhfQa7buLZLjmgUfGfV8KunWKOQIdN4ESpx7sI+OEf17LLBQUcLuzq7DvM6ctFQNXh6Vf8lG
dlGC5Vil0bPKipszozzK7kKnqD+MsdkwI1u6RlgqtWuyxlyiIRwUaXUJsRYjZOmiiVM0VpDjZaOh
K6y9ZhNCJvtSxHVgGc0qzdSi7pogKUThi7G+z5Lk1bDcqTpee35cZus+QokGpbtatw8QkFlB23ZD
8Natba25n4R0zTuCfl7xQqckfHUbZ+Vo/dGMKPlXJLs3I/KS91AK6AvC/VKiSVvmNYGlyKpOxqew
MLeaJoukN18VS98dZd+Yjbocy/o7TucVqBkbpdXlkIZXXuMEeRkW0IWApENWLEVhPdbcKpHyKW6Y
5ZpBq5i54ADY/JjEKJakyYdRJvpqpKPPS2gCOYwH+NILNDx9ZLVTLuiQPyfeCNUlOb6aNbQrksJe
VmDl+XkIUb0hFMvMBEklhRgvHMw91GBvoOi3dDWkmsD93Vj9+JaiYiKGZG2QpCJdt+jWvujiCp3n
qxryVMllUUFWjGn+JNDRIvbCNU/qjUcgFoJeK3dxUu5L1N45lO9KL76mSGovkohAs6tKAma49hp5
0jVe9XKpoeRQ56gTdyCFkKFD54o10RVVEK+XOESJ48YB0mCQESig8ZEKb/Qh1nOBgvCzOXa4hD/d
OhTCLiAXWo7l0c8uI4QdIqnzqZTDJQHQ4teQIAQ7vb9/YO6njMzeHriM0gJvUe1sVxTXpq3qRRaZ
H6Fqm2WWka9d35oLwocvnvbWENKf0lc6AK+uxlfqQZcnwWCisQ6xthXF08U0fCT4YfKSxuJmpGUF
egWEksxyO6jxvvDqD28g61FBFpwa0bIywn1jmB3YtXQdW80FOjmuI+gxayWvckvVPiQGxgBCYcQv
WLspRhlBnD3Z5rXeDiKpz7haR+4WAOZkujwRIZo/OUFjbZS5B8cEuyuopRXEpQkRjr0oz9yfRx6v
CZk3J+wYazu/qGPd/y/SrqM5bp3Z/iJWkQSYtiQna6RRtKQNy9cBzAkkGH79O9S7vp6B+Q3L9sYb
udjTQKPR6HBOiVE2AzGd84r2IRcjy15EFt7wM0L0c+clhVlKHNeN+GjbsQwPY0GJl5faLhzpUtrj
I9r/xY7O3KR+aawx0ftMlHgbhl0IuBMA3bU8RNtVreSbiLC3vFPXToz5kzDXsZvdTWfnO66Sh5F3
rygaiD01kyf4TeZdt/ClJZCSsNSumZI5CEiKTNu2dvlJE3C6UfDlupjZ4PnssE52dfYGr3SjZ/nH
e1U1PaP5VlbjeuxqDzGumylP14XN1nfsM2lSlBXVIARVHMygodz4tWz6tRKD4mLs0KEn7mMzKQD/
iesY2a5j0Pa3kan49hCf2sB8TpLgT8Kwsx8jhWEM0JAEyM4I+crwZAA2A/xhT71e/EmUTNGMj/qd
SUz5ZI5Giix9jJOZAqs3BvpNQvk2AF14n/9JQsUGvgJaYDWMhsuj1LmIUuDQjoj31BzIvS9V/qZE
e50ulOnmYwsLAwbQBhl7uRRvGEWVxQkGvdK0P7DQuFNQVXTzrH8lokRvjdiM2cjcLuu2IxG6q1Ig
iRfiS61m73bRvzCRaR7L+JGCTcxLQ76y8nRL2wTowGq8E1X+xNvkJm67W7T8LHjK+QDw7NdLJg+m
k6ExOAbZFPxoRbyOuuPF6GR3OPgEkhhI50CpHUo3xHDadfufbr5fnM2ZZMn8s9IcmxZN63sgbjxZ
ZfhgNun670RIRo2OBaZ1BANVRKHPIVVvtDpc2P55LbDv+sTQgTHsS5eR2rUwKzso904TvOh9/KAL
8nBdi9nEvw18N8CsgAASSaFLGVkcaXY54tCA3/nzUIhbvc7XFc//iUW9Vlp+iJxwZaTgfzbF1Ibf
/snAztSOAfA/NI8SuaGT9RWLaIQh+17oj4PN7jjwd0HK+Hpd0ZlrG+RPVEcj6gTaMsE/nLvfgbFS
KQVOUhDasav37dZWIjAlmA8KwJ+uy5pz9ZNGkAIKXCQXLmVRLTABOAfrC1rgogIYew2ggW8qo9ux
Y0+ts8RjNHeDAXRzaooF6iUmbS/l1VEbN06FAcKYKp/DHhh4AHM0BWZ6r+s116KEviD0J8LvOZgn
kA40GVqFAIgJ6QFMwBoV8OwIiCbU9p5p9Q7R7r2tKCcAjx1C1VjHtvmQl+0z7yx94XjP/xACOENA
A6BlQMaYYJgqN40W/jcL63dEaycdKMt2XnjGYD2kqbPCoVpxWr4XHXkQ1fBSGIqfo4/7+oJ8zKJI
fgZlzv9+h/zE7TBAko7ADNiPef2SgB2jSIsvBmerXqDyYoI8hYYJ8riGgSeDeAfUgOWWagGgQuDP
d2TfmaHtNmKiBSDct9m4H4BpifcCu6sNAyTvbFVpxasVAsBfqPRB7dltmFdPCVpbPVqByzflyjZw
IjCQOOzOrhV0v/N3w4puAqcGUJt6ABIW0pEjeppyB/8VkRboBG77MQY8YNHeowwRuyIDj4nVAqtc
NVw96L8nNXkNh+SEfc4x1Wunm7TSDmLUt2gbuXOGivpdFaBBrCEgyRy/dkHgJxl5jYDbZ6YNZtiB
J1im5PdveIKhTwPT9UTF7Lpk6AFA9iNAGSCGrO1tqKRbdYSCgCO2UEO/vrUzZ+pClGTqZRPmmlPg
7oLuSozHIH+0tXx1XciMg4cQxBGag7rShCFz4ZSAT1QCdgP6xCrYkbSk8hQW/UEZ+ULI9CPOAk+0
NfaFyhEK5hYQ9CuAY7K1irKmVqgLfm8u6rwQJe1PD2JYnalZve8MDjzzZAhXUaE7Dzlo/jxRImFg
Cu0mBoh60eutC18DVofAYzWQpgx2ADP6Qs/DdAnL5xNzShouT/yrfwCMnOkeVbpWa1NIiESQJxK+
sjNlY5bWrUYAIFpzAgxKjL5c39U505lgTDGljkYvxG6XCz6YoNpuW1w1ZYwedxo/dzW5R65mwXjm
ru5pEJqCP8LBDapKciJMmgCeFtlNAhoq3Ui3hq7cNUp/ItVwakLiG63zqgCTMlOClRnoC2s7c8sR
FZ1jWFXk2VQq2VUYV4qRVw7G1jPl0eiB5JkW/EDH8QBwAK9vlma/550+Jj6mHnkMS8tD2cwc2ros
B+hL7IcYhZlCD4+1Ifwo434WtmsV2DRBze9y27jNIx3PyKSAw1oiFpvWVTYqAECAOw0IRwCdkCI/
aph22hcUNyDAwwB5sbYG8VTVfAOExwUiv9k1xogxwHFtEAHI4N1F3IAPPENeWal2eQoWEUyCk0af
4Ao3qvUHUTOeM1QjGBIwTJy+S8MF0BvUMnG1C9t8FKW1y+v++frZmMIsee3OPbiUBUgCpOGKocOk
gyjegsGucDfqD6UG4lqDvgU0ewM6SYwxqWrhtMxt2rlgydXGOKgcnEk4lDp4zLI7yqlb9A5AUZd6
fOcyHRdXh3Qwctp1BY+QMdPg/0o0pgeqCRqPDJ2T5JuSZ6e2Yl8BaspdAaweplYA/abpigNOA+y8
/yRM8cCZUv2BV0K+H2MAlqpptowzUFA9aPoa2XgMQWxoiqRLdRdUS06JTOv46wb/vNIkp6SK1oQN
4QpgLZLSdTtuUlNtH5xKXYFUY53W9Snt2INqxg5y5f3z2JSPQ6Cs0MauuTQZ85XTYKpv7PN2LUBP
su5Z99nQ4vgWfXzxijYMJGgZpoTG7k7UYMLT4idAq2+Ymdi3oIkAivmE2GHirbHrFKM6ZqL/BIyp
fsGe/scu/1RUemKilS42gnQogaMDrkAx6G8l+FkqvWihhgBZEohh4qL+pgcqstRJHrrm2G5BY2Wj
qYgdjah6J3hz7dqxXWolmAzslz1AWdNAZIrYWG73AKYJwiQV7wH0PX4xlfo2McNhwZxmz9OZDEl9
Vhsc/VHIPXelcdAHdWuBOS2OwSXRV+pCuL+kj+RwE5FkgE2t4Pjj6ktch69a7/AFfeYiBbT24Y1o
o5kdE2KXvg/jACQFHh7Sul31HY12+yoSIKzs01dei3VV1Z+LbNxcd4bzegGfagIkRanKuJTJS5bG
iYUML5A1X3UBQLC0Xbikp0/8ago/RUjb5LR5Oipah23C6xNz3SBlSpTtkIfNwvpd1wVP7EtdkgRn
rzfCqR0HkMWGuiaBcrq+XNNv/d+6GKqUqqD9YFhdjip4Nr43hN5W1a7rX/oYtEPd0qT7xxm5Jky/
1AdRLM3HKV2L+eab6b2Ti6nvowQVW49SVuLEgHKLte1AGpB4CBaAcyZbd7g9PaGqh0bR/NYSb2MG
9ka0jbiFnYEIrcaUWyDuy2rYJFm0bQhAsRiYLyfwhpEtuKjrew8kxksVHB51elmrU+AfbyO0Nwek
P0Zj9/tZKjDI/jAxdG5eigl4iWk6APTvBx6eRFC+hSrg7K9v/ZIqkgcww7wwzQKnU88A3B/kz4lV
HkMwbf2dGClJpMU8KKoeaGVVCczmwHwIGIiTNbYELDXrbCZoAw2wwsi+SZasDoNS6BgD2tdqgzlD
x4tEuQtREgmp49WGvTdRObyu2uz5PBMpGcOQqyIkOcr+laPdjVmw40z9gyczUGkopgIcY8oPXRpC
H2FiozRhbzWY2xRM/pdBcgrwHrmuyZwtnIuZND170zWsRHSkwqXpXbwZwEbnEntYszR6ui5n9n2l
Ay9aBRIUUFvkJD/Q7XkhAK0IwtXA73q6d5jwCYhbqih8VqL+sbGcPUMwE7SViXK3+s/1HzDn7zAO
A/Q0XOR47kjrGUdBUieg5tqzmn3qk3ANyPITN9Dc5qSrPC6218XN3eig4UOyeUqpUWNa97N1VbqB
dE2A28hu45ug5S9F278ypnpDEK2ui5rdwjNRUpAYayj7quUUpinCa1RQr/UpAOfTJYSP2RXEFALK
pxhkRPH+UqVEBaxQ0COJ47BhRQtQ/90TrV3ZiepZdMEsZ5cPu2QCagEpHfnV36NxQZAWZmmI+ivu
3RuVgwlTOHdNai68CufOsg4qJ2JhSg6ZTuks22agxXU9XYRGte07B3m/fwGl/ydu47w2P0VIhwwI
9zSLgWSxBxfus9J3K/T8PoHR2UF4JxYMb84bosSFmQow3+NtL1lDmTUj+P2QxxhjdXQBycRcYFee
RGutuBndJ2B7J2z4ct0E50yDIGsyJYXQCSVnbp04LUhTAD5rYOpNBfpHi2teAwreslrZ3dKbcFaa
A8A19AvgQMu5EicCd2oa4WwNaMERMcARh4mgT6M73TIfnUh5ua7d3AHDzPIEielY06DjpeHnNK5o
QzEBIGpdcSPQSBqB3gNJzli4/Of2DsASmByZUiGYxpEE8dbgAcNJjg1jW1ThLorSdytofdaNr44y
mi446vzrys2ZP8yewk0BAo3K8EBA97YCsBXXeztkNyCffmgC5e26iA/EBTn8Q4EXdgECJCCESUdM
T6uh7JjFAXiFPj0xYjqZTQzKVrMjRnwaEw7qCqD3ArrRNXJ7z0e20a1xHXT9UxWHB5Q278YiRRUk
AjxSF9tvtdO+WXHpa0bZuG2Isc4ROBc45ZgcWmWkXhfgNOV1DZpQA6jA46bInZPjiIfQBPCkA+K7
KNFjF6CEiTtYFqDqS2dAlxggmJWA6W6RgIbEwcRCGoNVxAxJC9686jHMmw2g8E7p0PkpiHHR9e1/
MCyBLtoLi9EHy81NCtLqBjxJo8j3yHm92yicW73yMLTVXUGBU9Co72aoIc1e3ZR99E/GlHtb2C2g
84ONOtSbBL0DqYPmkaQDKWf5Bz2jSI9P6EXT2wz4JZdWVqPMoKQpDmtfAGm/K5SdjjYxNUmOoPcI
Fy6nD/uR9h4Y8Xg3U3QRADhBkgb82BTDJmjoSxS0SKgxCb5kvQ7iYUIPMeJ91yiCfNcYTXwElDKA
LVSWcvC5D82bcED0jhml1woYIW1mb4mO50lSK8UGs9xPpsIeajuMPIwVfUGT7A4t6vormuButbSM
9zFoalaWg4aNzAHChBkYPqaihrVSlqe8NpFnHB2vApWf08LsxjouPaUib06nc9dSQKQTmFr21Bkh
d7vK1IEKqJwIrBB0Kuoupi1C2aY/pH32XJXjS9kUgVe2dB/VvXYXqs4uapHJMAmIeFRt26imW43W
ZwLgisRYwhiYcVATHLAJfh+g7uP9e7mjaKNWm7xDQJ+GKaIAbR03/xjRwuN3rgEBCeopgAJeL3LG
khR09iHjhf6Jfd8jRcwrgDmxET4e1VlXqaNb2vNvORiywS2alytSZ+GCq5rLWU8gRQAsAvmsg/TC
pZ6EJR3oypxyjxIMYo76U2mwmzqqD2Osv/OyfiKqBnKN4S4sygPwco/4yg3T7PV1fzbjMvEz6AQt
gyI/xvwuf0YNDnoFzaG47fQO5NDp7QCGkesipk/IpwYkVoD6ASYuBuunK/AsfHRYXvUqOJ9wiweg
6W2Kz0oOB2kVO6bUS0d0ThayJmgaxLNWlweDrU4oTtAg94Z5+i1Rsw26MJFt1Y/gp/4TtVDGx7tW
t5D1lzYQKOJtUMClgcWj9pt8OAEwfMPo+EQzZcFY5jZpYqf5IUp6fVqg306NGun3po2+54I8N3ho
LDykPyDzf24TIo+pQwDDPxP2q4V+ASkycABC3yEWwzsw1DZqlL2mAX0GoReIWAe0Ypbc/syq4aF3
3nIR78asfaJqAO+CarGivyhVuy7Lz0QDJZzKdlr6MqrqzoqCVaOqbpHnm0zT1xrP3oeBuWY4Pv+O
kX38eozfYugL/TCoaslGllixlegtnpgACag3XSkeq4o9jEER+g7grRYW69KkP6QBGnAKbpCiQ1VH
WitwsdKsoV25D0W/DxuwaYM/mhnfQr1esLLLrZ8kIZYBoqKGBg4dNESSpL6rNNBtFv1e4QVmXD8X
trO5vnKXDvdfCRhaRmYOoPSqXEnKnabRatL0e3TErjRAZUdgpo4W+iFmhQCZGS0v6L+zDClqQraD
KUDrwLjuoK3N6FRW6EMBnel1VS6D6X9VOZMyLeaZp+Glzkc9q/u9Hn2qTPae9GA4IMXNWNSPLF+I
BH+1AezMmbBJ5TNhaAMWNGHYGdO6RSe6B8x8htkqMIpfV2pJzvT3Mzkp7F2pKywdxxhZ9G7QAwAK
r4uYXTcQTOFBbDlwmtLuJKSKHXSM9/tXQhgiTw+c41pzYy3N0Eqj3P9u0JkgaYOA0mCaKXCu9iU7
TC3/pvNI3kdtQ6xXqp3I76H//ypO2qLSwMCzDciGfbMtYy+K/YitHPvb9cWTYolfpUgbZJdREo0M
ZIulqHaEtUcH+WeDBj6czxrpC68bwHms8LtAdX4rtfBDNJJaU20CHEXSHYQ0QJCBNKvfA7jx0B5A
eHxdNwmV6FcB0s3TMASzOcYm96MOEhHyROt1m9+OgHgr4wN3XnS9c5vmNh53bXXslCOAK7zrP2HW
AVr/qSg3u+eYf0aTP+v3A2XvI0ZEhB7dXRcxb/4/RUg+VrObpEtqiKBipyugbIzvSv0A4jH0B/+l
Nrp0mFEviIcgxEmj7st1LZYWSjrESLUrtg3OyH23Ul8wavR3X5dObkzAxQZGORj5a7dq6t//OhJW
eL5NhCATTfjlsoRdUxtjCzsGO6+XLGzvzMJcfFxac6EPCUghsOa6WuRubBWfeoTc15dnxklfyJAW
P+QKV7oKy6M+m/VzQxtgtqztdgmVfOYaBeESIoEJSBXE7dI6Ba2KMdIAYrLyBj1oXj6gtvK3QqT1
Ciu1RMkWm8ELryvWgMwkwR9caheKyOvVDUXSTYrUYX0M2HeQjh4jcGoSZvt/sDNnSyYZriMyngYE
ktK6AWXyRiPgRHnDa3zBAmat7EyOdNcMncUxnwIrS0df8Yi1uq7GjI+6WDDpkikBfybAXtDvW+2t
D5/Bu6ugKaR//AMpE/0PWpUMvEpld1+msdZRgMz2GJTyMrGjhmfEvq49X5czfefyraGBZ+8/OfJk
ZG6HI2jBsVhAAh7JFhWLwHdQVI89R+yKpVTkkjTp1GBWUI81BVqZ2aEzwFLMkFUYW79jtdeUK+B3
e12pLniduVjnQkfpGBG0KHco/0LHclXEXyZcTPWgZjdW+jkC+bASLRXaZ30QslK2OtXYUNa4dKKZ
bseBOcLSOV0jjLPSDfVLunCc5tfypxAp4sjR+z3aPbRCUApc1teBvmauqn1F9zcefpv+7bqhzDk8
ZHIBEgFGKrDtSX4iMPtYs6arub0H+EXziRm76wLmju30agSSpwY0Z9mj2hZvW4FU3J580qlvk4XI
eunzkhFkaNPEQcPnJ9oPr17Cv5lbnvNfLy1Pr1n/uuoegLqDm2AYkPOFXNncjqP2B/ynadoI5fxL
s2K2LQh61XvkfzdZe9RMXyu9qAAa8C5qFuLZWX3OZEnWNZb9GGUFZHFtXXVesELk/Af7fSZh0vbs
NeVYZZa3oMHYFx49KV+vf/z6z0fj7eXHY+RH/t9JZyB+GaotXyq+zd0CaMCE8wRPKbSYfsDZr6+o
JVQ+TuZUkbVtti6eN8jhdhuzOFrhH2wGEmnoEkPVEpsvGZedNJw20+NieFbEOu+/jt3SiM/c8TgX
Mf39TJ8MA04JRZ/OvnLXSzHl3Fqdf1taq6ZBI2mfwx2KNdV7T3jWsDLYa9Ksrm/6vA4f+LzwuWjJ
vdTBQZ9dNTpBt89MjxK3YQvNExIQyccbjGASdwIAngTIcHapqPBAiXB9aRwlITAaC6Bzx2O6Bxmc
zzTmxw59Cc1kG6XGDlCsLgv1laqFa/S/AxG98jTnUJNby/w7xeVelbpDX0c3Kc6PbFV/u76qc17H
RpciJikx/QWqRmlV1aDF7BI+PjDujki/Z8+A0wuMOzre6P2CsLmb81yY5HZEUpiFKCCMkFVgrqLo
xYw9kf9Wcf7ffQQ2B1LgE3+ADLPYmkxtSWNCpfHIK18n3vUlmzXEs+9LIaImlGQArzeCt+yuO1rq
/d99XtqR3OIs0Hob/FmVK4BM6/7d56U9KEcKjqcIn2crj/l/8G305QPT1sEzX05tV2mqaBmaWPa6
d7uQ2PwYtZRD2YnL88e3pRveVkth1AzfHlHR9bm6ipIEDCEr3c++dEA3613SeYoB/nC3/xYk3iKk
ycy2TzMWqJeh7QMMotK+CFH2VYvy6r5vXSNxFw75zDm8+Lq0LSGnmA/nWbfHOMtdW9lg9e2ZGzup
2ykA1ayzb2C+Qd+TWLh8pPrYx2m5ECy51TjWG5twqFW16ZOdHqMJCTn+kotjohfHLi5uAm54VkM9
VFRvu3bXxAuBD7Al4WSkvUX6HY1rQIrR0QEl3YCO1dfJMOKZ4rRW5tkCTC9G5xlV/TXj5FNHHGRk
0Q7g6jx51pzgpaQaFqiNv2o8fkUfdOPbpT2seElfbaVB6C/axHUUErmtajx3JflmsVhDXi1/qfqq
jFxrKHPQYtvPdWCbfpaRI4CtNqkzAEWUZM7KHOt/Ci38isb5uybJUxcZge/IAd4PIMEIOnMbOsmJ
GdG+CcSTTVN8kah7DrzOAT9PpaR2C+aBT6DD0ODnVrE/YyDwe9vwF63O73I9P4V1BhKC4cCJcuIh
BhTTYtMVAGAQ5jvYHDKMZofP2mg/AtHvjRrhetRNxUOK8AhOJEDQm19HQHSvRVCvkcNAUSQYHvPQ
2YRBuSPI4AWBVXl6nb4lg72lCYm22ZDeOJ0N5VBxQcIB5HipliheY0bKoY/TDkxA+nOpEIoiNfpI
c2F7Rl/aLm31wI+cDOetYVG0jnPjtsIol4vpxQCxMCAU1FJRdxgvQykek9KumdTRxihq21fSDswE
4O+wquQJ2FaPpK8xqF3QiWhjVUwtP0zpTpFmPWNOAxgqQ/WAqHGnCU07AKBhX5UaZpK1U+zou1zU
r0D4OTZa+MR1gGbbKrqjql3WKplPqLJJNEMArn3Do1UZhAAhaaN9YJftChMer3kEWtaUVl+yOgAl
Qp3dhgW9BwmTcM02XU+vZFNE2QtzMsOrrMFZOOEzcdKFkU/+5TwGS6AfyCXhHIG5UawtT7sFbM/Y
LL2HZy7ZCznGpZwh4OCfVWyxHxG/gDIA+FVJnR2GROeeUccnVCWp28fGc8X4J4PEBKYa7VNdHVAm
yA/2mOXAAyh0tLsMg/7w2zcEfhySahP8OgJ3ydu0IYbQh8wROCuAIYCxbUmjLARyc670TIacyTZb
FD+KOhB7QCLdFU4fuX2BAuvRqj517X1ljZmLFtqFoGNWKOiCJ7ZatK7ImVUcbScrswGMacR2AziE
ourcgu+zZF06h6RfEDd3GWEM7z9x0m3YJMDMs4exA6EhudPD29JIF7zyZCa/+OQzCZJPtniJwL6C
hErdNMVTRGPXeL9uDHOpGwCFQA8VaYdpwO7SVCtDT9HTpnZ7ZzgF/MEJHxLF2Vo29SKLrNOx22TW
s0maVQXeIT7S9XX5syrC28GvIcuryrXsyDG7PAYFz55n/hjcKey4+GiZru1fVvFMhHStY+BKDyl4
0Pf5zRABmRJctqGXUS8I/XwhQlrSRlrMYDAyYGk2yL4dI7xRgOW0vb5cszb3Uxe56y8gsaLoQnQA
kfG0e2sh7JWavf8/EAHb9o/dkDNE3MrRO0OxGyR55zyBU649rwpBH7VR+DrXN1GCMb2lYH6uqggb
/ClWOknDYLbRkHXdXlGq575W7hOrdUfxlI2vuGAxoQhyuejOMZbmMGevA8Q76EhFZuqXFEOLSgyr
1RqvTRV9Gmgrr16d4IYMOz741/ftg7nhFyM8EyU9WBptZCKoqm4f3pD2tac3hQOoKb6t0nWs3gXp
exneE7JPsvW48FSatckzyVLMHKFTuzJYiaAdkFPIN/m9avsZ0RbEzFrmmRjplOk0yaiGwtm+d46V
5ZPs2/UVXFJDOlppZAqDpNgrPfWHfbAFM85fCZDz9DX6hMK2gAJt6uf6jWrtnMVxyclhS1aA7mAb
nhaJLVDqSdl5oyGjqMwRjNNvyJo5/3QIUMt96qxNoKwT7tExcMvedmviXlduxgdeCJZOWNQGvE4d
CK42TntL9UMW7kvVbQD/u5QjmjvNF7KkWyvVrRhzrZAFJCpXaIGbm3dpeiqzL7YTeaWxsG9Lqk2G
eRbT5e1gjJRrCDXAUuiD4GxwQ65xz0544XZN2KzzDuMxZr44KT5jkheKTn8/k4wOpizHaAgkvyqf
7Sfr6/U9mwkiUSKGX5ritCkbdvl5M1VUg1Y91lF1x3AdKW6urZ1uc13KtDy/mOSZFOncppwpQZiB
EXX4XN7qC2Y3lzG40EE6tSHaX8s0hw7ITRrteiw3arsdgAPTHgU4DbMNifeN6pXkriU7MXZu3t5T
9GUNcPt/pafca+vQTrT5IMQ+Ga2nmDobrdQW3vGTMr8sJZoK1YnzAxNE0oaNY1ennV2JfbmLyD3p
D9oepVetOFj5wqZNX7omSdo0oud2qoWQxJKvHI3m+Ek+WnpHroMzbAnJY9YOz9SS9tAqHL0pg1Ls
a+XAQHK31cijtXCIZ4/STxm/9CinVFCwAADesEJ0tuKZ1ywVxxfWTH4dRHnemIDrEHtkIRrjGNwk
O0s8ld3CPbikieRpAVIUhqYJTbLIq3X1YCrrMW0WnldLQiQX66QhBttT6DLeNS59ChfMa2HHdcml
pnoGpDANn9dCUI76xACjxer6cZw/K2gcnGhkAIg5aXjmO0mt5QDDb/EIHVz04YNeyHTpmN30QeeH
+eBGgM0NMNpxXepcps22kT78IVYKw7AzACmmHBdwgP7P2y7ZJdo7vy24jylmvfaBXhfmqwHYnLvr
kud3DNgl6Dk2QV8k7Vhj6hP7cCH25FHRXMf0F8xufst+fl/aMg3YyGMDdK09gF5Q3O3tp9QGmMbX
61rMNE5jvMn6KUbaNl0Dv3XF4Asw7xm+9upaaTY89GrmBqCJudH2+UO8Tdb1ZthZtmdFXsPWxZq9
Xv8Z80f556+QdhHc3X0cFljMUPPJA91VvrHJF0xlNqw403T6DWcG2nMQxzcEMkqgNYMBnW/pY3BX
kJvm94AqPh5dgLWhFlAYUStBA8ClJBCzN6ZZYeuQeTc8FfjoSMoA0Pn6ms0ZyJmUj/zvmT6JbnJL
qZMpAtTJJ7Px+9gztWLBDCczky+mcylSgBu0VNcUEsMMj7n3J5fE+ccl19oUGLoAQKfYB9kGbiME
SfBi1+7SMknntDSs2ogxxLpXuvIYhPWaRrpPyh5Yen5Ev7LgKQNUbcNVN0d2nDhuk1QrQlGkPHaB
seAkPyYiry2ndKpF+MPPd+JZdRAegQQRyNNBi8GnIElWAAAYJ1IRvyPB6EXjkAPWnHerfuxWhpIF
B9CcHCp1YDvADOfriEfJ99oohW9N0TCLK+RCugTYo4l2Q5JgB3yGk5MMQJPGPLLXBDw7iDYqNlGU
uEUBMFlwszzxFqN/Vly4Way8kJIam9EQuRvgkemazSDcvADNiRMWmmcmLV9hIjnznMJ442WycA8u
mZvkjgClnYR6i90CBE7uFUt1uo+I7df1BzAdZh+m8QTJCYBHpXWGOMM9uza+pMYqSbe58NISWUXw
uLjkBvj93ohCh+5sij8Yh4Bf+ClcCvLAchHmgPqAl7uL/CV0ztlX2vnXJa8zRLzSYmD07DPM86tl
eSgZ87iaubx9HaubCvl5kO1uk34J7m/OeZ8JluMwXsei6zoItlyUeoy7+jWuMQrqX3d3c6ms89XT
JWeRpCkN+wJi8sgNnpvIXROgWXCXrHvftrbDuJD6WxQoeQ6zCv5143F/ckqfG35o7OLEq+hny7xN
fg/T5set8Z91yDFa0GESqRxhHdFzFvvGqVniopu96883SjpcIjECuzJh/CrgYkF66hPdb801sORB
09jobvw2HJNvonHZO+o8Ze4+meoXdVwnbHRBxHt9P+fiRQc5EwIeCzSwyfFii8QnSka4WFw4LlO/
pdnNl/HE2690iYl5/mSciZKiC9K3VtCEEFWkfrES5pbwWwaglWcgjy4YzexZOBMl+ZdkQptA+QfP
HtwgLW4SsBNihrnwFVV4FVnKAk079os7Q57V+iC+0uQgNEfdBUmLCG/9vPbD4InTcV0lC11nM0Ic
DTDKQFfDuLIjpy1GEJyQQkfgVBjilluaF6XHNv29McEP87+QIjnHNnFqWyth/kxv/UT7NKI0fd3i
5g70hQjJQ1aVpeNOw+bYIkbDJ3KCoCFW3SpyGBqS+7Vw+CnuNepnHBdckgNkvFnMGE4Bk7Rl5z9C
TltYSkHUdFrNtc/cxTnImaL/xdelcI0Tu4v49GpohGezRzemuzduL7WLzyW/L8RIvpiaIAoJVIix
E8yA11pPV7QOMi9rHNWvJxIyMMJUIn0cjP57NiaPhYYCOKpC624MP9V2ewqw3te3d8FMZagzZ8CQ
YdviN5VV5aWWzTzRUOa2jREtGNK8JHMC7AUWBaHT388ib+KUTYYiPvInwRqkVerKeruuykwUhOX9
KUByWCWGmvssh4AMYEqMUTcOy4XVmnFUFyIkR2V3TGuYCRHC3kU1uFy6Q5Pmq8zU0BuTPV3XZ04Y
AWU02D4+gJQkqwwdWpRpOrT7VNA3rbX9Ov2Eq26n0HAbguDkurRpdeQTRpGBAPicbaHhVDrmYcEE
iUKr3XM2buK0H1YhYcQfo9Azo2hzXdjcVp0Jk4sMXBsagBIG7d4iL2oDJsqFa3Lp+9LSWWaTWzhk
WLrKyF14e0B3KHRBCJz5dGLlRTs3Ocn9DqU+xIA7L/ZOp6jbsmVTfw5RzJOqpNkq0nnnjlX6Rkyw
t4cBeBZIjZabcAN08F0Z8XsrDg6xilJsqKE9OdMcTx/aDJxy/VG3252hlXe8bZ4NlpxSS7tJOlR9
rLJR0O+SDWBOQnq4xgtkSBugkWjfHQ3UjeBpFyWw/Ua7irY6BrhWSt9/7hn/nJel5QIsi3umMgD4
j5tfyzh9HJPojbJx9NSYrkUBhEo9BGAzzWPXpMU+1eJdW9qqC3gtBs4uYCVzAOseY408dHF56CoM
cRpKuVVzZ6eIAmAVIvpu8Z57Ld4lXq50b/Axz0Y13leJPvpFzR0P3CqeRks0ekZheRhEhJu47nam
qNako59UzEC7igmO38b4B+hGK70Amj0wxbyCGZ/R1XEXtc47A3mkmtS+3mt4hvXavUbR4zQ0wRq5
tGNGaOIqTdu4qVICfHpA+iJAC0ad8ofRcQ48oz66D22sKGIAptwMgerrFYZSmKV+11EudVXz/7j7
sua4cWzNv1JR76jLfYm4fR9IJnNVKrXZll4YsiUBJAgQJEGCxK+/X1Z3z7jcvu2ZeZyIjo5QycqF
BIFzzreZwl9BBOujisNHA7FRcIQr6cDzxg8xa56KaBhemjjOQyziSDmlHrFvd0FdEl95OdPokmSi
z1Syj2RVR3dCcq2bqr0yjZfLMM2lXPyMy+6NE2ebsOFdm/7WRYRVHnRXJb47vk6mfeSeukswi8no
sOyHdcAiSvuP0eEfek4PNnFuvWn9zOZ5yFqGuCwSsYvSK910QuhyGNpNWushn6hzWaGLKkJ4h4Hw
om/8ukX0XioTmHJ7j8RjB9k5bEMwwytCFoLw0H1zgm6X+KagIGn5dXpAWtlldp0spDAvVeFTaugh
qtNXjCpFIWWc18H6MrD6hHA/eCHWd6kODi2t8gWexUZHRTuQsp9hwx8kn+ggTvNMcrf3d5LC75fa
82r4zbjW58hMGlQhnVdIPczDyX+rrt+CjLNTTDS4wcL56vi0hEfKWQXTsdJu0Wsnzuqu24TJeO92
ZJfW8j4Uy8M0RQVv44OYxHFY/Dv07OVKzc7rfbGNwEkKWIc4OqFgHmCaEQYSpD6aMd4gvawA1c6g
m68KPdZb5rgbuKjPGW0GjD/6IoIxSgPbH38evmJYkcNd50DW4CgbmK1OHZTvIXTIDik06/KkFS+p
cV89smwIdTKvw9ykxs0f7LNYkZbb9kveyEgA6aoLA0rpMgEckua+qhNAA8kRbQAYuRjJpF39bDCK
zEFpQVpgnDil1BhB9jdL7UlEj7G2sB10vB3LEaf2ObFoVFy3v+21QhRf9bQQB6ZFkcAtg2G2J8iF
dvPz0HZva9cfRRqV0CXge3Lxokl0YA1/8zFHiadubyoY3TRBsQbVsaMC73HqhSkc0sDonUItHO86
tubIIjiurOtz+KYWrPFvWKRPSL4uGwXhvFmmBxDDTp7LXuE1t2RtM9wOUXSmk96n1suCKt11qjrr
ARNINUalruwOG8cG/EcsAXlIGvolsPAim+yOwki4QwxXvCxl7WoDTyIwL5NGvfdto5ED5IaFojDN
u6LL3dxs+bjs25DvHat2CE3DngHSeReXwYrINq3u67U7Lm4lNi2bd4h0M9nKzDe/X+6jCGKVFC2n
bC90sjdOsL6D9FfWEEpToxA0w289rz0gdhIjhCE82srdDC7ZdLI5haBGMuGf+nEtjT/eUxl2eT+Q
SWV1uy5Q27oHTL3oVhP+xUivzxEy+2VQHD4+AQZKSIO5pAZeyHGQsXBBmF4K1mG1EwQn9hJi17Rb
Usmi6r08kDyvOn2EifpOu0gWRNparW5DemObBumEuD5OvQnBiJi8t4Dq44zKlxD/FhrKc6BsyXyy
F0F7zzuxXxnN+pHCygghPg0tNGGFM50MGHs8wrPBwM3i2HRoCNuHMFuFzSwM9ro4KqbhXYiV5Vx9
jEJvBWtxG+5gTrCDsQte7CkkFLub+eqkaz6M601Dv1q3R57qJnIwS6fL26QnKLWTEOtUbBY1FXHX
lZIhz9d39gLU1dXSYm5JhuwBxB2C1ee6BQyFCs7f4Ot161Xr7RT5Wd+4mx6TTIGcRD5anIk2T6uk
9CSy564P0/zitB8qbfPKuZuhUYVJYcGHT6AsZETMG9Rrtz2FdDW0edNUhVu99Mm8C2h1qpE6mICk
WiETOugIySa3z5PuLlICkVupzGbPO/tLlI+AEYforQvdJ2R9H5t5dvPG7e7bEfYiWOpsElB5bGNW
bwY6bypEQUzhq/Sawky88BDluH7D9PKzs6Aw5PN28eyjBIshlSm+13OaJhnCOIoUhOWhXoE6yw2u
zGbV6Q1S54/VeElsnKWwdJTsWk90KzI60n2EmerYqhLhLlsqnUs3Rds1dU6zmz4iC22HiB4Yw6zt
HuXd4Rrd2DU3K16L3rog5dIm2DmUzNlgXIOFcz+hIlmVj9OkOVfDKZZf3fELXIlgc3QWq8qpg5TH
OCPJ/TK+JNUFQe43NRhXS3TDI/xZeD8OPvi7yU4k/kYRLLN0Ohof8Y26zwYHI1qoR5GOLSofNUVS
rAiiSZyXeRzLxYr3YNDlKr+m7M1n/VaYZNPBonfyajwOEv5PzjZo4mKMWF6bzwu5mts8K0eWHea+
br/3kuHINCjNc7+Lxje7NllVjxluSLbC8QxWtLlYnCzpl2yCdFp5c8bsCB0YTI/MWrSm2bW0LweI
0N1aIWbtrmme2yjYeQ4qhtlsPGTEIoAjypdR54srCpGme0vGTRWsB09GSO8Rr2vdbJUc1jxa5m0P
F8kWklAQR4dNbZsP5UR3vJOHUbJdOEU295e2BKa4bQ0B7Xh5UVKDu8x4Bre4PdoXtLYzy1lj73jT
3Wky+plT6dvAOLk3xrs+NfvGIzexr77BV+nsM7Vlst6ufOX4hhPuengnXPslpslzX5HMmQ3a5na8
q9oY0QvR0xzQPpviYeca8waT983SivfKd+CYLI/Cmd8EmbcRpuq5p/t+5wbiCRseXgLncxhXtExM
/6oDgWlDG2+YCR6JxXvjCp/xIS7wcQSPZdSfEjM9gzaCehNpiFKvmT8kMq+nsWTeckPT5Y765GYa
+d7vk7PyyDvBqN60zlHYthzWFFx9F6BnvTUVNFYOc7ZqqrC7sBYJo8ibzH2nxl1tWAooIToEZHk1
ePfMOPxhDinZUkSvotxq1yKKV8xv+ZyevYa8kTrBHZ/dexTh902kERlOvXwN1rybyC6KkHsbRMii
I84GqPirs7jPIMa/Oq5ASCxSdZDOtj7UfbM/8qgFTgoJWLHOgVegOcsnlHYwfHvsnOQYB+Auzzx5
pNqfc18Mb2yxPGua+Dmt0sfB+/BJekT0CTwZhw3yI9BpXEM24TCXqaDbeCM48l4CnvUE/8lpdfMY
lVWbsr1kdD9MHdzSQFNJse4XHmTJGIisdcLtEQXbBuVXF1xMqD6HPL34pjuCAo8QhWHDbHi8ev1o
6u27wVza0Z4mo++DtgUOU3+ppUDu37wjifKypI43mi+lDxfBbEr71141J+LD1a6rx7OpgsxIeG5r
uFHkcHF9H5GnVMjG7G3bPqlgGCHGcCEJucM+ukFpftCQMMKtvbtVjA4Z+h3YGaSoYUwNEQAMFLvZ
km+dIZjLpZydyYTQBd26SCHUReVScxtUbYudtylhzKkz1Xn7ZFEfeAQhf243AZwcvVUgxNXbNoG8
qdMO5+TV6sqXT5NOngLrHVqJvclaiGbCnt9W18i5lvg3bgI7TD/p9IY0cVOsg//Yu+ah5/4BFqst
HB3bKa+CoSnIPN016ZTjVPwyBfTNBaem8CDpaFOIFCxMWFBHo9b3vGe4dz1SBK8PcbMfVKry4SoZ
aObkKYno2fSoWjwKXqeHxzKGvsDW/pStnKWZvOoPWNN9666KBCdtvuCOTJu1ag79VbXAu01Xb9ur
lqFp2E5e1Q0LZA7d5B0SlO0qbh4lZBA20V84ZBEW8ogBMgn41iDUA7qJHgKKBUIKRGq6RT2GT5TO
F3XVWvgQXXgQXwRXFUbcDg8JZBnwrVMISpgL7bVJEbW83s5EVWiiUaqMxHP2fBiHnPV9hUIJ1oY+
VI4Y9IIWlroNnrKrPiS6KkVkHW06guLG70yVe2kkytrp6R62TUcNPcARjHW0RgAJmytcuFyBQx8I
YkLUimcgCcoqWSPsXFOUjfiYKvSeUyB9WbOcWrPucTngABfAbv4K8FmJR9yvI3gtRtimRzikeRqB
wIBq82qlMk+ixb9JI3zqWPKDlEOzXUS8jSiePH9N/XsUe+Y8IXSlDGde+uNsN+0alkGQoHpSGIGD
1vCcjP2Nwpw8T3uK2h/jGb+O1cYhwUaZ8aBT8gSHOmyBSEgtZl4V8JFHW2+b13ppQ2gBIAiYaX+X
0hipxgs/OAtLCrDr+6wChpJxLapsmIBh0GC8TwwqOMSkhMVcYwTJfJabKJh2LachUlPY5yWcP8be
fkwdwjiiulrBkfceRR/LnFOnRv2hDtSmX2MzPsVRe568GdjT4Ny3FtuTkv2R9t5XhyxellqGPvkq
terF8MoFTCzryr3MnX2oWgMWY4VLXw/sVYjguRMJ6qqoubGqxmJfmj4H24TlrWyaogogWdZD8FVF
4Sv6j63TW1WYtCMF0wifE2O6nVO6qYOoQ5gXEOwE45JirSRmI3Y9BWT8EtZhfWFCk1JBvLkZq/SF
J+aExlJfg6R55iw4njliRnK4fwIDxc6+ScN53CYprCMtXjT14npLrQKhGsO2LMXsBdEv7sNYQRQW
qcnNAXl6QIury9CbuGBzkAtsDjlh9SVZ6s+K8gcOrt5uZEENLZd3O6RqQYs6f7O6KeOIIQ4ZhVHu
uPPt9QjKlLKvoWaPIhwfKsugXova4ADPdZDIR/5u9GfCEHAzuAhX8XiLlFAZ3Ztp+IRkn485db3b
IGnmQky9txkiNAGYUn3BPGAsOoyutI6+yHW9bqGoGXmsJcovu+TwyU9KnEARDj+QWmPEhO95Z8WW
BXEMBVQsstjiIrYibu+6hV98SIJA8A5NCWM7AGpk+SwIDpgFxg/lavSDXDC9Us6gtsbXr6FC5RtP
Lts12ofoj444R3voEV1xK2vEdwfsPaE1zqvqISZTe5ii+X52zOvIogbMCE63XYzih+v6mS7VUFC/
j7adSPfjgPvnY6KL2bu6Y76DItD3dxFSpC6OJfDj7b3TMi1THje+jwFP3ZbxFMSo08aD6+F5w8yg
rHwLA/EZHJ8+BoVgsYGTT67b4vv7F0D9S6Ymduk78+qw6cZDE8i4AX+Vf4oj8ujqOYvH5qRGry8R
8HoX+whMjMnZH0g2ykjlU0C+ab//wMxmzUEik7ntFdIBPQrH3hRP74jxkbeEnwNSLdkYLtsgaZtT
Y0yaMyzfk467EzGyLcFAvaVLcBYVWg3Wk1v0Fl9DNNzdI3I+dc6jGeE0NoILDM5otM7wfKoQDocC
Hg+8Rh7oNyR14yuOCTpopr9VTQUhZE+X0lVqzkOEvUEqQZFaYMwzDQRyCi2O5+0CNsm9a5Z1O4/I
3mF66rMkiKqblNvXES32hSG9EJmRmPOEa+iVvIHnsKtFvIHXJN1TUMkOE0asF0JHiZjHDo67dkFo
dILG4N9Ppn8CsP5lwv/DGHxcDZsriwk/EXmZCdQe0f/D7BshwRC5g32Xwvf2rzgIzOnNfBWfHybI
RP18/QVE8TPcNv3+9a+z8e9wlmilsxc3YF7yTzO01a1fJdCXmrOFEysMw07xNJzGZhQZJckveCg/
hXi++2o/QDxDHyeTqHHxkpoX3HvHGOTf351fvcEPEI8XTV5XQw560FdN4NDly4oYQfKrS3i9Bf8y
1g8gPrwmOl9jgH64hIT5nFs2H0YWI1YyMHmCUGQ3DfaMW5utwXI7yPRWWjwwnA4Hf6lOqJFhTd+H
v7ikP72dyJZHrB8SiSL3Tyrnd7ezAkO00x48xxOMoReLqcOErSlaPPRiSxnE/VFb/5zw+Gurf3Ed
foaiIC0BwYUu+HhwH//rZRijRCoPVtFXDq/xsl98s1+9+g9oKLVtVweY2R5IFDxZoB2d9ysxznU5
/Hgfv/8CPzxqgwqMHXq0rLZzNgDTLxiznU0TwDHnVzD5z1bm92/1w1PnT0kDqCmcDgs08tLheTje
z5pv/v36/9nu9B0k+OPCJCN21oFiMXSGbmZ6bmNeCjHJvEFvpFS7hdngiaXk4d+/7Z/ZGD9eyO/e
N70C6N8vQt+H1r0CFBmqcTvI2cBWEzbnvB1vhgjjSLe+D2gM+e7I3Fygbm1m1yLfk5cVbdfS1b05
N0YF93WL4nIOuVOuVj7AiHbX6ulJX7cjEqjTgP3JNhPE5FOcd+AOtXCmxwHq77kznZPGMahmw8IL
77ugMTs1xs9tGIzlOK1n2PF3uVTOO1tG1Oyhd8EjVeXS4kBqV5TJTeWcbTreTTK4n6uHkXnt36Ww
//GXpIzxv/4TP3/rkL2LUDP9w4//9dgJ/O8/r3/zv/7Nf/31R/zJP16yeNWvf/lhI3Wt17vpfVjv
3xHYqf98M/reXf/l/+kvf3v/81UeV/X+t99f30Qt0Vrpof6mf//Hr/Zvf/udIJMazzYUh1hl//H9
+/zjH51fBf4+qyX7rcD//Y9/+/466r/97jrpHzjQIhidXJ3IYKHw+2/m/e+/Sf6AybAHaa2LBBsM
Wn//TXaDZvij4A8EEHohKE0+1CJ4jd9/Axb456/8P0L4pOOExOeExQ74wP/8jJe/L82/X3lcm3/8
/Bv84y5dLfX4t9//uhPA4xY5lkhvwPYJEqPj/Gm4890C9qY5bnnXOnvrdHABIBnzbE46XgR2/sUz
+ted4O9vFcFjPkIwNq7Fj7nYcJ2rmm5N1n2Fhj1lGDPaOv0cyl/xIn/2PmlwdYWEYhQZPT9wESZY
EowIIbJ7MdpNxdI3byHFzNZfsT9/8j7gY4OGEOL0ufpC/fXZT9TiUH+gDnxum3vltY8mrTF/1vl3
q+ondyi4LoPvdus/L9w19sW7UjjgbP8v9vhyaZuQxgZpCuKp4iuG4lVr0WnOUY7IXg4ibvMlqUQL
dRQ7grcS5lSJPo95JDGpsA3UzIiM1BUaHoD/6FH7Fi4bTnAHFBLlrW9krmf48GHbAvIbIBJda7t3
CAaRUzSqvK+dM6/78crDeUaPEZds4LfJ2s85RUzxgPCuooqVi7mSxMB38UkOvNYWFXbFnBgy5f3q
ALECgzYzXv8ZBhEMdl0BBsIIid3MpgtKPA4sTyn5hKdlLavIOVFPhpmyYbOjPlye+hUGjGIQDz4L
bwYp9iqcnhyMNE5oxd/jOh6OLW+mQrgN2XAfdtcNRvK7XqJpIqs/ZqqR5eyQjy5kpOBdjZm2Y6H3
tggIB88J/Og1+Ipk8YOL2qGtp5w5Mxo1JppN39ijHYf+OrjCIWnphFJe2Y2eRzhYtBO2YlOZLJ7T
IOdp91mnw73DW3c3xYDrx0Uf/FkkGGJ5R0SpAsM0DdqbYDg2XD6EwVoBZPT4JRIhUvMWzGT2TqpS
WHYweGOAuQzRde6RatfY0N/H3SSyRURn1a3nqeofVjt+le78tqS6LaqkEwWR3ns8i2MTWti7IhEw
eExY0H0bZhhz9VWK3msFyh4GGp0IZNuTH+1n3ew8PT+PrCZp5jIXICRrTL3FEHYtlsh5HlR/UwXh
V0MGWoQdoDQVIMlD+etwbzhtr33ZPffJIUIfztjiyl1XDRCyxjEG0yuk/AAphnMfgqMeYvqQcai6
90Hngw2rKvjHOLDABP57ggEuOra6mlTBXB+614ThuMwUevMiWZAqAAPJNrKXiS8273ppEfdbYX3x
dC76bigl5vhZv9izGt19601wS4wRObhitILxXp9kfhw1BQx1SoSM0nypoi2N5b7l5ogYryP2aGcD
rhZoJfQForAZ40XvXbPoDoQRmyVhVeUzUKbEmT4o0lVl1K43a7pEma/kZgj7xx4GJ86qFdj/IJ07
tIdNi6xhOOHqj1R47mkMpjNJ1wFGL93LVHGxkwjg6j2ydyeyAMacXvGxv4auQGYaiZGc2rwjav7I
FqEQD9uwTHgziC4zhppp3xyh9mtKz2fwqgluej9956a5l+hlQZyYBgwwkUgwJc8RdgwHM4jcSWR9
qmjd5mQBXZHW7qdu7V6W1ek2g4hOdQQEPhr2rY6foKUZt86gPyOdQ+bTEN6EOsSOqky59jHm2kO8
RVIJCDbAImrfFVmfhHCNVjd+Ep3UBGwPURhfeXsbLuGdOw4QUwUCt9b2gHfc+isWRpWP1bLtxwB8
6AXDTc+PLxhnjzl892ieDizNwTYxxeAGbxCRP/WOVCUM7W4JuL5MEkSVR1C6jcmaGXWlpmNzyWVv
84QYRKa1zsaJITpwAvjGLAElxeC5S8Ed7zqdQPCTwYOaq4BOmRcLW5i40YWnjdqqdoZ8sk5BaYNj
UN754SfY9R7XKXxoSBCDs0OakqjlkgB3KwGfP/HG2dFoGI+txO9tEpKbrq8O4yQBlhAMjdyRt1kv
YWDnjRj3j/5VIEWqo4Cp9IZHNUPaEHhziAgFQyIdnoZBP2I6NuVrjf+MNY9JYnUv6xD7ZQtiZiN5
XfCr2zhnOOkIUlqyGOOKcmjMDSaeCEFyYwrQNYDve8LVZiYJdukrE2OU9oWsmCmmHC6pbYorbASu
Ieha87uV8nmcwD0hoRlurRtHeUrSEXxdjmUwu/MRHWAOFApwECrCG2lrb5PSNC4XQG5Fqtz3ZA2B
sTc4WgZJo4Pfx01mzbyWPTPrYWxIk8Gvgl/WqAKpy7I3ZD3vEXI27Xic7JLZB3TW6XzFNa4rLwUr
iWAqy/t87ZCkFSXhC6ZK6DvlWIarElnkOOeZw01n0f1amDUmW5ECPAdRHVV3kx44wLsyXkZeiCDg
pVmvZxOB/rJByNEmHZ0zgSSAGCvKSRAHPCeQzzKdBKzsh0TjuINKxoQtLvBCt7BNCbGXQH9NsL0f
Yuq9RhJ7MHVlk498uCdNUp9mjXk8ZyMsEYW+hAqK8zb2TqtJ41NP6NZE+sAlf7LzYPe/qB3+tXKI
MAO6xoAhEAoRXX8tUZDPpHDxlbNffNBMoOhC+tYvqrofaNB/View279WJghSA0DwQxnExTDbXjC7
x7EBv3hbLbuUNSf0GMBKtHqJWgDDvVs7p8DTdzya9nKs/yH9+v+8wQhR6f3PDUbxyn87vfKfthfX
v/xne5H8kWJahpYFtwDZKKBa/rO9iP/APhd4iEtBaDFoaf+7vfD/uBqqwMAWyxqxmTFq5H+2F94f
GGrECILCb4PISYP/m/YCJhj/sgTRq+CdEM2BSKXwR+fUFXYXxgXlau9XDPhF9S3Bo1B0NJnBkHBN
sXCMb5jvYkzPIP+n9fChvBrGnrU99Wsnt1XCPjv+a4op79QhMxcVDxBF2OdEDDpc8H5Pwo3UFtFf
PBe2+TYz12SDYu9uOn+OVv5JDSDCICT9ZKh319VGlYjcqbPawW7vxgasRq7KcZn4QWjE2PWdeo6J
A/qanr6EU/XRz7NALiaYVIBJ9k5YIQYsuK1BLjQqObgC+Mjiu2fK+aGysGlzq1tqYdlVzcFDP/df
B3+6OKspKyXlBly+JauFX7Kk9YrIuPcckXEVhvQZFe7r4tVN1k4eyzsv+qgmfSZV/7VxMV3mcFpb
4cOmI/DY+mMww+8tuHhSnH0a8l0Vii6jtH/rhmgLIBWISIfkg1Z27qaGiURB+waqZnupsVxy6CNu
wRyNskHEFw8QHNCXM5vDj8EngLxRPq50vWd9tOcgezVBs19r1JWep0G89+3WByMy4biKs1pPfdpV
haOhszAqAkgLJt+6NkDHkwWspoACY0A08Zl07J13DtmNf6L7E4h3hl5qfLisB393E8fJU1yTfhti
/9edaIuGri+8A3SeOvLeC68kMIsjQ8Q8zlWvj8FUAdtncIdbhvpYA0cuAGuQvAcJYjv2TViM07Ae
jRrmQiLS+0SVOz4GZIAylKkHUyOokHuoVTiQsnHyBSAEFucWMPlN2KevMBd6c+QIzLKNH40LR8nO
jsF2pvbYCPlV1O45lqDiwaGj6BcDCmjrfoNLBUpVK4Gm6fbZTv59nILI7DcaGWZsxAHdNuzJkhq6
56kBH7WXNby09GVZQaKcgU/cuI1CdFTvAvbuBN9MkXuMGvFQO1g7CCk7Km0vQxs8dIAqS7cl1SkU
cChKqRjLFlyHo3TYJ24VmMICGvlEptPN4LXPlMDxEE7sAOY8LBtgh6dK0E/C7dYdR4xh3pLhtvHT
+jRWrcqrIRD7JqIP8+hGm8SOwFe1+FR1zokQ5BRcawaAn6/9AFqU8Pegh8pNReZ0J3i85MIntgiX
+A1tjLsBwy3dQFHKitjArb/Te8QT7Ziv71vh3Zm6uW1ddUZ1D85vzO81NcdJg57oh8cpTlGWQGLK
AgdU05Toklb2bmBVnQV1OtzpwX7mXN1SLKMdau9lZ2cVZAE4XgXGt2vJLcr0VRAQgWiI5gOl56ZH
8HIGzuRN0ALwh5fee5s2iC4SAnXo+K3RuDdmHHedxkwUKWu7JNR7j5FdKykpU6/uNr1Pq2xZwPGT
NZ330gMaZmt4K0eqebUhJ9mC/rioSAWNOFZD5gxNmIUCzw0Yu9u2NV1hADQPPT21dnmKII4GQxbv
hxy1CB8FX0d2Dc2WYPrEHDT42nPAoakY6ix5E/TqA4Uq6g0TgkMHE33Y6twMi1si3sgBS8Bcqs5F
HzuCJDAM6JtAhqazeSR4pIJYtrvZt+e4J/E+9WhQmKaCP6OcgSv2Y++fkFJyC0e3b/Clfh18PzjA
BuaGGlijRWgFQL5foaodJZQeYOS6HvU3M/N4DoEZ1L4t6DlQEo+lY1aKLiP6hgRjBAry8QGg7FZO
6NNYAuEgMpCws4aYTNRyiy9rN2ZU3UMv9f00wnQzdXLbestJUoh+xlWuRYL8zC4OLhP11bYyKAeJ
JHU2RlAVVo0jdgCQcbvZegIWnmbzSI+w0MkTVUUZub4mvPVRK2rIoscWwHoC/rA7fqLd+rpUYDs3
U7K3ESgMq98hdvF9bMkXwb1ShQ2Yx5XL0GiM3xI6yHLCJACfcP0UsdCHhxAtuA+GQ8rA9og/VsbT
ou31c8XqBAQJ/9TFyVhAPh5mwdJg4GYhWcDXQD0dACgUvfhEupBmnZhAGU0/QWu1jeS6A8tmKHDG
KvA67CPo7JJjuoI2wgBKXJBp2eDp885TlOA/td5mBH0Wqqob6sZF4Mh1A2z3WbVk3vfWmcG7Tsm2
Wocz57Ceoc7Rm25DMZyqGha9LoHf83hhbhUXwAkwIBCi7Fp0t2MlDio221UtvFiUvrpDTXjWT2wC
szjcK+Xfo0ovcbE/uRqCgpoxfEdnWDIwxHBouXzb+47Fmo4/NWr+Gi8IU3H7+MkI+s4r5whZ5Teu
5rMw8VsQ4wi3RudqXfZpRV4UgjAjpLSiTwkTkI3EBM3DIvZ4sqrS0eBxBJjlFEHN0jsR0nQzz87n
cFjhbr+6mKcbi6e7oqggVrCfYAm1AqNFjx64DIvDJGBSxfRQNc19HGK4Lpfl1Nn4yRE+ivkxQcZr
fCfi6FL1EGMSrz4DeEa7KVbQaNv+hfTJZ+GZRwMnhbzXLcWMg2M4YNQesQF33KQGPGv/mQcQlGlZ
T3iqUY1z0z63qvM3cZ3eIf6WZ4Hf+VkzLDT3Y+f9akbbJ1VXpMt0O6N0y0wIIUE5LRWIk+BiWQkC
KZHPxmFDmwcEniyWqqOnpiWPpH9BtMxHMEO5ViNBnPYKcgaTvsazjgtgFyIngocg+XLspVV0YWH7
AdB7G1TTJ0gL4G7R3w8N/u3EuhdtvVOw+kfMRO51V5/8oX8BE19kxjRo8WC6ncUKXh8k7lN8g/6k
zfoKMBH1WvDf3J3HkuRIsmV/ZX4AJQYO2wIOZ+HBeW4gkUHAOQzs699BvSbVLfJGpBcjMjPbysoM
4oCZqt5zrybLfqRJGDJWnY0O0IfmAeQM+cI0LHY8fwF09ys4Gxri6aTcZQKzMN5rj6Uh3nrnOaR1
SS9+W63ioo+sUU7HF8vi5LLFfGxm82OKJ3CQsb4e432ndTyu1ugeZtrspDGTXZTNte9N+8bVn2nN
+vNYtuoCZX0jqELdqr6b520+ZMImBVbP9C1r28LH0KC9jrGe35pAFH4x4PTv5EXq3YuAZ6ywrYQj
C9WmBLy4jxs2HyMD8dUyLl/+x7Xi2SSrZrWS4bqMPNQbc0XpGYS5AWPAAUsVNnk13DBJOA+rM1N3
Cr/sVdB48ipzKfZSr+MrZ00Num9Ee7dSYVbE8WOc6yMUHbV1PNd4CmLxXkpmS4p3FdvDxWLpMLzN
9k9F82uT60hQiSKpensIcsf5Hpr1sg66TWv8Ptalb8Pz1NqY7o25u2j2Yu7TuCko06Bpuhpy07SY
N5HA/xl10Xktxmo/N0Rgd6J8J9s3fSTtl+6auURnZeG2Rzvx3LvCNDaQdrpxWjAn25lv5BA3j6M+
1fDq3beXpvhdygHhmpjRaNaex3E6MMNjN/NaxjvHG06IaT9wczxfbVv6mGj4hti1jCEVClrLWxsf
dtIHBgvZGtFSMnXLRy5uOsZTi108F5F4621sD+lUHgd0IV9a6jXxHIBqpsJmr07dwCPDQuujLrV8
B1oE65/Dgo7LuCsQSYKid1+kyeSt9/RQTsuPE9cpWwjnB/Iszno+3yZR4u61MafC5HWI9cY6Zg2X
dun1vS8q2CxcF95JooQEhemSEpFtpi/NuoOipjIoQ282FVS5oUJKW2wrFu+wyQXAtBXgu5nkoV1g
XNOM0iJh/u6XOSPqcgFnsBpurqiGZGz4vs/amP3okWLH1yqsnSpUvBNjDR3UuNBqaWIeegfOt9Jn
eVePenXCxbNf9PHTcSQvmomdoc+17fJ+xlNzZM/O7wwYOjCE+mxVf9J6uvpcVVc6uRb91NPHLTeU
IIcpcX/Ata4MW1M7g7JpduncXG26NUfPCxhb7evBetFnpfusjS3/GyL5/3MQQJ4tnfu2GuV/ngL4
H5//65B+VPFf5wD//It/HwK4f6AtsnjX1j3271oQCX8fAth/eKwa5hh0WJxBs/+PIYCh/8FwSNKy
k5fAFqNNwPrbEIA/0g2dJXQOf4pU5/4nMwAkvn+bAfD96B4RwuQX8c/KbUTxV5U8A5ta4rWtzqwd
KnhSHZaeYm/ciSVxjoTjxNyCbMbFH/G4ah61xYJIJRsw7mmOWN8tvfZQOeZbD0XZDGM4yuFKYyqO
2euzkvhUmKsXe2jBl1nTP61O+xKq/BWVEFuduy4HrfG+uwbdBeL0zUk0jJN5H7Jo9l7N8nY1E2ef
5ypjMutmIYUsSk1XREG2zF9jbn46G+U2eFTSJuDbuoKZ2BsLlwDFxRsd14LJdTWZSd02hKhA6KZs
cQ7aBFWXgdfVbsRJsnbxodvYOwWEpyROqY3Kw53zSGLOCSbguwbbG8Gz543jGzeib6ztG2dj/Iqx
4N4E+xvMpTmUGwnY6uPjtLGBpUaLDeT2WlNnBtlGEJIqr50roMJ8owtHdkaG5kYcylVz4YihEL2N
R+w1Ze+mjVEUG62osYAm4MrZyndYxnKjGlVWvNQs7uwky8G9Rry1GwGplskIp4KkILXxkSWg5GQN
AJPeg+H105FJr+6v2KmZxL6OefVdDghhQmeRemQXJf7O/lFfsyfsqB+gSgsKwXibrmRneRu/OTbp
3gboZKX0HKwgnv2ipUfBGIlbDvxT5q/8qHeqBfmNAUQrdkGgNsb3xWob1CBQpDMzy32qmDpqiUe6
entZHf1+6RcXywHjlLiKf3nNwEPUL/epFt8vgpVrqE2sRswFpZf53C+1DKRyD9VS5TtX9r+SFrq+
R6QLS1d7xC6Zk7wJomkNjJCLRWQn3ch/+DEfecYVdyyL79fC7c41/eVOobdhJzCscyKHu9WRy2F2
7HOX8S+AOOHUbY2RES3OpCYW2c60+f13GnaP1px+xYywjpPp4soqk3jPCq8rjGeolhtJbuFQUy4S
V9x8DWmXwi24uB0X9wW29lQP6mXtWARgj+5dFZEH05s4XebF7UMntzSfzUbetYI5Cq0EBnEusDTI
LL3rMkGqqMFRg/58MjLxQ1Y2dpWuMXZVzk9UdWeghRP+QcZb7gEIJ9Ss6Dyk2YVb/yJqqEtDhH3T
vkt7anZ6Ul3FVl7tJtE5u6w3sXCa7kRdTuFDznhAhov0jcXmyjAr74jx7GKnyvU9cph3aijnYPLY
Ktthve1Xc+dqjruDB9eCyKv4OUqK0UIfXgy9KcMkurEmEyMhrpYAsi8kQuKctXkZjp59hddMot26
H9EApY1RAx5hZGKRTe5xTp0uWFqj3m1J/dhr8dhGS44giAVFJOZHGen2uWaRROBZtXOhLKgPsl7r
IAElZ/sEz6hl0ifG4EeQapGfONPFKcpPo8BuvxpdErie9my0RY43D4uTzPMXL61eVuK7EaIM22/t
DTNNmI7SjlypOu93gzfe1TbzKLNBRCMq+JuVR99Wuhh+uxbqaGUOShGPOxkCzMQMHGmpvd6m5Xyr
R8W90fKiaVZxrHMU69TWLoWmnmOXqZ8xIbBbKChFvUIEiPyDRhzwLPmMV+1GquoSbY44qr2QnisN
pOMZqC3a3gGWl9WAAbpE6F6IPzGcUC+i63z1btfK7vzeiOkEiy3ussiuO9NB9Iy1pzkf8eYl0zNO
+7uFeeTOdFLJwVO/esb0W2mcHWlnub6LRpZH2rFqijOy2nNXeCjXszWGutacIg9VpoyXr8pYXjWr
F7vRsqLrYtU+lkobLmyL+CinwdrZkxp2ScOkTp/Mn6rSp6Cu8t9GF93EY3nx6vqr6wjrSql1hy4q
9iB+94OgqimNuvBZmzrsBhs7sGYivPU9BDJTdGxKcnhyXPeRfku/NtpS2wIvPmr2u/oLGw6g8MsT
araotu0sena1SNmHJS/rucqYQzKpvRERgyzXBI2zUN4jFCS/AiJoZfNcqgTLdtexHjqJBoKLaa4s
ffNBmCdZJ3e6TI6jbfMV5mZvTLW9GxiPH9C/iyBZowfJfHInNrvkmDvUW9ODqbPZvBZ0LHp/q+vq
BO36q4X4KkTEZACM27fryt7jm7rDgO5t1pHnpBQDbQjrRGL1EbnrKVI1qQCG5XezPCfWGhRt+52s
Zu3jeHF2Yo1uzMJ6R0LFCt3p1zg/E8bnQsJRj5d+sdVVuqSnPEUfZHX40zJvXYeuxtAyMcUr8640
+53l5hg8i/dk/rbMMfTcB7tunthr8tnHVR/m7DXfxSiO+ywzwQfsruP3yR5tI2MWrhb3gaC5HsCj
ujdiqTGYUhlvtSyDyJQM6YrFCr0m/8zH+rcZl+doNI3DqMouwCFNN6Jjp5IxkdtFt5xdY2533mhd
ms6tAP/14aCzmOdXuvXfMURGXCTlri8K3NSudsq6lEqgxxNXCOPVnnByaWyJ5BQ+Mk/kqW68GhVj
ua5lPWAOKB6VBO9LynzyTa1pdzFp8OdWS9f9IkYZjK5OjgZu0XOtrd/NYjhB3MlHFGH9XMueENnZ
W3YI5Qt2aSX80aVTyY3iZVzW7g3Y4jAWpG/OyWUyKgwluvTzbfmOIJLYN5Rg4Ys2pYHT9BrhftN8
t9r9grXeO0BU7kg5AthhYBvENDOnZI2/ZWR+kOWR3q+5dYBTy/b2Wj43xdRcabNZ7vKlfVq2ZXOa
QPQl8oBHQzbLSRZ4A7JioUdzE7HzyvFvi7r/oxbgOv3s6r7+Gf4VMPxXQvH/QSRxg+L/517h+FHV
6V/7hH+gjNvf+3ur4PwhDCGERRjIf+t7f2kVDCnIGSWZi7J/A+f+hiPSD/AfDXBrXbi6y+K9f7YK
4g/bsYSHuqxT5lMg/Se9gvvn2sZ/ErUuq8MMehUoSdvgD+W/r3UU1lZQlV16pvomdCW/JvnXCsWs
5ClblOVX1doGM9U4cSXypexsI9AbA89ZOmGS7HTHr+JyZQpR4gV10f4npzTDTrQ+EDKOvXlnxJrD
CjIeza7pT+7gPNFu3eQJbX2pwUCDwv5UVGc7YZf6MU2ImZAF1mdnSYtdY3Tn2IqtvSzj68Yq6ns2
engY52em78mSgjhzCZaxAfU0FhUkz3Aj6ulxkQlevDmxMCZyXUulWQePaSSraZtnezbvGoWqYDNC
CGqFjTIy9ni/jZSdvFOnhn3urKXv1Vj43X59XwXxAklvpycvwiyVVs2325KKvHiDBrdTiJ1Z2P2u
lQWLtGwr75mWKCiXdP0Qox5fsc2KdEp9ikLVTh2pB4TH2wwRdwNkHqUzEdhZk6eBoU/OY67mZ1kS
G66KurgSShqbfKThvpum/WAn9xaLyBods2A3sPA5W3N80kMGW1yfpxxxhNNzRFoFoyE7AnHHL2It
xHt/7IdEYwhCYiYiry/EGE5uG3a22uHA6oPtMcaQJT+gUJ4qwQoEu5y+62r6NcvpWR+9y2qw/tnQ
i6CKJC0QCSh+51CvO46vrP7KSc1d5yW7wvmpXX7CeOEiHkgvGOvsvlXyCdvtfbXYj+Niv9CyvQud
CjfNmM+NA+lVmOhSPWKZVoIlOedUXVK1ryO5Q1DcG/F0NzXG49Q1ZDnEBfY/THUMMItg5XO882ou
/ISavE56dy8E5YH00gfp9HtzRQHKz23tRzWaRmVcR536GoocWmsMcenSqCUVq8aLIXST+medLYit
LlxF+zZNLdKyWFIAbnItPDQ4JgK3azY8unZ+S2bWL03IA01VyxjTKAJHtVdRxKTRMahRhTokWfls
rIRALHqCZJl3r8aAqiq8mJIlGQ6KwJS55m5fxXydNJhvp1jej0P9k49lva+1+DuO6lem6Oc5blla
JYiWgQ1hlVkXZLo4k/TxOliJQ1NjXDFhx/nNRWllcjgMKuZO5RY1Z9Y+ljwZs2YQTzG39cZbEXuy
Xb+K4JODxY08lQTqVamlnaNOPBdVWUEObXNnsHi2G165q0axSadVjsldnjvPjVFS3iTePUaiDFfP
dOdAdpHGkj56QFmcHsuDhqe2HkbeKUlRgmvvtU4YO/Mi3kP7ssi3CuK2akKWbl55eXfXk+awIxqR
d3vljp2N/gbPFj7MARnEttLqVuRlwrqgpTyizr7mabJv+uq2hxOrJn7NxKSuTYHNNj0MqI/pEoWc
U3TO8xt3O9iki3xs8CRRGmnRcmWjmkD8siRRp3yR3ZSglLk8MXIuAjuaHshQ/NJHsUfZIm7YPrRU
4agzeNMU21EPa2c9yXzWfSdrLv2IibuIq18mQ4bITh4HwQiCBXvZbrWa30xPHrRYPth6fVMzTrZY
/umzUvumbYdHWVsaYB6EVcMYgUia+lQk03WlsjN9RYKPNXV8ZzHuJsFsoelTk6KEEqsrP+aOD7Oo
tXvZjB1hKsV5HUxtX2ydT7NluEsirjxRXvd5enHU/KEv3omX9L2Zk3inq/yLFJq71jQf+qi/hnE6
VORMZc1bKYqjLUABmn5i/BrLx0ZfSWZCVlA1AOLEhPK4NE7xaOFofbTkrAXjas97L54d1I7B6J9a
J3PxJsW3agUfjhI+LZ/aE6W2W34Pc1+HbsVMlQPD8cKuAgqRE8gGQxcdm3Hd0QvCxXZeFEMVC4dv
RnO7BX7V6k9OlzIHB9Y5pbqXvJEhoj0X8byeegj8q0mNWbCOC+tOzCq5ijh+r+OIbmMha5vOlWVo
RnG9CvWYmTULLxAgWkNtwgfLWLImjMgI8ydswBhIS4b4ZWkfigatyShm7eSq8bqebYITUVB387Y2
j4HfoUZ02ytpiUOSFFlYNlVxo5l812aEJycjq+Ew9PPnWht72esWkRvFdMniko2CrCL1vSF9mFz7
DiwilNzZvliKJ8NpfpNx8YwE/oy/nBFH3PRcEaKcACznm8yifFTI0bp7Yt/L69zkD15CkWlcnFHu
k4VkAyzzgBxk+ERhVv+GdcbNzdcOsvnJJFpJptlXPI/7VtFJx65moJT+SRKCwxL7YEf3C4lGAI28
E/hYyUI6FBWK9L2Yh1Ma4TkfGnXOnQ+3v63YmDgROjPMH6NNKEY/wfHJTbiKbvWRCA0Mxm3UXGeF
+Zv1k2w1GG8GlYSZY+yTebjkRUf/4rQ7lCZ/1PfpQsLswsTihy6cwc4lQfOuxFtaEnSivVkFRt3M
DdrGvY+1e46Gm1KJpwr1JLPMsNLj07iJddgce8ag5te04Dxlq2ekj3c2sGuGaDN4uIm4ixpF41ev
Twa2NocGwgdIApLI5JXW8unEVagkaEXV+bqXnrvROg+18rcLz4yQQ7yXaWWREHm8aMWTdTsbj17h
3rh18iW4OV28zwEzTVymX1NdXxka+u5vY1hua/SLxgBq5tffNLfSIHW2vBtkdrPolV8Kh/G+8qOp
uals8d7n1i4jPM9U+ivpbQ8GP82iqwfWnMjKdTb/73mM1DGt8ivh4CXwcCjWRnPllN2RFeoGEeqM
HiJsG3lMrMT8YLAqs7Ai0IwJtORLW9M9L8eLY9GmILY30XUa84qGc4ry3j1G6b4iP28FT0gwc+dc
DiTVTPtV/LacoyP0oBpviSGs1mFXCTItnrV4L+fvonkdl1OiSCh6l9U+kZe4fSWmThoHiV5JplDZ
USV2wTR9y/jZJNonu2+K46zfagshCcdsW6ryFKUjejcyFEAP3gxQJIbr/rh+NByfOR9j+hnV/d7T
P7vmo2yOitWe8b1uHGqxi9cHagAseIX3GhuhQYBX+ikxyOg/DZ4NbBge13X8JYuYh3D02ztewwMV
0aka2HbdH9ikeeKZ6O3TslyK7ODI+JVA2tCd7x2thWutr5VXXVXlBBXjDIFlzWEH7DoUdZBG02EL
1lmmGy79YColb6FkTGqo8k6NY0jB+qFFVAgy5TMCnxNE9TXRgmbnMr1Px59kWK5VC7zvrhAt9hYI
N6YVhA2PPru516hl6Ow6p7bYyjzVHo2iJTsqc7bP+iaJY36stDhKBCpqp7z0BaHtQTo2JPLYN64J
eVb03tOSak9Dph5IEDnlVnVKY75k504/ickvJU+tfTcxqqmtKESOvcimJoYghgyZ3fi9Szu1H4yN
fSLCM2rFNfJAFIiueoxNDAlm3BCV1v5aV97b2qBaNkmH6qUcb1dcI0A8JAn82Zz9H2hUD9/1Zjrr
/72b3b7UP8x0/3e45/6Upqz/Pdn6WFeQrX9tVP/5t/7epdp0qbaBJw0fF64x2NW/C1rmHwZuNdQZ
02GX0l+7VAMRjP5UsLoUMQxv8L90qa7l0cAKZC3D/k96VF14m8H3n00qTK3LT+hZJnqbALDl3/sX
QasROcmIiS5Paa6mMHLJZyK15DUXKKxNZcAirTZoSCvuymh5EslqhKp2f/q1IUMUqNV3ddpTNJKX
TE8rCHQmKwURxkpbXr05A78DEcHO4adGf1csUw7h5NkA8VZ0GPB7HEhq0e8J9zTCfE7uHPIzrVlg
BTGHeV9pHrsb6sEJpTazhEIuiswQ63OZyRtrYAQD2VfZMULBDbrI+IoajYV/0fzcz9T6FXjaLjXM
V7u1JGFdglMEgj8ER/qo+k1i6POQ6vK1IXQPdKOzQqj8zjcaUxwM4T0ChkxH1dXE9Qj5Bgt1Weuh
xpyDfMRmLznavLm6wrzjPNMsCZ9i/6lYDFLxvel7ylQTsKdK4+hEcMon/dfQeMYZLcRlXQTxfKZ3
zCitmeFRx7qzfczS5KLA/4JSZSRBaIzo00G70nvSbeuq+crmQrAQvElPfGmIVV0kO4DO+U6sMVEh
Hf4XA3fd26rHyVtExMmtymOa9aWzA9oqJwDmNGA0GvZdJtwzhIOiASV31WY1wgzP9jVL/z0lybJj
okyEJ0MWrkeyTnI7Lm5aaZFrDfMsXPVbl9N3VhPQYfEh5rl1mhmxHT1cqmE6m79zGB6/mNN9MQuw
JY0aevEq4yi9lRvX0xcIZwKqqtFUD12avWqRfYWWX/jLBDkoKzJ2xhKGS7K4yLS7z8JNkkvKEQmI
qLtEFmEXgVU2fbqs6jktuTp6T2TnUdJDtZr3tjQAvsuC3mdhkAv6Nsf8ZCxmqDtruytS9rBZwId6
YfrDVN337koIV7qsPpagl06kFG7RtVNlxrk1F0DLufZ8XTLwW8dbK2HynVgsjMgpgufVex5sRKre
xKrT6PdjnJwoW0/QEQehWxQOTsbxTE2AireGcJ7RWXR2ssPARdZiZN4PdYGjYWLyMlTap1f/JkP8
3q7MH430xX3pWPLKm7TGF1CF+xhIcVfVXC4gTiqcZk9hJRFmgMWDyNhx3Fsev0LCGim5mccb1dSd
nJxgelLo9BOF10tfabzn6/ijhDHelfqLxjwisKR77zGxothDN/Qyk4pEp2Sr6kRcYMwNZi/NTcvG
ugC0791b4kevTJoAgDQPtbS7mELTAST7M36hF5GML0hsSVg0jBTKvtcwCxbxmdVQ144dPcV9X1CR
EyFWgZZHi/wmcy0KiFQddoUdf6ajCytUrvcyZ3d1VVpHV0UvOhnJUnO90EXu28Ue0XyEI7RHa6hI
3s3ds6tVzMI9vi19tj1SLIkzE3NKUpSLV1cYkLJOAd6Z8LlLMYR90nQQ0+QjQasKvx7s7xadxGc5
1ByAfVcIUgxbjGxpglmzk3CqZpKdluLFXjGGsnrjtlUwQquISn/M+qOMDLHLU2QrLZ8oeeIhPWO/
g3DRVvEwTdSAXdUXV9Ll+XF5JUZl2U+GhVPTtTeVxf503RbQcZ1fCUgi6bNh0TOv3bYSkVag74hF
qez0bejJIXSr6Sgy5gHEf11AW3m0iVH1l6gE3YoN6feCedVKlxCQe1Ydq9V6quA98cXqBX9hgH0Z
J4Yzfe1dj6DcdOlMruq1uyqjdaUIxghaRm6FYgVOaU9UqkvkXtvZTFxXpbONfaiiUCj7p87UTBhz
wa6q9tx79fvsam9ZDieMrBZYwuLllst5SVHdIO9N38zMd4dR474YenIqPfcYN9pusqFs6tzetL/K
DFu9/ZrnGdNPR+uX5CQJzL9Mb72xEmrxwgAdZHbzYuLD8okvsFGRMceWuRXAGPC92kW/60UBLtoQ
XpaXH1HfnpqleR9JZ941rSbDZiZdkuHAW5PLvTdbBdmmRn2coRqIYpZp6EQL20oXcZeq/GZyXAIF
h8emFW9jJizcDsMxtsSv2GWmQoaOt+s16FWQyF9zBuVGF4Zsz0LjJzPpB4yyLpzZAmgqi6LzkQ1Q
jj2OocQYceERb3CbLbI9L/hHgzm1kMe6ttxJLObBxDowX1trl1TJUafDmc/lPMTHdO5s3xjTXyN5
lCDe1ZFPkUyllO5yhE31xxnVKVPcg5m5wLJbfNDxwJGmsT3mmBT9TdbYD3ZJTx71S0LeYH8mYcz0
mT9wx9cWYjHYWEDiTcfRsu0Bysprr8YxwutEKmyZoWzD/O3LEXdobljN0e34oRorerHm2PFrmx+2
dLkJB4YbV27Xk81W7ks9WS9FSwomYtQzWUIegaHxfMrK4j6fixc3ielkpno66e1wicu4OEcWvY+e
M1UaJtIOM0uIk906RN/gMN7Jqv3ILK0lVc9uWOfs6ECknc6EHPlcOofULI/GnN5SUeAngLsJDVK9
gjxyblN3ejIbgln1vmRJydzQ65UmFCZvdjNgZki3mDcjf0f1ljSSNR1f/+RZ2rHUh9M4VkdNH87w
5mmwZNN87PJpDWNPT0EreDEtM1ahWMAQ1RZi2WmbUXEseDZk8kJE2lZLifxU6rgbvZ4JQpsSL65I
SvatEZNo2kYViVb5VRHTdE4ju4dbDmR/aHGhdDSRIk158axMhZqp//DMLsGsAL29pLpZ6wgc3KO1
WxwnsO34qY1xkrvm+i1a1p/3svsYIBeU8MABSZszuse0bBOCTuvk7DbV0WWYHuZD+40UFvtmEd1w
e627fliw2aT4i9dZb4JGyu9UTQiXrfFY5OVMRukib8zB29tDoe71gn4zm+51h8jqZlzzQKTzGOa2
dqsSi9a+qb6GxP6KccGHtSe+mGfYoT1RiW4O8N2IdIOe2WR75bYCrJKP1Io6sltH/dXJmBDWRXRO
4jR/MWoSAatGjtyA8I2dApaktiVva6SsrFMyDvRl/coX22QlGDVPn4zZWfL472tde5wWgij8xsEb
kJXik7N/7y3qWqj+OTdJfqxRjyHKsQs7PC4hcUIYBsb0zbOwD8jMhimv5yvLZb1nxmjTt8r6KVLU
QU6t/Sbw+XEtjduhd25GyqQt3vjC764NJqU99pvmjzcs8oa7YSh/uS1ueDkdtcrN8BE7L9QB4F1L
fD+aEaGpxtGU60OkDVcuBEhAll98Hidk8pwJMW98Wwe2x9x8SY3jYFQrDfH6NnV6ebUsTG20rLiK
U/saVt26qsk37TFDMy1NH3gRrtotZBbH14+YsvXJWdF+R2leu1Wv9unIFGqVXpCN7aGt1wfX9H6r
dqGcluJgi8W6hSUiEYGA5ZxEhn6oLo3Xv7jr/GTZPEY14apJMZ/G+WB3HpGv0a6zxUG65cwhNecg
U+WzlcUs8SsU1ud1PDomjCwJiS1WVSavbeYgKVgWekkcxYdlmh6LNH1PlonHBodu0MX6a4lQtYj+
lxzlxa3nh8wt3BOAyBuQyls/2o9Nnx+xeVascODiBlnajlkyeRNrfB6cEi+BHH65y3CNsh82RLkF
BcnupOwf9GKUfmEuDDZUyIaxal9k600cz3ifnGPiMhXguKq9FkXBFLcWYoahRRGHVfTDOXRnOb/s
TuysyLjNouiAABZ6tvekiHhd5rtojo96N3GqsVRlbH6sCJ4JHdt39M8CNpWRZ33JR0KO2zg62NmN
R4b6aazggCAeurCdvXLnoIqwpau+qdg/QCVcMTAfNCb42mvH1oA7e1X3rH9+l5MiDdP8vQ7ziQxE
MDTjrKXpEV+sB9+cTqEoKi1MjP4rns5jZ6V4ZfaLerQZpU6mvq/QOFa7uzYMPFcrtNSQZ4RzM36W
7snq9B+rNnhOLONl+nMatcrUz8aYgIceRUyz9nVMFmfH9JLvjx4p4bIFPNSAAsxaCyu7PSdKYyrP
0gSHWFkGUi/rQjLzjN1JKi/0WnkfRfXeJpsl7yXx0QbNQcX0L07fPWIZS9aDB6q0DstI6F+/9SbR
CorCaSUJrGs8TtnaC2OKrTJ1DoMWh0VEGQBPRXx+Z93HuBpTgqjHgoqd0ycEh7mLU+IOJ/N3OaEZ
mAahoqnjPjm1sy3GZVW3zcoHctmeBrINfZG7DQsF6xC3i4vRJok5QAiRTfvvSjh7N9PPWU5SuSSu
wycRdtlBOl6vnZf6mh1dscDuptvUik7vcUeKghZJi67VYDx3cTUTleJ+uQNQSLlkpClsSe2eHFys
oXbN89mqHTETtxJo+xjP2sLLb55qXF2TRjB6MqO3kiWas08Ohg9vhCravVKe4pQhqFmuzl3uDHbg
DhmkJQUQL9ZkJ0dVtk9Fn5OLn7dnN5c/qu9OSXylT/FxTSwJcwhbYcXk2w5sF3HcST+0ufWqt5IH
yIV8M/J8XwNSEAeRfzVTdz2shdjDed2ZTv9UVWN/j/mWUJi5Jr65Tp7jlmDn5StOLrjjDka+vjiD
/F0V9i9Vlxfyja+mWt3jC7F3Wus8Rxmw4FgsB5cQABLz7ZeeWa0T6ReieBXuT+LmjF77VN5AsEHk
pvtkRCgj+/KhlVyw7eqSJeGoAKyG0BFd7Od6PtvGaCHs2sRQxvV1F7tfS8sswuSfnmgoE+Xdp278
Yi+WT7aIhacwSXYjaf8IEqxYtNRK/lV300X5SkLCZzJHN5VWHXgFjmwXYyjcueF/sXcmy5EjWZb9
lfqARggUgEKBTS9sHkjjPPkGQifdMc8zvr6PRlSku0dVZkmIdC+qpRa5CEmnGY0GKN5w77lFPTww
ArgOJwQ5fUmX05yG0um2QeXe4RFkJ7WKxvgrd76gB/TJkxkutele01tNZ6RB2g3Rgm2czDW0G44t
SuWejT6epm9opqi4635tpe6+npqHwbC/NRzHbM0vSd5975folDRtcqiFsaxQXDzMufjWsaELYrEd
RfTk2FV5COlMwBUle4CtPHKq+TC2tQFCRgfzTNkT4xGmww7eKcpXlmdk7MmB3cEsCAykukb2+pSl
2qIxeVD3C3vjiz7ctWGLzCGheMjdmHstc8g4yczD719ilLvP1Zg8i3HhO48fRT2hxfVMyaFCSkBf
sv9E/l9jhJiZFngmusmxOxfd8BzhHIKwR7iMNECzN0Fwz17S43AcCECA/SvHcUPQodQkoXiNM3rX
Nv0mTnMCvTI//C/y1H/lIv0xhcOmDuIJLS87yb9M4ZzCTRvHRG0t6Q381FpJ++X/1YT2vx/dTDJS
/edSIm07OL8XP89of4iJ+Mk/x7Tub5YjbdOEgIPmU/EV/Dmmlb85TGmlDwPDUrbDl/enmMj6TSEY
4gszHQCKrsnL/fAdoDvCFYEngdkvF93fGdQiWvplTqvFREyK8Bs4yFF1hvJfjAdo5nMnqtIS22JL
QTsJc9M2aHB8GFVrB0rHvmmQFPuGsNCAV+kWvmt4ytxC0F4s37IE9nMx/g4oKG4LUXnpKnZTQaXF
rZjI3F57PouQ2AYoUvTNG8AtYsK7Zr/EORLzJW92pZtBOlDtW8OqgwVbuKuJA9iOdnhbZYgV/KiF
c8C6M3e9xzThtrHjeCfm6ByZ466Os+LUmUXNg37pD3VmD3s7Ns5IPb92iWXhMXB3ZjOxcInUEx4J
aENYotm8i+ecmxB/dqBYjUqGZTxFC+kifrFIZ/DrjJkqCVBmVm4dn/FVKDJn74f0JfOE6ignl2FT
zhD5bcMvkZ9gEijG8mRXLNnlCEM7sVxcCmqh8J+jlzBngoDXrL2ppKzZxvTPg+me2nJ4jAxxFRt5
gZ3UYy6Wju9jZaXboZzJEentJ2WOkKnDvCflqFEbF1fQ2sHnsJ36Wjwuo38Z/GVbUFmrLvysx+kY
NQaI00gNq0qm88nUiTtRizDMbZZhE+Z1fEYThjnBge1s4xyf6ujV9L3P3E3d57mYbkcyuZSaCWdU
SbonF4ox1yStTczQfhWEDVgrJqBbWQh/A2Td2EB0YAPmlduW1daqt7JLqLkShVPeVeHymprZ7852
b1MX9bjPWwJLRPGlJ79q5ZjWVc44e9XZ1mNSL/oBVRQrCn18vziztmU53lYFA4RIYEyH7nRlF4a1
6wYjuZu77qkuEO3aeFq0uuADretVFKirafaSk+mXH35IZ0Zi2l5V4SdNwzEeCNfqrfm6LceZJr2i
wxzDknlTFq96Uii2/lDwkO+uWgoZCuDSvygXimVtohFixcK35JLE5jsOMUU5oAq4iq9GPzW7qUf4
HcDIWCOjfhFEaPFLzzdOVwY85tSwrZKy2RY4rAlAbvRjwbkZZn9gr4cZ0Z3ib63jHwvMAicn4W+D
RZr9/7wwyu/McJcS/qODnUAK+ejcowV7X+T18zn0km5dTOZX4XjVtvHmm6FItlaU3k5MlVG2s9XI
DLzAKc/S6Xvs6lGNLU18k8WeuGs2KJPxQXR1yax3gfO7wdEL9ehRLg7s8qy6H0rmjk00fWZmvRaL
vrZHltFCezQ7We48eNHAQUo0MviCqmjc1NX0xu/lrTK3zGiNqf4MX5Xb0LSYL9AxPETV4pH3s8SH
xgK8ZC0hWA5a6O2kLVD98ty28kIwsLz2pvmLlQ0HKGPRWlpMlErFNC4U+XCObazikwnCT43RNbsE
tON99kgk/CVl8MUcDBldlsoFr51/5bYFNP3C/J62yWOKBJkK3HiB9Pc+hCiTFntigRI6Hym6l2M9
GPm+4t7bcJOb3GvDjIzLIPll7ifw9m5OONc4vw6jdagy8xJ78Usb0FNmyg6/9mUGYZ0SuExa85DY
AXwyKlkO0YuI8keC5zzgZwIBAruEKVx2YmGsOkig3b1K100t7vMay5GTGe77YJIJsHAGl4HV45SW
N1z1l44zZxXH9tmdOJkYxbDFCPC3+DF2z3RBQmdlMjmN5ihupjkngGsWR8cr3hfwBmIyPP7ecDTa
Nn0IcNpaSXDr5CkmzMJ6blO0x81oMhTomJqjRjPWY0XMB5yJ7yKXdBNu/CE7FBQegmeJPUAJceeW
Y3EVLikEJzkSCbIsG6/3g5Utg3RLmhavNNKEmCXCNl4FBEUZXhP0xBbfF1+HsWHxY9/2PcA++FRt
bZlYp2dWGnZ9z/QSoFrBmNfPe6BxEWJBVB1Apkb30NvzsUhYV/Gi4dqT2Adml/lzxUIxqb03xvfu
SiFcQoiR76ZgwUeU+8XZFuW3OWGxUxBWVllTuk8D2r8SJUhk+J/S799xDx6qXJ56FTKUb/JdgjY8
htiAqEXuDQWJD2cQUlJEHHH3zIzeAnbifZUjURa19aUNUnYYnZdeitZ5CVzrtAj25bJADOsOipLW
zh+tykXuDshvbnNvy8lfMUos7gPkum05P6N2TNa+OZXXziJv+fM/x0i7kMtF2FsMfLSNnXjbhJpv
7bg5KzaVcVUM8db2WfI08XyrGt4lcGPsWc38FIUozywd2iByccJ1hrggyPINYThXWLW+kmt7jatl
k3mDtsWYIdY/R6x90Ei43iodFldd/Lg8oe1VX9yx/loukbfteCYTbhV/byLOvHFkSFVoB4RZkVIU
SHESUE62g57XR1HQbvze7c5+jZhQBHaKm4orn0XlQ7hYigmz4T16OQOctNUTS6UXBTOrTsBgxZbQ
vWZd2EWxieLuMwqZzJdN8WK2rGGopy9zlbymbfw9c5uLz+5Qg+MYF2VMR3s+6m4miurvF8T/bUrd
P0QFHjXpP69zsdYiRfhFNP/jx/4scr3fPGULClmNpcfV86PIhbCFf5fniC+Rv3s/ilwAvhS2tufb
Nswri4XZP4pcYWlgl86TFZ7Nm6Fg+BsAX+VoiNsPMYIGsDkggoF1IXsQxCNp9+3H+31chPB+xf9y
cosTSZMHJglNpBhg5LnKnDfWnNWnOFwQgmW2jXtLmpWx9fuQ5C9jgL0g46fWzt+I6fHRZje4Mlvj
DT2GxITZdCAKqxeZT09zs5ztgFVJDgyRm3Da2HUDKwi36sqzktsoLPd1Bpknj/J427mBzfkjyfFY
grcMfw26K26whXU+82+Est7MorD37KduqneZa4YswwgnK5yU/aHVXMLWeoyk+dYNPhzSIGeU0Q2r
oeeJ3KikePMpFNYeIblnlZhMnMoiXyW9+5m4yOnd2XB1jVOr6wIm6dpURMBYOcKsCZ0smx8vcW5V
XV65DbuXsuuoKlJHbsE4IUGlRLbia1NBcBJWdDWN3bIhwsLcEv7KemGGMztW176V3yah+VFHBswW
uzu0SfaeA4bB5hYgaAfJQO8L96EYzEPslDsrZXTZpJjhgI4RxTaNM7f6aG7DoKdumXNtmmXC3goU
EdLbk9bKnk+NHRB945Ka0jxMjRFtZ5Efs4mzRvYIIRl73LEdMDdLEL4ZGAhZOTPjHK2E3oa0BuyO
JsAdmyzG0nG/oTE5DGbxOLSgY2L2NUY8djeuF5VbwblGveuF+0oM2CIGigrF7YC4EMphonmHEeDD
GT4mWXKwENlDgEXkpBUrpK05y/XhFJXWJdUURcQd3Qnq18BXCmOxmJFJm8xmGNL5pxy24rbQTEbc
p4b+pHAaNbGRafcFHYvm0cIM+p3q2NhfFs15rDXxMeKyTqDLbCYN3NRUyBaaaAImsm3hhSltoQYg
uWiSZBjaKbJt6v4mgjNpUtXslhoPdqsplKgx8T3ZfgoRSHybNauyoorblZpfSQZueB1rpqUAbjlo
ymXc6qVLG3drU8DADF1omCR12OT6Fm+MqYdvk2Zm5pqeGWgmFic7C2dHsFeEsTlq2maiuZtji8O4
0izORFM5DcKMBzJwdkAleRIKC5FZgBHD9AtBuTfRNmrGZ5979znUnwWvF+uAmQFs0z1aWf9UakIo
og88Zpoamlcy27aARDtNFLVbfJPNH5RRQEF+VrBD1AxSZA4nYADGda75pI5vtud2wOdS4fLQDFPq
ob2lyhe37sHC9/Jh5jkbxsTRSraYVK+kl81IimyNR500KFVoZCrXH/PA3zGqGqjqWYxxjVBNG7/N
jY1wAK+2HuN5LBcmE9XoiN6uxVAKrFVqbGuU4m+kqrsJlXUpIbs2GvE6ekO48dkdIx9aVhhqUEyo
i5+M35qgfRgcu99MQYT5zqFbTecivyv9+XrKc7H3xoylqw9Go5cFKJComNdR0Z6UqNm/ofg5MoFg
5RIIb82KMjtVVrdcqTSD8WcY/mFwfGc7NUt8s1iG2tVo6ftRPAOEP2f58MlQ6jGW3xN3vlcqvqJB
QqA9AA92arEGKgd8p0YHNEM6vHVTHATSi/Ita3/+ne/deIoE4Vj5xdGVUHU7gRcda3P8kmTZhZ95
X+zUQ6hl18e0H/JdQ54UkJnmLWZHugapleu9FM2XJA9siIdHTxU2sSzGmyrb61zSw+Q5UVP4quOd
K3TxZzbk4RTd48ijhMcEQ9nQ7K8HCz174ozfi8b6Iir/aC3T5zzSXzed/KjkyJHvUXz5+gsN5njf
sjbBqWFs2NYeIxxFdYLoOcPXuUL/S5jTkqN6r8J1ufRQBvznoYbNPEdZvUeORHzYTN3jZMV1OsV3
wsjOKosuto+IySYr/Lgsy0uAqJhvk3WhIbwzjtJHg3lkM1KFDl575XTWg7KB8LhC0L9X17VfmNdB
sdxEAL3OEUFZo24rwmm8Nyw3uRrQT63NYX4Y2+IFVQej1nzS7zCw4sPaAA6RqACPa/Q+rpDGthMe
UTQbDpg/1PSsDbtHc6qbK854C83IgIFDYaFl6nqoI4slc1g+Vnle3U3c9VWCuWogB4nMSrmZivkm
yysuOwRhUBWINB9ksC0ri4eEaA/1UAKQiUmhxsJNzzx+QTiTrULpDlCf5z2pdph/+xm7RbAErL2B
Y7KuqFBQJI2zk4XESJbbr86sNgP7Yj/iG3PIp7zyY7LQYpwnPA149HhVn8HSwWzfZ3ZJO+zJx3gA
Lie96iXqR/+wpNrtYFkby2YZb6jWW4+2ppzPLhrFUOuma/lQ4orH/g5/ol78PcMQF08OFKQiU2o3
8OxcVXH+MhfEpQOb+SZ7VCpG3mToO7hEHHQP26pmemJyZCHcP5iE+O1jBDBzlxRb32ut8+TED2aL
QrIboCqlWpDTGSaD5DjMMa+TyJsNDvM8N6+3cWSekpJVDUQDb98jRb5SyCT0pfo4e+5wRaf5GZkA
jWLy3PfYh14iIjHXaQ9MPLHIfCRO46pvTUjwUWh9x8eGZb+qWNNllso+bBUMICezqrmdwSIgvgqB
O/FvZ3loM9OhzkoMbv7G7MxpCx+AZseCbnMux8oeNkSokwbej8TiAgMzgXk1pv3NbgRA5r5FraCJ
X3Zq3OWaAQYS642bBGCC5oOlMbHu9iTf0jBmRQVErAlqhjLAIWGLhwzyMMmRxve42AHnRv1l0Cyy
wgBsFoAn8zWnjLjd29D17xrGHSyo0aDV8ikHbWa3BPbkeXYPOvNEThgckDI3UcxDRJOajdaTlbSq
IwRzCDJCGmOdScJ8CCGA+YLUDMuB3fp3RP2mLEahr3GBB7sixO9OmQf8QlPaANDMqxJw2zTG7xn8
L1MT3WzQblYRfMKAuxCc8EEAyXkCAScX/8nVTDiikr4mi/+MpnQ5xH62ByxF6mVGrBD4BiTmSA1X
dNHPgR/sSAG8d+WRs5I12VVgMUQRlE5xbaWbUo17j2vLMUzGl+SUCcUcLtRsux7GHZ77fCnB0wG/
E/2NsZzbPMYlBxqPXi08uGyyeVu4eciV3mxN0htNljBucd2A2Cv5yjoX1ZLfXGL7KPjTDZgsfJ63
uQb0GS8WD26luX1qguBHO3xgI7lvQftRH20CzfoLlvK5c6D/dSEcwHKZmLhqNiAafDpLzQs0Cnnl
a4JgJYe3STMF7ST4LjRlEJ6YBDpIHD0Tg4h6ZCr50v2wDU6O3pH2bvEi/fZl1jjDIXDJJreIZCjm
d1+0z5U33g8agahgIbZTjz+kQtSVDrSipkGgKuTE3jfQlDk8GQVQRT8Br9iaFowLjVxEZ4pQOQTD
6CjrNpX9odGARlVMqEg1tNFCxleNbfKlDfNLXLrBLUQR+hGXKVeuEZCTTPYBTEjgVFiRPPsD9R+3
RgU4krYGhKSGSfYaK2lqwKSMIDfaGjopYrQOGkNpDDg+LNldDx50GQGrEm30B6EdNxWioitG+HoU
uGQhA47cYT0F7nJhgWZrACY5wQh9oAGK+ZG18A37+ttZ2Xu/ZoITWJKYUSiapsZp1nA1KX6uS3Dh
7H3do6vRmzYMzv9bLfbPYv///d/IEqAAt8CY+ldt+GP8rfiPmKt//OCfjbj7m/Ici7UOvgDicuip
f2ybPCGVhCgkHPeXRtz8DfCUafr4yn1bYNH70Yibv/Gb8VpKmOyj+N/facThWP2lEccBbyvb5gUF
Em/b066Bnxpx0kKpUlMH3YTpHccqexdR904oQnWfOQobEcwShp9Bep/2VsgCmJsO353JrCY2LvGC
CAZVLYEVRvrm10YltoV+Dvu5Agjr9GH63OGchQJVOcumTmpbIuMe2/sMpMgar0K76QE+IO+wyF3t
GyxJeBQ2ePmXFYcZwJew8W5y6tYNE6ly7Qs3YoXOIEDkwV0/2jynijo9TLZNEKc/vXThgI8qspAi
DKyau+aY06GupAIINSS7kJyBbUNveGyJ01zFJZr8lt1yg9EdJu7Rg/hLII19JDgeNHSY7HujLPeV
EeFfrR9jJ3k0nOQYWmyeJ1gmuFWhxxnTQWrnWtYC1bVtZtNA/3AiPOZRvWVP8BEFLHrdCZ9/WZFs
QTbPDZwVY92PwdlLKhucq/Xe+cF1wr5tUb29ydT86ljg6iqfUkGE8QYjP6Zusiag68RrGQ6nIDQX
rbf/wnD+mAcOWt6hrFauS/J56RFzR1TnqlPjxRL+qyMb3t0yvyD8GFG7pBJiT3YXRRj3rMi+K2Lk
AR0TkNkZelCBhAHICAXSnGNS8PISAB/8GkDmabN1wOHUU3RYJoafoUmAR8H+EdlMbRC64UJAq3lo
+njICq/WCLDezDaMlpKSDcPMcMOQTvaEcsDmidHO9l1L1YsbkYfDA0pUXUPVfpPcL4HUATR56651
U7/LvOwyyNi9l00JSHuMrxflddiQR2PT475Wi1/sRcm+CFmjfQeMrNkZoomfgV/zmqGovrpGLtFv
ev2bKCbQCoYldgS94IQeMeAxINE1H6qjcU39wEOhbMKjIZV3CYvgQEQEvhkLz+BiDYDdJOyWSlmk
MBZS3Hm5SfEhwhKtnZ/dMjsasm0/QJbMuYYOrhGJZtvP/LeslHlMwrB6GznPX0nXul5Kr6PJ97Ci
oRZl8xPj1tiaElAhCPLwkCKd+5JkGDpWyrW2ySiSzd8/wv8/I5D8MRTVC/R/Pkt9bN7/Tfe/P4sG
fvzcjzPcNaWrsFDZrvw98+zHGe6TbGYy8vgLqVCYv+HB0hBDzldpIxr4xxnu/yY5a6UP1+DfZ7B/
6wwXfx2mkpFhKZ47xE3BLPT1rPfnM9wpyzhp8O4cQmRN91ZN7kyMQ4uy+K3qyYP93T0/I+9xMGgJ
zPuq8xHTJ8wP7+ogZBnbFeJz1MV8V2mxv0IebHeFqwvc4TimQq5rsWAt5jTxv1O0YvEX7VhtyQWR
MVuWsgJTACmJYaHBDc0ySbD+z23LK4nodeRD4UeK9WAWQC/AXsC+1DPxcVOjQTFJLO6/rIGCah7Z
Vn+i3dwmCuSPGRE+kPWPUY16WBZsKGXP4cazE5FS6nmHwu6/9jnGK7ch1bsI1vOUPzs9kFaXec9G
dukbzjbyZu3MvM68uTuhu7aOjmWIbVt2PhFigXec0AvGsLwT7AIMny464fAKrtW0H6zmGI4NLv6l
uS2N/DZMMWLWCsLr3CZb4P2ProA4OtiKSVFib1HgMiYVpf0AmPe2MlAFYMyqdoa0nBuRk79bJ00I
PwMLKvFjiXpp5BAdMOh3Gxfw91OT+whlGyvHL8QaHZl2F3pfY+FX53qpw5ekG5ZPUwUdzt3BaZgj
5DaQkahxvsFg6ZDp2e1emVl9O+BpfXNGMKsqQVNdcEBfN8q+6pr2A3dBsf6f84N7lO0giNF/cX5E
/fu/PUa6FDz03/6TU4Sf/vMU8SjdeDkSdhwF9JQD4c9TRP1mChye3MjMscgv+YfuSFA9IklSvm2R
ueib2lP677ojIVnJOBIdmeT/EgpK6t9YyTiCV/ppJYMyTfh6VUQqAEIgfKzUvr+eItOQhYgjj3O9
AF0O8ePDep6RxaXGoYEbsi6n9jAO0+2QzMMtMr8BoBCZfkwKNTITYW/XwOz2cg6DgZUPqADSFxgc
+rt88eESNPC6Gea9pVlfbQ3iwXDCm8HaCq18F8Xx91g5D6Gy509gMPbGjRSJdQkeE8CP1SZUGdXC
SDkxT9Y9+thkXWcLKnemSbDbyPCzAGhDRAFmIJmulkH4BBkm2y5Bcd/HwBYcGVuP9qJOkcoIBpux
AMVRctNGxM2h22VmNkFJW7IR2L4RIg2G/cemnnh2Cwlh6RjiMgjDeZiygborhjc0IG050EqShjBU
r4NLGxvl6LBmZoFYwPt0t0j1ytwaU2w1Psh5ue0imJBeTZzJApf6GPdltc9msU0T0uUnNrf09WxT
EiLpMW1iCqnDz6LOXuQUn2VJvVUqWmyEi/u6Bhs6d6SvhoN5snNHnYtmuY6cuXbP82TvU5s1sili
dUq78SEhf8vP8npjFuWxbUH0eSJgBx/PAKIcfp8yRgnbUaascqmCizsg6CXaAiFTUTyTFX62M702
tjDWxNZD0iTTPqpHvkTB9G2c+4ix4DJAmU9qfL6sGaPqULDKwNxbi+ItzyQdeNQL5svG2LsnLFGd
9UYnLMmlQQ+xmqLxTpbDgwWOep06/lPINvCgYlx7Rh5j2W065jLGsqtisN5hz7EXM9Jch+jXwMdE
27xXd2VO1oILHq7DiWlF4f3iD805KK3Xsgrxzz04jO6Y7gw3yF78fR1zYbb5MB1EUC4rhTYap27l
3BIkGfL5EC+IsD8NCRAAmVnJGXMWEv4lOgSkQazHov0kic/TyoccwqVwwXnbn2z4l0NZ4i/Aw0Ko
iNVhnG3FyQxz9cVp4VZGfs2ef7DurDlnpMXEecRcilSDRaareSV+3wJdifuvQ+KPW3yTtAKymQ6d
kzxF/owGYwnvGBC8Bja7I1j+YILYtg2NuKs8h+gxJEewHQBKma4ITpNpXDK2em7V52iO3WXn2Mlr
txQEvVXhl8CU6MaEnQNcYn6bI9PB+6VZ/QTrMuqri5UHTKfL5uPMP72KCpwp2uu9DP1GOdz/Zl1c
6qk4WYLZLeKz09xyXWX9pye8L2Njofg37Fv+evXKrKDJ0jAlpFwAYcyGC+NKftnWPw9RfD0ww97Y
0N9XdL/13vDmqxDV2209psZagSo7xGkIrzMHTFuYRg2ACvbwylnYEbaV9Smc+Gum3A7ZQYCmrbgW
TvUlEc7ZHXq55+8Kc2LuLhNrotXE9KVjVL6xWxSCuDYJusiWBweN+tpneFWreAN017oJnddG3sbM
R7eqvq7mvT1Y39q8/q66sAbReR3PX70qt4HtQy+DiKIJb/k35WLbzuNDVSGFrmPjoxKY2F2iD+XR
LQ8p0RDnqYy/pqX/MTjfFObHEQttn15Dky1RsIlzdYmi+DPtaSmJZYBuKM65e/Kr7sbLajYxnbpP
80Wx8h2eXMUEtscrGivx7laS32SwzgrHERfiWi0FJ5aGwiXioUowdI5IDMFQBa9BXZTnmSlkNt8m
CDxz6BXz8tVc2ouGHC/2d5ByD7XX0HG5nFXmhF1drVpfdDsVp49zc1W39hU0ybdmSb/QEd/PCdNo
o8L63MWIVIjRXMiSYALfTVcywmQWl8NmkOLNdfJvKPqKA2QiLiz27HUHt3SySIVZ+WYz4sOF6Cvj
4eIX+UPozOdJkRdFqOAlHkDpqX4aNrbJWLZ0TvHiZVtGebgYGTByCdXHFn/0vTKbe38xyZoUe2An
pCy1zl3agohssvyaB5LaKuA193ElCQqYm32r+vbRq5EIDQZ5D2SpAN7os68uVN8N9xTCw5p0hjBD
7mO49rjNnPA1YwRRhPZVZVBVOot7/J8a6/caS2Pc/3mNddeDkv83YCL/sbzSP/ijvGKBxpPKp1xi
J/STrFtB3wC/4fk69A8wx8/llekqSfAyDHqta+GH/iyvnN/o7LQYBmwHxREzuL9RXvE6PxVX6F0o
qFxXp9rx6zmoz38trkLQCWKJZ3lUTMjX5MC+eQmKRP7t3054/ss7MW/8uYxzgbMFRdHLI08K1l1s
4Ax/HdR/aKqY1v7nEdz/+edxLeWaNMT0ub++S6UM0ld6Po83au9tljxRN9WazDqsfvqqb//QBP0c
9q1/31+UQnwez3awmyiPfhHh0S+fBzu7VbFhJCwqZcncJy92buz/9VvYv5a+f3w7HqNyGnzJI/av
nwbunxO1uSOPhlF/dfDPrfN48ZHN00hiq+s2FQ8MC2Xc1eTiWcFt/5yJ5HbuymU98btv3RjRPeLz
GuhV8TFjyhQzIzMRlVdhoa4MP34H87mVJJ4USbt3zR6MgtXSbrNmIRLv4pfjy8hKcM33d+hRD+7+
9Uf865hXX3+YCV06CCRclPq//hUpAGuiaXnq4HL91rTDc0VuZ4BcHWsBpSjZX6umE0//+k1//7v9
9bvzbYbflonjgjnJr++KKArrWmRAeOJTqZjMRKIGYqkp+2eZB9UqGr6MtbzKWXVbdfS3r1GuGZPE
eVDWhEiov9wJ7ZzY7ZAPzPtg1QslT4bF1l3+F++ibKIvfrpCdeOEaUMoR9gW4fau+5dPCXvAcvKl
X45TN8Ib6221TVXy4Dszvcrosv+Pi+XsV0Fy0ymDNXkSXaupJF4lmJEaSXjLTkX/Mi/21ZSV6JhR
guAzhXQOUWEYWkwIhbVBnxGuW6PDbd74iJkdUF2tz+K8QC977fbIOIBeOWSj5MTusH8qLfyjzkcM
U2oVxciGJfBZyVvtTGQdx87vxSMsT+uQ1fm1k5js6qqxPgnIn5QXBcIjY5+19jlOuhOprDdhYB9T
vHGtt0HAFZBJNov0Ka+Haz8qGbFo9Ar9R1DswlGRZZhS1JWgF1uzNDa5V+JYMB8rI3vuuyolc6w5
R6XxAOKKdSjCwL0Th3cyomchcvbG09HqKQT4tWqIVcIR98IQ3944bf+VaIppGxtBRCW7GCtQEpBr
a627ZYaOFtxKXwaYQdeRzbqb8dDJJzxrB0Eg2zSmahAktVyOhcG+OJTvzgh1Mm+XkWE+knhlLa9F
jLpwzKkvipL0KLc9RbP3wYiZ+KMSv7Wdn2BUXKBEy3VUgh0bO+uZVSNMt3CIiKRAeNgoebEUFsHA
rd9R4FE8L0c2BK9T0V9yI64PKdKlVeBARa3Z+FYOYEYmv6+9l6iNiffinFfOOoNNajviUxE80Q7I
sMJwfvJkfR9SrUWL+eRUtYavlOthjup1byynAc/4xnRqi0VflGxiRdyAa+fAODv2m4osRySD49KJ
LST2Y6fsZluZ4Fs9PJd2XJ/jQn4Ohv/QtiStl138PuMmWuUTwAZMN85hnNQhMrl7YwtGGloPdsmB
yWLCSr4RRtTsp242rpKFpEbgh8LZ4MNBxpNoDQq89HgOv48ynw8GeZT3KdJP9PCYOreWT8qw3TTJ
3uFMdbfw5uuv3B2QJ0wEFBwWAIko3b6TPLVnnHlMZwRh4fyh8v5MFti3dGjtXWmSzLCEy772h6OL
xXQVYDZcyYQsA7+/s5L4PPZlvRn7qIZKaQKG4hG2Cl0FComeq+hrRDrWpknte3wABwuIhhXXb2Vb
Yf3n3SIKCFQiPAdYY+iWctgJb27W+TQk10p5Yl1iDt7QhQ9PDrK6VzG0zD1qJnaRTain9KGzq8q6
5X194LbTlYhCdbad8WFY+uRgBHhGPQPNfylODrj41UAW9rtMbeeGuWq6q1X1fXADMr4nNCKrqjHe
YokGD2iFc6ImfUIXmzAI0YhLFYxrN8kk4Sfz12QYXtHM5JgqVLY3AIXduLCrkWgGl3ZwL1PEpphq
l3WcuO2dKj47cRCvs7i6gPskk9EDgio4RbYwbN5SPc4p9GAHmLQPYpiecdRjH6UHQCzQYV5MKNLj
hnZ2gie2CqZu2DVGPtyO43BbME0yyo4leeYFhyUWd3ESn3DD9+SqEYYy6/q5ZaOEZes2p7DOKbAZ
D43bSNfcja6+ha7Dla7IBaV5YLjBetTVuq/rdg9Y2KNVNA0OV/lhwAtgiUmdX1Pwm9qH3tACLHic
Nx1NgTTmczFX953uFpa8OgrdP5S6k0h0T1HTXDg0GZ7uNmJ01OuBBiQbMNOSvvHdy4E5O8jZmxCc
VpEAbe7XS4jLOSKcdezXE7jecrGOg7WP7OTIMN1e8pNhmHAKl9c5hYhpv4f9uU+GPZ0qkmMnuXb1
OSyXR2EViBVRLrmMMtJXCFdXxowYFKdNsnF6rXxYp0S9cs4A7PZX/Yi8LQCvZaREwrR7+tiVZxPm
6vb7zpqORvUBC+MGnUaCS5iE4nolGKClV2Kqv+cm83h7JLOsU7u5dJuVKbttqA9Oh0yxufE+pgiw
myFfXCbQcJeZy5gGViGveak5IN2sfZ/n/8PemSw5jmRL9lfqB1BiGA3YciadTp+H8A3ER8yDAYbx
6/sg66W8rKyuFKlFL1qk1pkR7mSQsGt6VY9GH1X4Plf8crPGtyamBzR42w3u/KZ5nkmsAJxecli7
LnOuRFWdCOTczGI95eNzmLjPOoPURLRondXuGdvqC3SEa5Xx/wfVrlE2hrhQntIWj4vmWdeIod1P
5CSxXIBTz+VeB8abmxvfWqkDKd+tSH1aOV86WDgluFvtHzhiZO0cQ6+j3N4O1mVKS0X/GEmgxJVH
V5CLL8wcr3CmXyMQQs6DEZWbH0GT+ThIvT1hnHmDBGHuI+lgL21m6tOs7i7R/Hp+2x+lISl7bLE4
Y1EcMfFU5yLvPb4o0QANTizeUNjeoFJjFBb96NTILJUJ2SyEjbexbXnVmWW3a/3gxFLe2bEAuvM8
wB5pb5lk1hVw9hxxKBmrk4MYcU7zrrxTlWahOsQ81yz3w9C9XqsMNjoQCSL14EK7MLjqehSs0bMu
Lg2W1dC+9oZ57Gl/g7LO134046/E51OcWcOj41beChjtztON2E4JyaHBHog+4YIu/fhzCoMnt41e
xQDkXofxlzvMFx1R1WeX9zTsRGvg6MWmKdytJXKc6mn1PEj8k/hrxLqWxcdEXA1Ha75WqhsYpcis
KaFoy7PqfG8J793m5LcjB4nCxRoVPbluKjaNr2BOzBwcLQnEwi7PzIOrAIyX/a2szwQPe1tjoq/D
G+w5h0TcT3Wzxe+zzqXYaKenKPALO+JDDN6Mv+g0etW+aZ6C7Mt3v6mnmi3MZH1c3syj85H52SmH
vGbHVbeJ42cwogZQ+7DI9mWoNt6S1CW5DxEUX9NqCRCmnznLr3mCutXunWJrFzcEb7djFL2a1ftg
WGvPr4F683AV/GcrNO+ABX1PVnxJFCZYpYFOzSc96WNVtksgIV1R2uXyTIoeqLsso1NiOuAIEVwg
nVaxuc4dMODUYqQB3FJHnG3VbU2yVbUMdqpjNCJKu0qmNyc3SUU66j0y7WFTLjmfoss+A1W9M4bA
dJjjHIwap3vEho74Us8py2IsxprCNUVGW5yNt4nFICAlHoaU0NU4qG6nnCi+MQcTooh510w9H4gK
EzkFiCMw7+LJr0jpRfk9GLVjFZCu7dUyRtnJ3qNvxurDnyhLdklZ3hXteI5bB9+WU0IZwQWCwhWe
sCYyByVUl8C0/OkN5dxkdqLxYcLHAzcmd9om5hy4RXlKkomGEvlCe4i3taaMcIGAFZD5NkBd9v6B
0T8LQBC7MEjMDSr2DTcWrCsggTaz370GEya8ItDBD6MMEPsIijszBAZw2ZkE9xJJFDW+SCjgdIzl
OOMA7xEJpn6EfzM7wDwSErKA2bxc9FinFLV5jmf0NZGNJ/CW3cmeuAU1fOV5kENPGz3v0cDKiXMf
N/wkgwdbui9+lJ5zePJman/08JRDe9w6Ax8E5cgtA919ZfIq89IQn2YmrN3cjeMGo0vLMOTnh98u
dv8PILD/n+Wu5F/WGp7fi7+BZYv+VYZa/twfZCjAAtwI6S10uA7+ccuH+BSgmCwBqz+2GpKuQp0S
kn0eVjHMAchDv8tQJtoVISn2gw7klMCy/hMZCtfZP11W6UzkJy85LhdNy5LoW/98JW9YMIx5ayVH
5Ss6fFzrLmy87zqOJir2akahylOHwU2zNUvj6Ab0T7kZ8/TRbwHuQXVBrp2wEoZIHUYQ3WhMSvuB
SOu20J7+MOku2qbp3F25ITg2nVAd0DpR9VSrcGJhjU/ay3N5FgW1u5SsQWxEesC3Tf25nl3I4vgY
x1KD2w7Exakahyc8EeUxMDcNHL3EnpMTj2tiIZm84KNhOlUtBxh8sZVb58mlrXPqq8eqfgq5UnP7
nra1zWTKbYDmisz5iHvAdGPuPXBFPDrlQhpQfoU1QT/1afOLqXOxt8ILFfIqKIhajn3x5ib8ZURy
wPRQZEyVhf6EMsBKSJhcpUY86/QTso0zYT+NXQddgfsEZgvrc/ZZ0I0K5AzNis6+F8gcES9sLV1M
Xb4qXkVfE5jJGh7ss/OeZWV8cAbvKjWIAE9iPIyZ/QEswN+A0uJ3pdklS0DquZXtU+lbQIBMrPsi
Sl7Dsb3UZvyS6dnnwh88KcC0L4NPLyPlOd69YJsQpuoRdvVETpwwVGR2GPAH9jhUk5O1c1S8syQ0
+6IO+7XdMERaafvmWNV0mMPm1tHRC3tfvBj49V7pQ3oNNQE4/FTVrg789KituqRgY0lu5DTCeHk5
n9Hviu9K5P2usB31IDtZYtNQF67LvEVcey6CYXFDOoudQysejIzxk3ZWWHr0AACF9Cl4UDfarl9t
zuKume2d1J7YOqmKNwNrqg3RHufOEOoEyN2iTl0+cV8HHWC0HrddV26nPodoGEQ/tkGjoJ17XDTL
0bselJXseGV7iBbFpqNwa5uiFm3GqJi2k0USG1N6tRe22WyEnf60tWDppGu5NkX9MNrhnV9TJQu+
KuDT92KZyt04uINdWpTHPqu2ySy3psQHBr3Pww60jUYifAxaausYNN5SSbnrR4uFS34fmOGPTN3g
3KvhPuooQSsa60zdAF5pLmWWWbBnFt3t6Jb3UtWsdAwqYyxt38azntd+mTLjLtni0tVvVUqKOeZt
2pVe+ejY7blMkydwEcV6jlN4/KI7U6cAPMN8G0tAI34SkK4KLm3Vsu4fwy/MouWFNezS88hBOUkg
8sUYlKxmM289647mLgOsSAY7yamtx7Gb9mGHR9CLUgLLeX5kJ3ifKO8ISuEeEtI3/RRMHr0L67a4
2KN9bRfuLbgvb2UV8sarhFjLcL416vTkKaS0oqzgDiUuO3FmBpJE7j6O1FdnIGg5kZsd7LK40Dx8
OwreYFL6U9Tjex4ZifDJUUD3YXT6wsb6B5chr8BKUvbz5ntQcvPIJK3Yg3nP2WlBLjN3I64n9mVY
jjKuqb3T3ja9+rCU9WCgJK4GM7wJmZodnkAaKKmAFATLzzvxgTklAnePG9500jpWDZg4j+3fVgv5
4+nu1RZDQxd1/YusLkS+anaPlQF4RHItmMpA04jOexhNdb3jUXJXV/KsGjgdFJ48i6B/sfnX6GIT
lFMYfVZLXWs4zvW+mssz/lNKlZwELFdm7ewixaig+p8GXvee5qRzIHjQQnD5Gcso3GUOlRwEyAgK
uT0zX+Qz/4ayAVktP1NtvBnIZXtr7MwVTOVnony7mSNk7RvDzbRUIhcgFehxZedLkrUqnR+RUClX
Dxdf6w2hrGtmpyswuNxHouYI/eMzWwqYMcN9zFZwyKrhSdPQPE4ZJVJLafNs9p8jLc5Do8tj2hbB
LeIOecml7LnpmzdPxRoGDtnxppGPckzfZ6N5UhJNNOboQVGBMTYkdEp1OOR7j9UsuZZSQmgT8suM
DNKhNHjOzkwRS3/Ei0xvAKYQjlyson7y3ZeOv64a8waR5M5h8crm+Vxl+DNd0Pq1fdKGvu3aem/O
9cvUocNORriW9HXyG439ah4JtUw1DNsKAY4vafAriZ23BmZHPyWHGW4JeQZ7XaTWdTn3t9PkQjAr
uFhOyYft+MG69uTDOC2sS1ef2I4+YtGn+cDedmX5HlTGcyyCG2CsfHV8fZUM84+aZzobAGmMDiRt
+Unf06MbGD+akiCiXQXEZM4bUlN3nU+MLeQxRd5wn07RPbuuG/ijIX157r7jeEha76uYqMWAw+WH
mFNLkXAzNx78ctiIeNjjk9nnKZw7q+W7Pp1KNT+W8XyTRVzLhgF9Y0pPZZ38Ur1Awk2BwitqVPKW
5uJkL3myW1ZerMy5uiqM9mqGO4c0iNkmbI/WUPK1xxiY+N02GfoPE8QPnSbhTerhH9SVaW8St77C
U8Hzz0fejPPtWEqCUON1XWAcd/RwDON2eRu2HOgcZHbylrKSqumqiKMYj0E4ne0Z8o8B0D3tevou
Ja075rkJEK1HOIwGYTVkyR+QhEvuBwpuZ9b3k9nsDcoiENYPuug9quPLz7y27LWR1GhCWX3yQe+u
awKmpp22XGeIxlq9PokeYBElcd+TXXpE+AJ4RKVHOJ3gz3NTApSdhaaJMzXlDp/fnsn9JvSMc5fv
4qYSO+Kt915bPcNUeJeM+cKQuK30idAsf10cvMCMfy6X2mQFsXUlenXMp+4mB1PBw0VfuQYvktQg
ABHvWOJQ6gdFxs6+CuFkDMI9oO5fvCI6eTa1EWkCGHc0q4dOcvWNsvCzH1pg1uTLfYvhz7Vqwjm1
A5wHN9W6bcsHkY8tSjFU7jgAYgQIWeKfTi/UZce7HIoaLh2OmDk3zqJJMoCS8ouU91fXUxJle3MC
tZtWqLpkHx+1SF0s/H/lnfFt63HbmwNFMAIrVUqObvDY/6dee9V0UCqyKOJva9V+bot3n6pjGL0Y
JymBXOybwfsginMMRaqKnJd0EOiUWmYXXu6TsNmylBRy7ujE+NVnYbfttXNwmuSxl8kH7U8xIekU
WZEN8wp/JyerHq9xylXkG9VrNpZPo9HBShd1TBdO84M5Zd6YbX/yE0VMvA5qWmM7nkjx+NpQjFuY
s3FdW+I8DFAi/ZnobKckCpiyHxvb+FZRAJxQtfXCZWyvMP0nK8/3j3M8bBtHrengvg7z6WEeu/w+
q3GVFDNLxlTi3DfN5YHUxhFGcBRGvPf2KcnCvU8WgmigmZ+qpFmI2HLYzGZhbIcgPhnedKNS/r0y
2w42Cs/q1mGJ2TlQi2HmgPbBcWsCVr62YsKrpuhPZRYEG/auYIMgDrMh5P9wlPRuOz8hkmnRSRg1
UC9VVXp3eZ8+sLRh5imzEkysqdf2xGKDPGTyOJeZ5pdF1BEwesLpS3LPukqHKFrrbCCcG9nPPdIm
x6x5CeiIuIrj+TJZTneMbZ7zY1l+SguxEfAgzVVh9DAOLLNwKa6qiZcqexluhhS1I69uexFcY+WD
mZUMDJEI+LMeJDXHwt3lPUpKpOy13Vlbvy/uW1fWxzY1u10etJ9UgPFtkBWs/zTPDo0Mj7GcEOLQ
40u67FctQjrDj/C3ue3RjR6kL5XwD5h4H3yX3ZVMo/fIsqNjIkoXWm0AWHy2o1PgDmfZ+JfRr6kb
FEu1U0WQ2tUiwKhtPSVzSyU3mKFVHav70e+wwREINPvrglIib/KClWUnn07HGCBYva9lwvQs2Rml
NobDMXuO2+mYq8ZiUwPKKJiXIgEMSYGV8phMvNs2yqIdHT87v6QsKiRaj7MO6Wbrkj+uI/Kiwwd6
QbEG8dWvyCR9h8088s9PvMUo0xdRhS/YhBb7n4k8k03Hzk2yfWJ6+SEz6AS0BnmddktBUSSDdQYk
fsV32VmQmPm3GefxL8WuiMtQU3+2aRYfxwBjEsH7H6uh7DiaefxaZrOLqxHKVRhgbhxe44Qsqt82
rDfcatMNkqWi8GcgvhQbizfbMg5xTe+949hPhs+cUPj9QH8rAZ16zIBgFGO8c/v8FzEfZ2MS240q
M3yydaHX2IigVWACIoZYf0XeVN1oEX8BA20PumQ3K7HRLxa469zSNP/Z89VUD5DObQToAg/rf1WV
39w93l+qKv9w90D3iv9VV1n+5O+6iofdGU3Flb9BFhcfyO/uaffvHnOL7/Lcst0FTfM7tdH0yWDA
HQ0w3fzuCfpdV+GvI6WFkdjG8Lw4q/8jXeVPqoqHTRx/hcXvBnPH+rO9B2Gg9nsaqDmIh2obl5yW
Y9F9QZPcB0O4C8AJ0BJOU81fGyz+LObwY7GRoyT5js/rEH9yFdlRoulZwBszt/09UfTbKJ7u/vpH
LOaFP1o4fvsRzIssAhd/lP0n44jpz9QJZfyIrh52aX9FCPzUOJe//iG/GUH+5af4OLOQpzBK2X96
IX5v97NnYMDBvs1wB0CqqQ+59QS7AHjjoSPLDUu8JRflkbly4dUxQbDjNrdj+D9fw39rbUKg+9Mr
Jq2DIcxy+GS4gD3/WSETgk7TJuR3afBqkJxk2CCeMo/XaBIPf/268cD80w/DO+It2SGHpQQfQTZG
izPpD/HLmDKD0LfBd0BNGVd+KV7wRkyUiuCI0cxGpBOxUEoTlZxd9bs9Feh0dqB2k2USpVTDsoyA
jR5mmpZXAfTFYEikFiI5sz4mpTIP80p5dbV1RzZVdvAsh/I5SP1b9EjvmrvQVatpcVRj+jU1+smZ
Z29HAIoiqBquxm/AIpeFWqYN5hfPJeWGdN0p8V7CsHuFK4rblFGhfq5mm/hbq3FXkxt/g4TAth4r
nA8yPg5o6CW00lV7J5X0leTCoIrYrt1U75TACbUaWt3uk9Fbp0387uIVoNogGZEGGnz6Txyh03Pb
BPeTPYHQT/HEHFQbbOPMBqOb40bbOzC4SefFIw2H2DfSNWxN60dSYX9fixERolLFYwcldB93odpn
eTHwBxHcx3w+D2iX0OMGwOBIc0OlvAUWfh9EDSuHihFLWe1dPXjmdvKy5GpMAFcUbpYjQw77gOU2
LlKPubGPyn0noGQkZhFtw5FOIoFfYAWlot1x1QSrFJZPWV6lt0Fn+Ye88u2T09VcN7OJG2NQk1Xt
WeR6Jt3FA5yblVvNn/MsBHwMFhRY3/MdvIZm12TVoWAXNwTMQCFbLNAW483gjfuMwdePHpSGblW0
7yK0b9seEbA1QFepBkNyi7Nfmiz+QxZQxowAG6hk2IliSLcxt5etOUj5hikuPDUQt4dB7GyrrKFd
WPW+1qz8h0nzcV2EmKjI0wuJKOYrQ34BjC0PLGdx83RFt/eC7LFT4XwF7KdalaxzPD/o9uWcsVmm
JONtJpB2NBCx1iA7p22iepj8maIWRmWXrKJxbw7YlE6pwicgDXs7TTEZFCanlCTqBlWxPgjsXxQ7
5+KXzYh+4Hn1K3a9YV2VMVmsqr5Jmx4QmOkf465Kt6KaTPr00vLgZM7T0mW2y1DluKHTM5IkSbN1
c0oMmkA7W4986boWbbMZbYwXXY8va4ECacK0piyjY5CC2raX1oI+1MFxNPS89Uvk0NT5Rbn1BdHa
Q/KKdw0lDTzWspyu+2T4RT0X30vfHRFzE7ElFcNeG8Vq1XGtWvcQfvdhXkX4+a1wCw4HTbopanLC
4O/9maWgkTFKB4sOaV3abGAs710YKEvd6WAiriYgPXI8MS2vOESLhoOG6Od0ziGjdYWNPjecofE+
cos0Gmk9yc6cG6WEN7LShEuT0f4BUvBqc0HFzXCPyI2j3mi2WG8jagadO0io5WbIvc/envSGUfDR
btstMnB952aiv3N6455/j/LQNnhlhEEHBECdlWjPqFSPWQ3panDFxzJBR1FMF13ykqW0MTfmRCVF
EZ8qB7hMkIDuEmZ6JRk4wyyiLPrO7atNZrJOD21atIv2drSCV3OiRoRC0Y3lhF60A13h66Uumul2
a7YZPVmZdu0NvW7fU+Y/eRV7RxwyQSah48o9LkUWuWm+5VOA0mJu4/A5E4mxyQr1WRC6BMqaUJ3D
3taJL8aUnKPOSVnuDfdWMj/1SEFJG92A929X1hTSh4OKy/eKdTlwzMDF95jxJnf+8FM3aHaRwHci
2IzzMEN3LIHortvMMrcJQHpCEYVcatq6tTfW90Y62LeRjrCox95hoNsWwxR4o7kdj0Vp8eQigaJR
smkv+jUaxWcz2W+QMvHXt1oQ8SleKfvKN7JlY7ncdshfWu58pylBWHKG3lAepxIkB5Eu40S6E5m0
d3c1YJyVFUa0bFIRyCdXrWa7XdgrFi19XDRUJN2dE/JRDYk+ZmAA0hGGpzs+OnFDdp9l9aacI6qs
2XjQfdoXHEVKbIlDB/BaXHCYVdEShkh+yTE7oDWDTfW+RUEo37Sv0BYuOf6PYrrSuBcDWHwC2wQe
FdQ20ExM8R3VwzzcevqzHa1XNrXZYYTw5MNY5cqQLLVCHf+3v3gRy04/AFSrN0iR59F9QShdtAtj
VZT1Xk0UzpcQqqru1jTS5iQo99p6rY42sHexpwqX1Y4M8mPlmmjvcNNwJdPPKvVV7maPtK59zY14
GxIWIintCRSQNzSDdPD429zi/kOZ6zwoALORCwsupGFj4WaXS1/AEPEs9nGREJJ6Nzrl7AwDTFo/
BMDL4qTeqiLK7lnUZKu6jtBBdNwQDhns3cT3TypFF1jryH94hv+75V2Wov8+bYCpM/7bv7mO8Af/
9zpiegAsPSiWpA6Wif9/ryMuq1VuFq7gThDwZ36HyAvImwyUrIB/Q3csQe3fryPB35eaz2XPCxeT
kpT/iK9pOdyT/nmIdWwpQNHbpLA8DO1/GmLLwihSNsrRaUh68cqqMlgVURjsBqBH9MXkeD3ayfiu
eqe7CAI0xzyxOMGrKNkmacxQidhHgskrv9K2zG/VhK6pSTLNG6+01lagk4MRFbglk/BWT2xyfEOf
6ogG5taqD3bcxu/5PN+VUfRQS33rQ9VbpfyPZ78v1TVQlGrj132wgRkVXcHPwnFPaRagJMpodIpi
UTveuwGOeAUosdj1iJQYXNPuxLXbvLOYJG6RO0NmYVG+C6Q0hF7VXbOLQoYThAVbet22GQexdsdh
ZymWmpYfX+m69bZQQPY4VpOtmqB5N7TXt5Kj106nfFc4Hvgy8zuykcBdY0X9RL/tJ/9CvRgLtQE0
X+2BI5pzaD/KKuEFW4BAC1U0mzpV5yTqL7BJkDDxJx1wTNWP/khbnkrcxzrXH+xY3Z2Ymhd7KFFT
a44CN+4/5BwCbdKuuJij2Pck06OZ9m4lmy+Kk8yVGItLjyIBhAtdF767MNJz7aCxsb1mfzU0TP6V
fJ2AN0HqjepDYdQ3hQuhcxjHFwCDuwZUppfNPdFVQie250C/mqqPeCwea1nSHRRn18xqSGzBfLG7
/GgUFizCdjOYyTXtYl/L9isp9HXmzKc5dbEl50ddyRdhZ6fGG19sLNFu7Ge48DoAXKze4Bt/po3a
F7FW+9BnmhtjH3+0lQX3bQxisfdFskPk45xr+yxeezFoPt3kt75FbqtInzKjD68zXILPVDIFR1Yq
HvyZ1t+1OW3xdpky4RlTA1pGppuglzf02+MX6myWatF0hdWuYbU/sICNJqJqNjsA5TXqUoXupRo1
Dh3Pzc66DqvFe5X9jPSaZGp87WKb/zMrnmds5SvTaOZtWJhfXVt80GEKf9WAkr/qbH+HVxk9uXqp
jUARiqN5sJu8zzkyDm3bUEtkZ8y7PSOZA7N1pyY6Z/x+LNYtYbZ1ZZbTeeCWeABV8+My5q5l7H8n
sCBfOq4W3czgUWt779ThQfftsG3HsTtgZeMUM6cHDod+26X5vO307B3aClfTnN2kiQX9y+34Z669
mneVXkm8Y+xLxsHSm8r34gPoz+RC5XR/ZRo16kTKEG2AXiHOx6xihT4NKk51HmX8ladkHGGaQ2dV
zpOLTnzHYyeJ/6Fm/Pe8WY6Af3/eLEfN3265enz+q/61/MnfDxywzZYX/N/ibd7fHWyfHDk+Lo3f
6CT/c+DgK7ICcJUsmzgFiLn94cAx/87KA6YyoSeHYFrwH8XboI386cABretwm7c83wmw0pl/8hWV
ReZVPgi3g58Cmgww8PTGc+qXW6z4Nyqryc46G2WS9WbYqrHzRQEJCFWferPbTKH3hAlk3QLZgzTi
bkqf6kbBlDaWoKKSEwbkq9nGyw+n8m5IWfP21DTYyTau8X/aPjXt/VLeLPVrEpkPbWOe4LC/LVD/
TLe/CrO7r8LwPQMQQBcc7DzZXutwONFhfCTv/1K54zN1zhsO+51S7VEp/zKoctcmMbcW9nh0GZVn
dsyHSLTXrjFTYQ1XiYTwkBNYp3ZFE35m+UgjVEeJmKGsVZzC9YChahrT7QANcl7GN3fMOG+9+1JY
37Mwv2vZDGuobm8E5z704B8TY7yxKrEJApbvUWaB1+22spY4pWkYqJW1R7x5H/PiYs6kXrRsUXLk
gfeEMwjIWz4iwjsc3oMjtlI3HzmpcOwsn4ZBCMDOr7gZHwgqbQOKPBnq01Mdu0+1456HjsR4zYZ0
FbfqI2iXfQTO7i1WXcZLx8b8WM1fWmOpHZxRgS4Wk+VR9MB6RvVDd0zY2ITL6sYZ7Eu3LHPixn3m
MSb22bLoKcshujKmL5MNULasguxc6W23rIcAgQ6YqTnOACJArlnWSPWcP0xy8u4iIbjJLMsmqymJ
As2FvC0nt4SoBeqpQgTbSDsJud4E/Ql82WNNguU6n/k/UvZaellwRYIhhrjnVihWWnyKaMmagrUa
YY7H8BpjLbHAck91u3E3FH6xcht5NKvsrU/8I/13m8SU3ObdQ6GLWwG/qXH5d7Yn91FH6aGtWR/Z
6jzM4j3q80fCVFuVBsWKahaaJWnac4rld7XHclOySuxIoOxKaNXr0nyaIemPBJGN56rqTrg+AbwW
8P0qJ8ChNxgvEZeUDfb9NZT+5koUoFaRbyDuOPSGNfnI/ThmDx/nv0Kf9YSQTDUKOk7Ogc3nFJO1
GnZBpW5npfapwTsNjlcKnKeKmr00fKrCeBtyqNaEHaJ83Ope3lN9cQsuJl97VfJVjVWMuOyD8XIx
PkPF1eDJx0HAFQNpKFliQsl1O3+N1fcCj/roBgiPWgEbcpPFIeyqo4r7O4mTHmYS9tmEHD4SwbM0
gPWO4gEJjoQIrI7A0Sc/JLIDW2Df8jBImWfWtcutd7RQF0GSE8euumpVOOBG7ABGhLt48/1sk6fN
wfMSZ+Wr5ki9rYH7Gw5EkTTUWjQ0zMVS/UqJqa/Z41ABPdKjUZJRXA8Cbg8DDiYs65SPkIQzOV1l
cybuFeslvGhjWdSHMVF3Ygr8nT1MJ0SaTe/R2sMHwBF8P9pMv1gtJiXZHOs5xGjlxRiV5FUb8LvR
lXnMHP/YYiSyzOrGEeOFK8HOFB3KDDiL1ZLFsIV9jYs7XGlbPYIeOiWWdxMM/sPQN1vUlC1FHreV
H2xCr7yx4vaYKn0fovFB72RXGrlQliqmdh0S14iyu6COFh3j2KuUIiF5FcYmMkF8Cvv+bmCc2vtO
ct+mxmEuP1PnZCfpOZ6YFiA/wTur7gYCqau5Y3SLYxNyOKkQK4jQJmHDrtvROcJL+GjK6iWbWCHH
9U/a6V846hDv2icDvP2KWPatqd07lpZbJcxTToVrIapT7oYblc33vaU/Gzu/Bo59BU30JlXiaBXE
XoL2uldTTlStPKnUP9CcfteTSlg6LvD4qMVCqobnjCbyuGR3GHlkpYKMzk+Td3QY9SOUpH5Defsd
/bU/kU12S8oLPRaoiqb/7Ka8sxYWkQCPwujTfYGE+suSxTef8N+sPFDvO/O90TyS2O70O2HxZmR9
EK97TNWnwWdTAYodMp0aXLDFbrGJxtE/xWX8JmwgHQADDO4LdNmlIQ26dtg/NCXFN03j/IrrjtX9
sIgQtNcKjUlo7oyrimDsQ0lNspVaDh9T/gn94DrXOM7iRSn0xgvwN5oOLKOjvh2lbub1xMo+0kqE
XzPLb3pp9VvD895UL69M3tuFhP86m9VdSicy3dnebTLEZ+GXG5oj323yj122kRSKAXue7ikNpLZ7
5hVFSnI/CtpTmLe0P1bVXaSYck1lbyI0o3HMf5zBP5vsU1Zdyx8om/gxysVRUQ8t5uw+aawjOdRD
qt2ryKN7oUncdWDpg0yIS3WefB3K6tEv9a7P0AMzdNdKJKTeGC7Lwn/va3XSo7GTzmyRXHKxNyR2
9aRz41N71UVTKghv2eo2teU8NJrLH29NtC194d/akPiIipXkOpvkw6OLd0llHKvUOkb8JeuM3zzV
6nX0yNDMqUXwtag3iHbiAeh7Xl+5LZizwrRu+RrvYwoMUMEmcojSPrbykKTlhlfL/WCNRWxv5PWX
1dk3s0cPTtM11xiYYALH3opq829Y2c7On7kWxgEmgaVOPoztW221hzJNvxqjvVjiO7C5A2JoWYFo
J7MUsO3eYEfasYZ3KMthUCDZhyGnv6QQMP0SYw5Dy9mbiq96Qpm1ndPYWbRWqXzf0NCTkOT1+RmU
3FQ8LfvhIHV74lF375CNmaTaO1NHMHMRvmMig4Qw9WH2CKhHrn6oModC7BbYJUwWOR3wzHz66fyG
CExswnEeDDcLyTqKhmhrdg34AHIcxoyKnp0VblEePXi4JFm32W1fskwfAaCgXAouY/Le4GRIHdIw
IXJYKFB6ceN9Ti2+OsWzZ+2Z86bre6ic8jHtK2ga3bZp3a1h8n4QQaFDndMavffUZDYHVnjsKL/I
gJdnWD0jp781ZbOfzLRZ25UdLdJuwGPCwWSTMtnMwtvX9Iys26nw1izphvXoYiOQdtxsWyNs77Le
GHYT4PVVxtFm9/I9Gnqw5PSJuQalSUFdKEJBpn0BqPShez85ys7i6TTPRv2Qd/2xd2qDt8Ztd6lR
nNmsDbvEd7M9TZcJpU6esa4oodyXTWism4nXpQsb94NdXtdhE67NiubY2J/Lm6Hh65nTwEFsnBti
SzvuTvWdulEq/AZTd1PAyjpk/4e982iOW0m28C/CBLzZtiWb3oiUtEFIlATvPX79+8CZuUKDGCCu
7vatpJAiOpFVWVlVWSfPEaMTvT93em29eSqU/bGIbHbIjZe+110CNKmgUAG9TAyRjPHDV5WrJEyf
E1O1B4AzeP6IhnWbvjJOS45/0EKqRLD6052dUd1mtocma1vblyHis3mG3GwcSqckSm8bxEHpu+Pi
SAdru5NS+bWMHWHPMRFG8BpMhx/KNSTyBlx+Ob2nsTRw7pTQBDV69lPhgLN3yzS84NCICqrIaQq5
jf7C7OofDhdjksNdA+GriQL9AZDVfQb6OoWgauvV5gWv6ychrW90WKjFMP3sR8A6Etf87Nj1tyLN
foBYfW3k8JCHAowwncSZViPuy7x9cCoPnZQg2KXXEV2MJo8lrq0DlIWlX7bt7jIJAaG7aYn+DIjf
nZY1UCZ2r5bNEarSkvwoqpoABVIm7a3Q/gYV4mXdFnsqWsE2zdVjpUOgaDsXvGyhP+ZdWr302uYc
mStK5nR77MPSuuhUXrXf75D/f5nWF6lirgemmKfkTANU+jcIZcQUY/yL8tZAmgdsBA3QEZRE/xek
ywatNsMf8tC889/arfwvlZYeKJI1HawHpDB/1W5lrtIynR6Wya/KGh3efwdKwg3/vHKrUa/lJg8o
gB+kJMz/jxABXBBlX23RNSS9+SflclRauP83pGLMpvIR3HD+6xOghagKrhCkbXWyk/AmtQwkhT5V
NrlBdeUV5Mi5I0AbBkJBaahZQHY6sB6eOwI0QTJrsalOmmPSQ/pIIWnZF6ZpNFIfDUxGKqaJpwsN
DOgll780J+P/bELhnj6Io64fl42dD9xHY5OBC0IPdGfOtHRec0Gbw6MiBI90VB+9fMWSdF67/7cp
cCGqBjU3IzgFExkkoCCFPfDUtMnWRz8vCyl0mCIQz3sL9ukmhwbD109OnO2WnZwb0bHlYUpHsac7
ZaTGmVadZIXjJMVEnQsoF5lCly/Mi2VbH5AvhIcKoNVkFeKkPAmPIFN97klcQmP7ZGUPLq97xspI
zkXg2MQkQMIysHMj7rlTx+V3NKAunTb89xvZ/wQLSed1r/9O1m83JnFhIQ9gZD5ulJnm75m4m6xO
2RogkoRopWpAsPh9CtVrdonKN9uPssZeNPCGflgHYzcns5bH1LblnHVgZM+a8AUOCVA0RXtEJP6l
l8uTkpg/0hZpgQhtMj2voNSWqqey5LauQLtWZEiTBXH+J/OLYpLCmxY1waGlcRxLjm2rRqISSzAp
HPQ7f78cPrNzO/r5idPcv2p0nHQWicnp7wDNwfLvvzMi/Yak/WdiRwYmL2gFNe9A7JnY1glAj1AU
jJuMZjkmtAubi8igBRwOhVvOlDzwyxXl/kih9WqQjKzfqMujsNZaV4IBjn7AAwpD43kaaytZdnbJ
jj5zCI7RkoW92XEEnWEuYAKqW/sqVL+yhjdGVl64nrpbGZVh1pZGZfickTkh9lT05TCXy91l3t7D
rUI/mrxpjV+eHFJy0a+CAmrpqLm1jqEDHYtgr3zD/MzTRQtmjjw03VfoRaFHyzGYeRiLuMNk4Voa
nLOg0UzB2y1WAOedO5mYCGQrg4W81zaCDI39yqTNrdixgUmxXFZsGY0tDBjGL/BhMGjsPf1T0f9c
ni1tbicZXpsHxQiNNDtxJIvlABQ6s1W5/Suq10iiFfeCrCMCY3+R69jeCaVi70RKzaIW3Ef9IPoi
ed7Od7g/INH9SROgYOjfVawhgAhj45k9AuR4adwD2gHp4NLJAOGAVIO6Vqv83vP8Z72lgzOO1Tef
RwNgIFW5hcoadRt6fzeSrN9rVBAdUEZ3XmSgdZSZ9Lhk1ba26NNP6gtb006QrzS0LFawrVEn8zvv
kr7R/ADH2mNYel8qUdobtR2sxNbcahoP2GRiEmjWe/qQqpP/Q6SJVpV5xuShmwfFFcTrkD2m62hs
aAKrrSoJZBh3OHpwQMUbB7WSDwK3rOUAmHcHdAKTDw56CmW1K+Qww9IkOcT1T896UfUMWtd6Bz8R
jForW+HsqhkYqf9jbJKJcofretER1CXKUWaaHDqkiZf9mTPBwld46tJhU4SS8Sz7QONYDtGCP4J8
7XnFMdC/LluYGzEd3JyuQI2h8rdzC03MToYULUuf6r5Gs69lhy9iqIKHa2n+hix+2d68R3/Zez8L
jvJp4ojo4NnYCx7g2LKTlXieCzNcAeBO478KSfi5O0LX6a1WqZyA1AMIV91AwVL8gyAb25ismUwR
U+R+Oa5qMHDfyv02lo9QX/zBOI0cmcwLqMLA7WUyWdAYSKq8At3bL1t4v1hNlyTIcxNJXM1QpEGC
d7y1dYjJ67nLCR82Y4sbUShfwNAIzdhht+3NF1FeOSDNTv3I3mS9UIhxizrB3s1hJbms/fJk1s22
Le2w49xbxtGFZsk7p/q8PFhrFiZzrnodGMIG7i3YHiJY1laGZj5sf0/FZLZlB2hQHjXVKRSoMoOp
NozPrWmt7MIrTljD7jlae2WS0/RqMwFF8EoPtE8H3z8aJZ7Yzw3wi5aVMUqwSHQ//MflX5c/7u4y
0GZqGLIEre2HE7bvtYVZxCXf30IhBJVm7zuHwEt+qrLJm03pPfN+fOmp6eey9ro9VOwXeSi/6NUr
YjNfM7U50EUOTY6IEmqv6nT6KeVFYXor+4L08cx4/p3DPIzG2c2VuA5M9rrmKG9j9wiDn+wcbeGk
vCgvFGyXh2VmHZ+bm6zjFq5AEKIVh6u2uvXSgDp+f0QXkkcV8UbXuwdF6p/1qPgc57w4Vkp7J3nW
SgB/3EZkxF8oBVnkEskAzXfmsp5WqldUBXA1H9ZXhpW9xtqBeqetQPopdc2XZac/hjL2IPyUgHlI
4EAmCyYU7dDRKbaeOKTFL/+h+/mfl9zZX9egkOW4hg7F9CpXK1XqWHVK7UME0Vw8BfHfv82B5lBk
2rggax3QKOfjZWV2oxQBr9/o9u5Krdqk9cpq+ZhSzixMF3vVOh7CiDEbO5hur76y052pRSsLfs3I
ZMGHaL7E9HGwhUCiFvhXscNT/h9M9YA4HXA2A7xzEt5eIJaODjPKKdcvIwRmV45Yw0if74LDOP3+
+cmu5NIlqjQm49Rl6Eq+Qd8jX6H1tlHSQ2Le/P2oHduarJIIOEWkW9iS0FjWgn3nr2T44WM/OIOG
HosDgBPFtPOw0sCOlomIATu2odE3ELq4iGJYHb12ZUOcnfmRpUmOK504lUMDS6VY7hTL3mk094ed
szI7a2Ymk08nniPTOgL3fHThVrT68oBdr9iYy12D8OB/B20SAV4s6gHUIhRu0hAQDhqcXLev5IzX
JcE4yWrX75fDYG2WJmHwe+wCCxXNGj4Fi+kKIzoQPG/FOWVtBCcnFy0DOqlXOTe84QHWKZuvIPBp
8lVkn3aBQqfx2aJhwUUMVkX/lXaC6jIPSzgXrZ9G1/z0C8W7TNLyqY2zH50jwqzRXepp8UWAWrJB
FIvLVfw5rRW4Omvk2dtLbi3dvZ0rj5ER7FM9gADQgLQYbrqst61jpujCyauCEI4AmBGWh3amlsxy
1tEf0/FAohJwvgIKnk4jr2Iy5bbYluX9dXYlgHgQq1/yymIeBu7DWhtZks8tpWnUFmUfkZd2Mtwy
JjAYOHi9Q7P2hDHnk0IvqoKSIH2pXDjPLUn9fy2J6GFAVBZm+xp0Gf1oxVYXrqr0pK5lxZkd8Mzk
ZE1omhW1cC8OxeqdfFULK/vG/M9zUKAYLtKsM5klye782KRh+ATT77biEbIoy799J6BWJv02MZme
Qq6NODUCAuFXr+8ye2Vdzazhs59XzuckllvUteEIPun2i6hQ7dx6qQlZgrMyUjPF7nM/Jok2cm0x
7IeULtTAr1rV39P0U2xDkI2Gmf7oatDmFfKkBLkMCKDqqxiQREODaRVkIA5tbWuACS/FPL9eXmsz
C+BsCCZhichTIpUWQwDpugrzCPoB8IKWUNNmernR6zDfyNQQlo3ObNdnRieBqQaWTHcfRr1mh8gM
xHY7Xta3IgTJy4bmvON4phu0Z4NlUyaXpRRZ9N6xPC7g2sF/bd10T00bvjhYuVYOODMZmqLuILym
0cGCvMR5KFlSDo+15Fb0xXZH2PGv6VLzi7UlN5tFxmamI0f/hmkXmJEEduwoh+OiDE5+8DZgUeCG
gTgIiuiwU4f7w9q0zeyxnNS5HMhstEML/7mPWUCDTiNwiDMC71tddREyqjQRq8T2oS/ta0WzD8vz
N2uRXYCudu6MEG6dW8zDAaybsG66pNtwJfXto/AABnOrScdlS3PJTFehmaROp0JAOUlmcR3SbwDb
ElTk2+ZHf7/863MBP/71SR6z/ca1KTqXp4YmuYtd7ux7oGkwPa5VB2YzDcAfXtagddAYtfMRQ9Ah
dNDUwg8peY3BUmYbM3Gtg5LQ1hHJ6AVQTade7nYvkQU/d647Otg2NTs4SfsUZOWNprdXgIY+Jwrt
6MvDIM+O8ujrJucYGV0ASQrYMmz/Z+P/8Ek1HDdfRK+BsxPIKNj0nWj9VIDC6EP8RgRyM0S0lQFv
Cd7iWr9rC/dTOnybLmYP0GBdCmr1CcY4ZQ/zrfukqx5tY8vfPRuGmgIgQEbShbeV80G16kDxe9Mq
T5C8PCH/kB0oJH01q/6iNmHVkvz207LB2XHiTknxU5UMLsfnBnvBDdIgp/igRXdQJHTFfvn3hw+e
HHug/fn9+5N54PBo0ILA7w8sXKT6YGNa3/7AhDm88VkQyoIwOXfBtqSsi8SWrZuGMv81TcFwvy6b
mKvRcO74bWOSDeGQYOc0h4qbkw6cPNplWwHbpsSBYKBaXfWxdjLLtoIJjF5bGpnbRqOWkdG5HBT9
iqTK3JzRT4ImkwEMRplmR9Omua0ZKjiAeq03RGqWnZ2LwdHPG5OtzFel3KeDkQ3GCHTeeIJLqDk+
Qb9ID3/y2LfHZXMr3rx3zozKXz588+gSYK47yZfpSh5Y+/FJOhRCw2GH4TqjOQLY3w5eJuWfzYYx
Odq5oSNntGlXp+/7p+WRmVs744kYnBuNjGqKsV0Mv+wGfbS1mQRYKSGVx41lQ2ujNFlBoRj3uWIy
BQ0TDAf/Dj3FFV/eM9c0EYydmawgV1A9+q0crgj0ZCOfCrg6LsSX3IKilB68hn7Fg+E4RyFwbpy8
6A9SFtY0FYa3npyEu8QESzssJWFYVGoUUUOCTaEI/K3ZuvU2UevHSkdSXU2zx16TrjykC7XQfI3a
JEJPyUE9tG0BwBrXTQoyPumLYhMW5VeUK6+6Kj+WjXhtRf5L3xr3jahUCKDUYFN8x70o/YTO2EAE
9Q9Fobwt4V29WJ6Buaosr1DcbiBJgqto+mqP/jHEbxb3j0qm59RVH4y0ptRHw8ct3NP02aJh30KJ
u6deDiOaU98ZZnJld2tPC7OhMPqOyYLRc8FV7KHP5utXe2VvW/vpyUKhlbryEeGgBqQMZe4mf1ge
w9m8Nfr0yXLRS7+K3IrfL4CxpubRUR5sK76IJPdaM5vdsrHZtWkasFzLcD/xInq+Nuk4D904xpiz
LyxYSrLXLF6JiWFFfFgxlOUglrLY2aYHfdoi885D7YGe7mvRuUs875AnwtEpnv/AFbAikiap0DpN
ayBwsvMiLQzzUub7MPavbC+4ChN0V/+ZnUloaX2hp56KnTsQKegi1+ofGDAlXnJFcKgQCUxuDbLh
SpktcAdrvhr+9i1aQx7Ozfno99+vTKN8DE+aQ283v9/TfiP86oJvK1vJmoHJ1SBqYwnRX+5cggxr
zJ2iHM211+jZe93YicksCLmIGpOGjS6UjjnsNZ1anBJB3QhqST51LqHwuyz6/GdmrcTZ3NVkbHmy
/uNUrBBThqMAhH3F/JfBc3+jyIeoexTrH8uxNrd2TJmlqVvchj48MNH2KtEEji1Dv4G0gO5ECGBW
ds3Z2RrZmBxtTfSsEHXEhtLcJ1tR3PHM+M+8mAR0HmXoH8lYEPdFgGDOps/gIpVWls0MlA+16d+O
mJMDn6Z2Llw0LMyqR5dYEQ4K+gOQPldv8M8wT6Ug7lNJ/9xkqFEJtOmjVSvRZxEClewiaAk03Qi2
quk/WTYVnIp+zQFyeSwqIVpJu+pMThx/6mSFJAK4BEViRKAdupZq82S2xcpwzJkAcGLyMmkalHIm
mZ1Ddxu0MqMh2q+CEN0oubpyFvoQnFQZeCYk34Kgk8nw53tHoFapKyNogjjTvvavZekFbaS/X0OZ
WBn8HGUrW4580YEn7qR3X5vqsQu33nNuwHaQ7Jej9MOADYbYBGXYACWW2yRKfc2G1suxy1OnVj8J
FUMov/8jC+84vpErfqUGUplSatC/DkIX/cpGOyzUs412cADlNR7AeDVk3s9HSksVSl2+CUELCmC2
pRzDRLyCHPtIk82DYrVDH+f2DzwamZzkDr8o6DJk4z1Zrne0FX+v+nfLFtacmsyKoCFvxiUUeLNw
khHPyMVHVdg1d8qL1q+9684G9G9vBlbScahVjSYkPmqNJ3raA/mKZfP4a9mbD7n2fIqmx+MatmEl
KPBG89uhx9GjUbd/6BJpLdJWhm1KOGmgCykFNgkmbISdUkBAl3WNvYGx2t6EmgZAQaAdLa0g1KE4
o/pvXoemReDmL6mUvsSVep1pzpdCqK8zWXrzSvtTq7d3UGTe9z4sPlpdPkJBf+uqEIAZEgQxaHnm
CHWZavUNjhuIfZziNQ+TW6tKvlqug+pb/Sq2wqeshPozHLiGRbj1MvctR8RqgzbAIzQtn10XcmIr
vjVBLnJ5o3dQsn9mTbJSw1+b6Enm6tJO7sRYL09opWn9VXNIlK1erqTH2XwyiqZJ4uogL9KShGjS
L7UbVBKXI+nDLWGIJBhMgfsCqEBm6DxWxd5J8hi+4pNkfXPzQyTtBoQWff/lbtnQbMiODE3c8CJJ
MFMZQ0VMA3RpbDP5pTBW7jwf740Td4avGKVGAyohxQygBMj9R1/4RqcdQQG1wNDAJ9EODhviygDO
mkTKF+ZE1KB5ZJxkFni9OlGnK/2EQKnFo2JgbMxa+KKJzqXf5Pku4QixSeHnrHX6MFU6BGCzQChG
Wzktz8UJ0zjgMViWtFGcu26T3QxLg/jfUpGSToj95+UZnAuVsYHJYaNBHsZt0Ns4GfBLBNU1DQ4b
Va2OHayEbrtibC5cRqM6BeDoaeaSRSTK6b57zMPsnlLBTVPTEr3s1Nr0TVF3ca/T3N5jqBYogXf5
V413abgVQatDPvbQY5aWAYQ4lEvf1eglZI7TduUr5uZu7K18PndyLsqZKvARUXEIRQggV/bXj31H
rIuxgckyNx0uah6EKacsDfZF+nNg94LS4iiW6bUdXDHcGzOvH7XgJZO/LY/w2kwOvo+WpJILyXBS
YuE36UPfCo+m9kOnqL8yhGtmJitfdlNai/zBwxwCNwF2xraAfHFNyX4u5Y8Hcvj/kTct7WmR6LLa
o2SfozUVdtc0dF0GifoHewsM5apETwlnsGliDvtWjqISfxq4T5EXiDZpUd4UgopuBt4tz9HcNj82
NpmjCh1iq8rxquusb14VvqkdElL0qJkbq21eKy3eioG3kqxnh3Lk4WTGmtz2SinCaFwru4rmRddq
7xLzm2LH+2X3ZmODshQb3IBqmZZ0PFuOszAVSdHSNzUD4ww/7toSm13CIxuTJRz6bt4KDTbK7851
tfaAt/brk/Vb6HBUWOh2neAJHHbPTZx4f7KARg5MYkCS6txohkQYNdEW1ra7KFNvFb1bCbW1uZjM
egxVj5CnLXNRoFGR3KTSc7DiybDjTi8wysiTyRo1eaqXc6cp2WnTJ8UWr3oYIgxBvRYCC56DKDwI
WnnQUfVYDrP5LDsyPLk5pShUVCALy1N/Vw1rBy25blNE0L5IrgJRVFLcJo4FMZXsPuSN88XxlbWi
3LzvChxtKpiID49hRVdJUaukfEKFDg+6ZcMunUbsKXHyGNfdXYJw2qbiPX/Z9/lp/cvu9JUszHl/
yJscuyXyRI3Q7nUZQTs/jB6XDc1mDf23ockpJKaL0/MEHNQkmOHs9qfV9hugGRnK2StxNL/oONFR
bbZkY1r60DvHhd+rIitSL4+Dx5C78LIzc0cq3oP/sjC595IyctO0S5JGHPLkrMHom2+q68qyXorO
2i0bmx+538YmB1XfQVq9dGFmVZrm0ou8u5TqN+ygyDuWsvh12dh8PPxl7J1xdrRPulz/HKnHmN6h
7BZdBUiAW93KkXfOo98nUkBA55ux6iVG1yHFeZLMo1DD3LMJv1moTv19V8ZWJukE2KBXmFJQnsJe
2hk57ar6UBNZCYW5hTu2MoTKaMCSNkosq8MXXdtob8k3F/6tg9tFm+2Xf+bOJOZ8zi9IG0Zkx7T9
qbvhttfhxW61FX/W5mYSbUhBOZDI4E9tSd8dxM87zCAt8VWMEd1cdmluGf0eO1mUz8fu9wy5fv/o
ZnB828Zb0EoHP7BbSA8h3v4Tg9BCwUXAxvsOGx5NluSVjalD7HqKC+dNdONTNdjQghZEh3ehCXRU
Lxuciw5dG8Rp5IETeopLaVBAhF2Ou1fmg01EZ09U4dDy262s9gdBhMWv/bnWZTE3qmObk0BJ6iS3
dDehDhjVPLcr0VbQ642NZgR3hQpA+dopdC7f0qepwGMjgXyaHtMaqHDFzCG1A2HJaQWvekS42vvl
kZz1Cregc0EvyniXWBlNXcIZTSlCVnMUBfsAvk6/bS5M764SxOvAN1cCZe5gzaOLDK6NPwBEnkdm
ZnaJbkVY851CghW0PaQirFaFiiiugfHUh2oLzdaVcJnLvmOzwyCMnLQdpbLciKlLZDT91Be/7w4o
Aqw4Nz+Uv52bBEjtdDVc+GSSuAifWlN7dqJXO/V+2Um+jzt7BTH+8amOOyyIRDhoJRUa2mmhxYeh
PMiigpNjKCGk6NBdIGcwawe7HK1nzvhc0JW9gXpaan5eDprZ8fxtelqNQIK1dEOF3ayKX1V1E+kv
ytpr7ewK560WEKsuyx8KcaZstUUvcmg16CW1EdFAa0HeyxBqR4j7ZFl4qMrXZa/eDzDTgzIaSn/Z
nBz5kxYdFs3ymEAJ7ZOQhAnr30Xj0I6kmc4hG4KzlBFfRe95A73jLu2Cq6Qzj5Ef/goS5zWKy/sG
qPsW+MgzbA+ngBlwIu0U1SifFvm2t7LLNtZekcX8UcFTvUtrsN5auw/8CgJD0+Dl2Ifz1O9VCLJ9
K/nhtTYU7zJiHE6h0rISyyvXTiTQP14Pxl5PTg0+wthZVzGZnqnAihpku6zKL8Wca6dv5C9ybx4a
Ld5JdnQlu/JzHwnmPobR0m4NEakbicZrhZ5lZJopSsfbUG+3AXlqoMKGwd6C1xcfl2dqNjOOJmqS
RgIpjwxlINUPS/mHbcTPOUwHyybm9mvw/mB+BxQ1p93zlKHEhlY6jk6mSuN9VdnbJi4vBeQ0i1R5
XDY1t5rGpiZh5yGn5XgurxddeNUE4UUH9bEhvCwbmRuysZHJLIudJIdFRyW49y2klbJdl14uW5gt
HY5NTGalRViEUzpLtmiTdqP13daVixjZDygLXRW5W0IFuI20r5LookiQkgwKCJlhtjwuf8mar5N0
75pFkxi2wjo20yPA+10jPi1bWIuOSaq35F4sGpkpS7p0K5j+XdU/GOVbm8U/lg3NuiIbOrV0TgEf
YNSRKCAaXmJILbodhDhOHKwM1qwrCqcogx1yYJM6D3TTQHHGhB/4FGTNk6dntHDd2sq33Kqel11Z
MzS4OtqEZanT8jjA0EENbitIhvVjLx2WbcwmM26m72Ry8Ml96AVqXBcyFKbeN/yNVPvyJi1RKm9R
Nc9L8LeJV+ybAfPeJ8mznZow9CKIrCk2Yltts0lSF/71MD6gzn3jCtVNL3afxEEsSWvD67asxFMj
R2vQt/mVM/rqIUWPhqYsHNf1oec4FTn8xap8a0ZIKHfdRSOi446+HTLC30Dd7v1sE0roT9AqsxIG
s0lo9AmTMOjQ77TymFfuADOFivLVZ7RdV5KqNBvOIyuTGChNq0dGnqyqVPcK1Ntq+0WoClCdytaX
tV2YNEj0FBAhxVvZt0++WsPXKdLR2G6XA+UjZHvoSpBMnvWBtlBTnvgbeUVXZAGwhAbJLjXtt4KG
7Elsfw8Q00b6lXF+rq0KPYrmc5vY+x7iFwFdquXPmFkTZ18xGY9KYdsP3mGvSHnrz5S4N0V/m63U
zmfm9szKJPfLfaUFsQuiJG4PhXrvPCdrTClzh9EzE4OjowiuES2E6fgdN/YUauKNr8Wcl7qj0x69
qPglJtrFIBFluCvXl5mAOrM7SfU9TDlaE2JX9TelvQ2Ui+UJmv19WRseanULfYjJtd3I88JyDWAy
vFzGPWoHKwEwOzW/f38KGoQu1nGint+nRIjGwZ72y6bbLfswc5TWoNj8rw/vZdrR3ABZihUUiQYE
50kxLqz+EqF1nn+R+LGqldPku1LF5Ax9ZmySyiIlzDUrwKFEL7YI2V17RvvGmfDeqvV7W2gcOH3L
cKdKGz9ERtPpYNAzbnL0E03XOCpV9pz0+udI9z67aCEuD4QyFEOXPm6y6OUsDLS4Jskx4u7Wtdtv
sdl97lPnzfDMhzSvXxwBmYlIDVpk3frPFYXyqkzvzPouSKQr3/fujdI4VVr/LpYmS+E29y6SAsmX
ONsmvnAwc+9eoHE9SbXPeeXu3US/tkox3DkWVwoxydKVyV0J0PeMO5pcrzVskC+Md9Si3dTvAvHT
8qDNL21IJeBKoS/tA1gyZV5ylza/Ux7D6PyptY8VVPymtPWv9KvSW6lhzi+I39YmJ6sWvvmi8PBH
kW7dXePt9bUO/VWHJmtaLxoLgCkOXfab6KG5KZ/qJwvd7ecfKyM3G26wt6tAjpE1nh6tZFuDWU6i
yywMkVpwY+FV9HvotR8D+ZdYmtta7jmeqPdxau/NCL76P7JPqd6iDxQSh+H7RrFRN4oUKUNSzqxb
PWvkraa61xCnoiYoNcdYlj6pEaTdunHrJzVyStkaIGiiTAwN5LDLIucmaaJiUsOaDHUhhVWRiIDU
U60fiLNV55IV8j3qjW0SurehJfzw2d8TJ7ksPNqdFS/jxcToLmvd+JQ57a1OQ+DyqLyrIX9IAr+/
aQoXRCNZy1AEZFTQRie5HwOpOZQkIVGPU3i4H5TGOCJGf19X9NW0nrCpyvIhYbQSRk3LctRWwTlu
jULY1679xUysremkl7qVH3I+ue6Vyyxw5evY6tBotMRPaL8nB6/TTy0qUX334PTiGxA/OoCTcqUq
NLt8UK6TKOUBfpk2HqAP1jSexID3CJPUsdFtc8u9hQbf2i8P43uJ9cMwjixNFmouVwlqbbQfta/O
Q/gUPQTtTfepvm+fm2/dvkY10gO2Wu897Y6niGXja15OwopYt3MnHAiCFGevlig+R+Kur9Nfy2Zm
c6vJk/zQ+GsBuDxfP2obyVHX0EkXtNvkrvr+z359cmQK1LrK1eHX4yjei4G603175XQ0/MTHOfrt
wOR05EZG4TotJlLh6sK7sx/1tYPfMMtLFiZRgAYA6FgfC+CtHqCjYcGUwh7974sE1L7r69e0LT3+
s4GbzH7QWMgYD14dfq4F1oo702fbLM6VxJcIrL7PT+WQkRzVuO1wIXFQqfDTehO3FBSWHRqmYWEQ
pz2OsePDjS3jkN/JG/RuNk4K+8F1Xaw8Qs6mYxWGPgBxpqUOMplnGwKqRwXYFgzlSnXbdMLJQA+7
L5NfcaU9iXp/4fjyF4Q5y40tuJeNpN7SE5TvjSJ6Qj0eNVUnv1p2/WOfODvE+JOmAWTIUVl0dAAL
InDETi/erC4QLgOt6nd5h5BMID15HYDSqvQv5eHTBE/+YkbSRcQ3x2L4q1aDg+PYf3AOGX/XJMjs
DngiXb0DNQRy7i7n1lrw0BezV7LA/5gTipk6Ld0KhZjzOYlJPoqYNSQZJSdpSj3MmXVhbPOiTPYx
bGU7GcIwCuT9IdGVQxsGVF+NLUeYQVKsOAjcF9pWWCE8mb0fq9Lvz5pkJ/qAHBPdUtrl3Oe61K6T
9hPVw2cBi1qYos9cBdd59LkFPwdRfXjT+v5dopQriX6uMqJpuo4UK1yPygeqBzNQtFQbSABThNP0
Rr7NbSXl8G3fWkoh76Sgko+OlAKdFuAjE3P0ITNXeBMK+FOWI3UuNYy+ZJoa4q6MzULvuUV59hE5
I7gAXOuUKNnG08KX3vSutGrtQX9uAxrbnB7gkBE3Cr2jSWOYfklHxh1K8m/Ljs0agQFR1mRTG1rj
zgPQ71DxsB2G2PDTDVzvBzkQVgoQw2KZJjiKcdyhDQlm2OlLZsXQtW1KMMVgZbehVPnXObMkDdMV
mnK0ccow2SKGAC3yGh313FlhbFs+d0+NQ6NKS2zbzbarLpr4QhdXDtpzoTE2MblWprEgWvFgQk8k
XnKEPW/Cbxqq85FYHaLyiYFfsbjm1DCno5O9UhitbsfDgJbkwOqgZcUmMNcazGatUDcwTR6IxQ+A
HyWFA1+12Q1997GrtRvFfc71v83mzQagj4xMNoCeHiS5qTBSv6XVvX7NzSB/Wo7wuf11bGKSy5UA
JV1pODCYWrrtK3lfcg5vfF6mkurCMP82lfO5R1OsT5kqZiNX9MuXvLI0J2Tgl92Zq6LSMwewDo4f
CamVyYpVfEkSlIH+WoglZSPk0t7WKUnIGZppaQzcV8++VEOzktZetI50LYbeQbLDr33XR8dCqqWX
5Q+aO2aOv2eyV6CWpCXlcOkIXRXlPfGLVbQHIy73iRf9feahYXRHzk/OMBDDe5YVQ6cple3RrZOv
XiZfQFFynXXisYgVYE+iERwD+b605PS47OnsSjd19Gvee9qm99lMN2uvGYw7oXXUBonhwYbffjFE
YU+ZdVv4krtyOpxNnhREVG4iiOdMsS69aNiuh14CODUxPEKw/lYMR9AqtL42efuMBvajWoUoSCHw
9UeRNrI9WZyCWflGLGKb15EcFCxmytp/rLFry8JXoy4F3kz671aqPFhOfNW7dvSYNmK7TYvwl2Jq
yUrimy3eAKP7azQma5lXnEYyHY5LoV5egapgugtezduOlqP8UwKBQ9T6Nybf0ibSw/Lsz84EmjIU
dKBzBYZ+nnVVHRGKRGI7lnbMRHPToLSdXUfFTde9lO5K0poNtZGxyaICr1IaTs55Q3UDAMioXweK
eldG4caxhXDD81bbQ2ix7CGwn7mtemR2srzswoPjwZfzU1Eq0bUgSk9aVaSbDurZjVPRbwXfk3fs
40bcBEK212y5OJai3e3VJC82vqNzRGnV7uT4JXrD8HluzbC+zm3rq1U6LWCIUjiUXuDfJ2X9OcjE
ax2p2I3p1PrOUGo04lU9YVU5+8iDo6E0ZHQNhv4a5OB2sdshnWp+0wT9e+RJ6TZC/m9nBP29E1eP
xaDuJqYe/9yhzhSZAthm9Yufu98s2xfAK4golSb9k29L90GrFZs8yr/5IecCu3dTjt6SvEls9buN
8t4VJaovRSU/UirPd4JI71xTfGps/btqx9D8iIOEphFvI1F8Njy7O0YO7BsFhb2y7345kfvqWj4S
8UKMFKdYUOKSU1rJ/H2YRl/8pD04na/vikxGIkMpHpWuQJg+z1ASd/N6Q3MwDSiwGu6aUg9OpmPc
VU72IHuGSWtRqKGS53/L0Q7dNgEyoK5Qg/mxY4RvvRde8ba1qtT0SCCFF/fmtkOvJk1lf4saPBWv
tDSvSp+35MzkxdNBkMmt7XhXowlhtkG3heowPwRIRghIR3StoT4DL/agCDNepUFnouoDc+/V2rWj
Zf6dpCVHV1HvO9ULN7qbIUAYZSWveeIBDavrUOzba/n/2Puy5rp1M9u/kso7zwVIkACrOv1Ack/S
1jzaLyxZkgmQBAHOw6/vRZ90x95H17rp51uVSo4j+8AkMXxY3xrg2OzAuZnAwdl0UNlkzLloVufO
oCb+dgqWSMLQU6TTedUOT12rD0OTwwEzeJkHUV10YR97w8s0yV3QtF/Kye3QXEJKHZUOrGH0WU/g
RyhgTMhWh8Jp9SoEcNPCQyDfwJG1AkMJrJ28QlgpouobNt+2SC+4J6tPF0o3gRjYvseVatmHbddf
UoiP3FgSnCX9au5SrDYv02r4Mq3WL1lPkUsLVRk8qg/oYA4WN+P2i3Ju17S7iddf7Wofg3SOm5bJ
TYk9qSmfp5Ydc2hxAr9QO6SuSlih1WWiYOaCgmGJLZuD81Yg9tI3aDPZln+FcxZW0yqh71YxvSqy
xwLCTbMqOAtYdw66jj07bHKv/2Yy9SjYt1A5x3aVfrqrBhROJxqa0GYVh7YmfLBQi6ZQjU4oBlqo
SCmxT2SVlaYLcEwhkTHiXKf4AcpxiAQHXHKEQIqu9JvvZddcUYTwlpD2KOFsSZ8imKzuntqyvBPe
WG0CZNpShFT3c/ieyQwJpQRSVuvRhOGWG7OCeyBw2Qu/di6X2sRQ6AUbcMloTDus+R9oa7WGeHop
yuipPFu88JvPb+AgCEbiEGWNmwR+ttdmeZcrGSpdaVHVglRnauUXileGiFTTVREC4uBbuVKqSu2Q
KEWg+Ti1CPAcm6NeDMWZIYEoLBWSh7Hm5rWvjzjsI107/RUQW4XWfzGOz0iyCXaiHSwSIMsZvto+
vhhaOgiNQkyqez+WVQJH6Vs49m1ztIBwM048dIUYR39LD/cKOcJcNefVYBAi3JvnOVXkrJlANA/8
2j0ui7sl6N0ls2e2lZdfVqE/RIoUa3DriFBr6y4b3tcP7orD4Cs95GJGwrdTXMGlvrwguA3CX2ra
KxiKeRlSwOzcob/X48YxU9NEadEg58OfOmj5UPxlnO/SBqmNo8rueeC4UU8zd1dLzx5LP7z3pXvT
I8s38qQpo3CpyWYoOr2bW28Hw7wzjPmMdNMXhD3AMam2r7yi6I1X4bVj4ELtAsmKuFd3ScNreHh7
BhqT+sGwfAa0g5+5U6+QQw5qhf+QpvnXrBq/zZMDH+YcB/k43PilxxJvEjvaIJpez4huH8rqCgwz
FTuwLoXCUtzqnj6OmjYxaaQfZ3DvwwVyfofhQx+VhFxb2KScg79VJF5ZvgfGKoQxszfRiGeLXX5P
GaJqgy6TsR4431genE9OLTcDsWncZ7AxJqZscRSlOhL6FiqRYpzh5EYyuTHIi7psmtBEBnmYeOfI
bcWGdQOefbVFBHoQcdueK2bO2FgNiVI+mgsk6LcmdXhSmwWrDk3rOODoLaYQAybwfc1jFfjwPk7p
gSy8S+Y6d7BoaJgYZtQmzBoFCKomkZh8gB5Gi0Rzke+qtmPJUIWH2QzXZVAEj0so3jovf049BAJ3
rHsyrlyJCzXgiWYZklAO4IjCyjDqpJjOwhnrrUN1iajk6QBJ3KtGWlEfLhuH8Muxr+l91k7zZta1
xs2p5HAxSbu917SgPfXeQ573ZWymsdjoYnwxTHTRLGSVwDf82JnhHoHFZwVrHuno1phqeXsldVFt
7Syf8rGT2yHwsqgMU6QngEsZL44+E9IPEIUSmnicXQc0DGUT5VZ2I7IZ7Eikyey8UDfxBFr5BhQs
iNzzM6TXVjEWU4ltDqAtq7ybzEs5bkDIh9KGPqKIFlHeAz5c6vBhaXDygbm9haDF3emw/DaQBl+u
pue1S67J6H1HTNaU4IM/u60WsVm6Pkb2m4rqca183MzfpDR7db0535ZTfQV/ruugRjItsPApKi17
qvxWx2Xvn81Tdc8W58uw0D3DbWxR3WVYzQZzx24lAejHihK55qK60qlOFmfe836Kg9x9Qt2BTFlJ
AEMH5MV6xZU/TG9dsYAG5DU30MkCK65kCJqFfDRp9pRykCxKgsyl0VVfM2feTKJEAqsQbWK0fmjV
NG7EwPQW5vpDrGVXRoD1Lr22P1cFRiUQbR/6PjjXyCNK4MmFNi93dEy64iBqqjfKKZZo9Mc945BL
2LLYL0HxMC3NGLEOu+fYqu9aLzSq8qK9decS6Xihd9bO5dvoF0fapJcZkd8WiG7i9T1T1vsJ2iBd
4maGJSDFvsyUdsdicV56xtKLlLUkaRR9Qrj2WygEum+OxbHLhk0N7AhVf/vAWQ5LVmcvKr0JtOBR
h+A4pNjjYlKaJ+5BiI6iIEyorK5Lv3sogZ3s4Pl3XwWkwb8mv6grpPsWfiijufKbqG2He6Q1n7m8
T6Bj76Op7BM4v5x1JttNU+ZFVYbE85KRzUK8xB1LEou+OsKr9LJy5Sv6ImhoqhfLkd5lGQjEju7G
yAn874XTP8yjvKgXN2KIGVln3ZnfkA0Z591IDEhIXRxmcKdjidTTFYwirrB6anwnrNUmlSLy8uB+
ETLdgTGWK70VRJ2XQeVFcKF8b8axTazfgrkghusBrniJ103nrsFXDNTUQMEKSc3swPmetPZx6vXj
tLRdDErEQRtxXqGGRCCijJEQ7ccI/n7txvno1n4aoW+5xAUNcC6NxR387EVsJ2SB59qYHbbI4Gjn
MI2rlPpnLfFfSGhQLhp9LOchj1MPV8i65yYJu7SJ1cj3Di9IEtrMRG6J8rkp+csypGHUC/98yGt8
TGwIzeqDoxccqjqdt9Rc6WHQG+sMj5NGJnooKicqZt+JnSkTydIuXiJl84rD4MIN4aLLG9IkTPU8
opU6Bl4l9lrSOYYvjYh0dl3LAc59YC2PHh9jmPpW0bobJGCC4HCX1bnwR5u0qPDGrgZxTSYL8HDf
K1AAp2cZPFEdy3eVcbdDJw/96pdVZEnbWFQrrAJFOiffibb8oN3xHWGXDip7dT2WMEryZF9D9Jn2
mymfxAUueU40zrzdNN6AwynVeVKO/nXVoUixXf+I69jBVP6jqpmM/FyrRNX6zevh29NJ8iaL6VAE
9RIjWPa8mGAsMXh8iZzWEftZ919rRweJ688qgUNgnrgTKuaeTwMoAIGJ6hxH2RhgwwpCELfC7hq+
b+ys88E3zJopSzxkf5/lAbzBTaD6eMG1Qo7Vd0kEUlXzHvxl3HmissdxXHLnrvHZsikVH9AZb78i
g65IRM93zYx+OfjWD5QUJPZL9ywYGQ5AJ70GJw/GhvDCcHT2lWWFBcl+5tEc0JuWmqPnYO7P3nzE
VeQzt66PICwAnAISP6QGg2z769Uebjtw06px225cttOOs+nHi37ud4OZDr+/Yn8Et/88kvfrSHKp
9DQKjFQBS1Hbyv2so7YaW5yC7T8PcIINEypDJBcBpSibfAuUcz8NxU62E7qK/taXCE93xL3W7l5/
Gv34IWD8E3hwAhe1ouhDb8Us7HbODm6OiubL79/eR98JzY7/gWBO4B/gAZXbFisEY7GjiBlVPyTZ
qiYmdteS9fejfQQc//wq11f9E8xuAUvk7trzQdwYtFdwwIiIbSKn+gTV+gh0+Xmckz4PVLW4+66p
1aWDsKMCBahtyHJIiSij2u3nvWELyL8y+7Mh/P9jztf1+3/+8z/+zGhKXrqXv71Xnermyxf9/o+/
n5vqb/e9/vs//8/D2z/+Tn+knK9/7P2l7dZfiz9AifdXcWEAUvyKk43vf/4E+ef49dpDR0EMjtP/
pJxT/w/o2uAxCvMVTta+5f+knFPvD8j4fBigCfQxYR/xb6WcC/aXGUPBcSculNgQXQKPPFnkraoH
hcKsOeBqEPshH5DQYKckVxky66qgT6CdRNGjujARILVHVBR3snTd86nLq80c6jPas2wXpHIviZJJ
V1QwNyjBQ+tQZeRmLJOyHnmkLH+fKjIh9Ec/9YSP0ZIpsa3TBbQA0QXbGVrxHZ6cId60urXZ0iVQ
EwwRC8YN8wfcXukk4j7gCqcSdxMHTCTVj+G+M+1TYHUW8cIG92mHOwgc98Y4tH2Z+COKsJpBuwx2
r5uwdddPJTJ6HavgsLtk/s5RDTzsRcui3FVlnI4qjHTOwiHyWHhPqDdFUHqVUZctX1EJAjHNDBJ5
BnNb0naPwCE3zgY/3Uwoz4CioKrX2p7RglyVSFVrBEdrcpZjRC37WuNHN8C1kM2KJhtJw33NSR7r
er38EgT4QkLVIG817+6V9nU8IIPhvJnAhqnrdNpwpv3bVFcQUamGx/k8mFiBr5lU7tKAYQIQhpA7
ePOTmBcF6goy3xr0peIMAGU2tuW5Uy1XypnIRcXtxWQ4TdAsOGYLuxtFe/QIMrIzWe+R3X7Pa6QY
z7gYOCnKFs+hT4Dw6SHPOPYvcO78uTpvp+KGhebCmV0eWWLYdpJlvevr1AUUmz3Zpd8tEgLJVBfP
cDa3UZEtQ1SjhxsptbzU83TwC+3AbI/s+iDf+X6q4loAnKYVwW/s/FcEetuYLtOba8ODbtyvzrR8
b2TXxM7SXzRh2gMThbEorbr7phm8SPUTi8JgUtu+8CD680kNI+D+omTOFzE3XtSr4b5rGtR4ysW1
b850PC9oNYxj9wVOSEuMpaJxt3TqQzXZ9dKWvlSOvkQL+MlOFKikklOFSqM0ByGNv+lDcUU7ZPUG
QqLWJLmfLCYT17wOcdXW6YQg8AE6ZsXUORyWQf0pjiqYb5VFazfLHgo9vAW+OkdL4hERH0fcV/l2
bBaoZ1nINovjhPuggHzDuN1yBJ+5PAMQJuJ0Vh5uWigJPTkuiaras2Fu5titZnI5MqY3fha88ppn
FziC3uZZdbGn5sciLM4znn3zzehGUNl6kWkkQM8uAxFCnqkZnrm8HiBZFOgHg5B/Bjcd57alAKyo
e+O6otr6WXGpS4XXPQNWx93vCs3/HWydXPAZFqDpHjlHj6WI+Wz2ZM66vW/d/aCMBzTVmzZejmJi
7jMQjTWU+WEY7pSYx4QjKAmorzmiNxWNRuyLciIvU2vfUO84seuPcArlHD1RoAkj2uM8eKLp2G2y
YYbkBmjERubQrbphfzZDrZBIp73o1dRd1Bk/tH141GLOop7BzTs06b7nJY1sOrxIHQANZX0Q+XO6
X1jnJZ0eBQp50yZ0QqKq8dEsKbkL/3L3wqHBdizT87EZvmugs8ySu2IuQ4Dz2YhLtyOxwzV0ryxQ
IGxMLRn6qAn4VzplCKOiXwQzT4oE4NQi/dHpO+BZzNyO9XLH+/IBgMacGJO/KZs/5oA1xzy8azOH
bAdp3MjFfRRSovDauPOLEtm50WF1UQzdANI58mXbJiSbzummfUtpFiOCOuEt9g3sk3jZ2epQvuzG
0vAEx9DRs4htyiHsR8b0XGyHCqCVo+RFy9EgEjbNrzgP5/NlDGwil8HgJeR3TTVxDIFgnWUR5X7y
yzaGufiUIO0abrvgMrxaKvmT7rNbRYPN6Bs/dvDlxwb4Xe59mxQkUY08Ys0+LTy8oxS37qxmOIcm
aFj8PujiCf6lMZuHr0GFqgbV6FlIOp1Ulh6DfpnhQQf2a4h1HHHsO8wG3cFkiL5KlXuoU+RcC+58
CXJ56a13q4D39ODl4JM6WasjOaDrXYVd+D2dCb6S6J/92ajEbdHFAXR25YSKJlR0oCrR7pHPVuKy
4nrIKIVPPsfl3VA8mOJPuQJ8I6tUn0mFJckWjwPDE31SQMq4GZ2aXRUNbjhK6iToR7jmoNdzVuVL
CAtbAhxW+zH8CI9zZW+cXG11DQ0771iM5aJ2Y+3HiN6FWivVB1SQt6GZklTah5xh/4SZchGD+Ubh
HundQBx5VpdudjWPdb8tiL8THPMrd/Ge8kxfc8KzjQJHPwbSdPSDoT8fWeXCh2BccVoNRQUIeoe0
Ni9VX7yaFDIGSb0xcVj9Mg6Ti9lTO5EPkLLLhveMlMCvwojk/blYzFF09wSRSx42trrTcZhem+B9
EpeuqiIpfGQLkg0iEiiTF77NIzkXGxz7DSDxmY4vC782Uj7A+nKfcS8pU/cw1vopaDKcdfvJcc7p
RHembreWoGBx7ggrb7QNgkgN47vGTCAXw0zPK4gwwjp/rOHG5g7ZZqBVjPBMWMaqnesjlOVWSHLW
FQiICiGZjcgA5Ljt3sbc1onxYCQwTuLWQRQCcIsBWes1sBdQdxf12Hliw0aU8Lz2rzOFwLNM3HsV
YCMWVY280J4FVGYA3g5NXAKwjdz5WOhNsaSvlfYA5M83QIYfPHjH67MsJQyz5bvs6b61WKjQsCJ1
YFgSg2cHtSnhA7tP2XxN6uY+VP4NolWuct5e9xm/s758bD0U9OKbJ2Ajivfr5f7Wqe8dz7bXdvEQ
aQ+PzlxvZKgOti7JxgxSRboMo2Bgt0qorz7+/k7l3XeOrxJeioegghWLO3ToEOryuSBTIhH23FWA
I3OA90CHuC+hY+wLfDTWAKmscQ8H/1OH05prY797jpMEQ3GXcxxnlYEvk1NeaumOUYOIpXACymDF
cDa4+kqAHuoX9bULNoKPRAZnXwEWnlNs0J4XW0sPmfV21fgmlnxP5C63y2ULs8LB2G0LMBUbLZAc
GWkPX1/gbsXDTVjQ9wyI9qbVzpUGtWBrnbo+Cxrw7fxFFokK0oPTweC6hXHnjQzDJ+YOLdplhbsp
ekRstuiVxfCyzpDlEbxY2n/DaV3GFOCirtKbMp28iHEXfMm+mbYFHdhFkzMQz9Bsj1wh50QvKo97
7ld7nzVfmUGDBMRX51BKOAsj2h4onC3JWe7Xr2HQ3ssBR8K9WzsAkj0NakRxMblADJW9qEn/0Osb
9FIeWl1/aRf0tHzvLLTA4BeCdhIwyd4T6jCPlj9lUwcgiMDlAFbJz7ycc6zBGqhIgyBMwvLzlmNp
Zqn3yDvvKxsA6plCPYfayJjJ/lIsIYKBkVZEypQnjalU4vtzsJv6aozLfAJ71c1BqEVUyK506RsT
fQbLCECYFHlrsVu6KsEaX7bEryHhx71i8bzXrmR7IYb7odbPQ0q/0jxEWFSK24LMHrtQV7FJuyaa
fCnxLJOJqoACHGLUwcSlNYyBsj6peWmjIPORb84AeQF86fEBnds0zPeDQfE6UD9qBhdCV7OeBxmO
M7BKv0/gIh+Q1dsApV6PKNY+g4P2paHmXdrVwn9Mt7bQaBvNXR7LIR9uESi5gbIDLFqwFTZpTcd4
yB2KHQxHx1Qt58IpjuXYweWawKGcw6UTyohho2fUz0UgWNRW2Ck5L/e2yh6mMmtQuFCghBr2MgRq
0QhsSXT20M2L6pbPD+HcgLyY00uD+nkL53EXRbKn4mzJkc3UpDA2HRpwonh5yZcy2xJLso1p+2ID
6PcgHPdqVA2auMyiEAYTLi6zMjjkfb7Dg8OjxF3UDtqaI8/ABShHrFhPqmfRjBQNILrGVPvYwly0
TqiQS+wav4qgT36qWeFua786LxVOpJ4Bb/UreYG4qiA283TsvHBlwpXPTYV6SgfmOtdomaZkOAsb
JFgVeXgTmOCGztmdkc6ErthauJQS7c9gLpJQ2cfO8d4KDm5I3dMZ108NGQxZyNrW6BPWdf42C9Fo
oJNkhzbIG9ghs8cgRxyGGdJjIZTEgnB6vNy1Y2OAlJq5PqMKi0wgDWC3dFVFIjMOT7Up/rS//reA
j3uj8Z//WP/Mq7EzcvFk9wMy+Nevdu9mRQza09/0y59p//PHj7N3swINv/xi8wN0uOnfm/n2ve3L
P//9//yd/68//CdKcT9bQBcvb1pViWq7Rr12HwAYwAF+g3vIl0r+bW9AEP4TDvkJ+cAf/G/kI/wD
d/Y1rBo2mxTwx7+QD/EHPAI8gSQajm101ZNVBqU54BL3D4E80SD0CVowHP/7L+SD/iFAVATyAQ43
0FVQvP8bmLn+E7bEC/y/hmn/ijACAIAGERJERErhHwHanCBlYrRzX01Of2AegEx3SnAvRU/qM/eZ
E975n+MIH3co2PmEuPycUL1EiEC1VKUYZ8GuWgT9rRsg/KISqBKbaQfCQtKnj0VzD//v89nNb0XO
Pot+/xXr/OvfYf35T+hj1vDOSJB3DsvILjLFutgJQx9qtOXGIf1nGOSKGP0LNv7naAHyU31Y464x
Kb+ORnPsOOky9QdvLu+WfNwuzWdRbB8OAU9oDiI/ppg44ZY1Wc91iZLzQGv/AIOim8DT9z9N6H/O
l79Vvb42quraf/z9o/khOFxikZsgoHg++W5o/g5Oxbr+4PfODZyt0DoO7ozfJP/2MAyKMOKCze6G
yGr89WWpZoJoZRn6Axz3doQO22agO1XQT4b56wsLXNB84ZXlsxCiwpOnaXM5T6ODpyldkkUVd8+z
kr/+u4+CMXyE+8BeBJDm6aOgXkB+PLH9wZ2/tm6ZoJ3p2+CTB/nrVP51kPVBf5rKc2l7QCKwU+D+
w5zPW5xMyh339fiJ0ODH+v91Fq8DCYRzQGiAzOaT/cGtSgb/vrE/EDnf4s57VJPvxsaAzTDV6d6l
9l2PcmXecbRLLYFScYFhZmvDa12RPBry8KtgqIVbk1/kjX1jAU1Bvxq+kXK+1KkDIVTwvVrguJ9W
F5hq6ogG9qPfyHybusGUUAsE1CgLIHPQd7XpriEnC0FbwQUVdhR9ZBd/PSPpQ2fTr0VqDkZWHKYr
021L2NGYCpx+9It7URQJDFqLxNfhbi6Cay26I6rS83wFbH4/Bz6cZ4H7w0hMUGx7v36esM9CpO+i
mk3bMqpKhIfpTzocH04ABCRiseCjYLf5dQSPNPXciB4tZjSGaAD3ea/YMrQLfe/u98/y1x0Abk0h
SPEezpo1JfbXkRZEKduuTLsDbKHm7jUFFT31PhHS/Yq+r3tl4K7ouwgJ8ZFFcPI06eIh6sAwVHC4
60W9nfkmb/Vjrue4BQP12GLNrvbN298/2genUrDqxIiLHiX2Ue9kPwgCzFqgad1hVhb3Jo24WzLt
s6y4Bt3vAjnYz2k9XSnP3SgjvvqS3uqq/Pb7v8QHcwU+gQwZxqgEfH5KgZd+zsfcU/0h9DhyysME
kp1PxGcffMKfhzhVaA8iSCkZ8HonGyYLe/TC9qhJ98metH6kk60CzwAgFhZfFFE7JxPFMF04U+O0
Bx/vsrIPU4cAaH7vwabNgqj6+7f20WAUO5zr/kguPv1yoRoDSibZHZpBIhbDPdZ9uEVE0jV9p/aT
ruVHr4+i2PLXpECBkuvXFeAT5eNGoLoDBRUYbM4YkRy3/sQ/WWjrpnD6/rBX8BDlAvwF1mrw5z29
TpsixfWqPQzpy6JD0JCzA0m/I0U9smpJqgp6vGX85D1+sI94sD2Esh0rgVHvZKeay372KEVd5g8C
9L8ezI8waaubxnv6/Qf76Okg+oY0KSBIBCEnS9xj00BkiQ+mx+JhaNWL1rC3b2wbxlVVXlrfHOCM
kSUOSBGH3w/90fdDXO2PyYkuHT95RgN6jAQnrz3IUr24Mr0Ey+qR5qb6ZJ58NCfxEiG/pSh1GT3Z
TUpb1sQv5+6gWpjOFYPc9416cCgszeax2NUETJh//8nWS8DqJrKKXU+eDMA3mXvoqw9hU29zzve9
NmfWFv+bfRJe3wIzBUFduDD8OjWl5LkaIDU4DLD8RnhspEYDNup9YNA89BUcF18tge33BPFmEMaE
VJ/9DX4lYfw4IbD4/vU3ONlcnMnLoL3Pu0MFPQKBzIHwHBg8i9ul2wAsOvQKHjIZvdKg5v77LznA
xgvfDexrKOZ/fXgcWBb+uF170GiqWYARldnRXP0vFiJ0OKsQxvfhLn+y+ufaKWGajE85u+jAkm1T
BOjifJsz55PHoevf93SfgQko7GlxN/mrQd04z65t1lVWtfw8bDVwNFvA3xqy0bRXe1Bu711THRzr
bQFavi9Btke8nIzM9NlXDT449+Eh7yIMk4KhxE/nbwi9Xc9Z2x4alSdORs8qh25VyuEW5PZvYQGS
jdeBtlYHaFOELI2lt0c/NI9q2dz2Chn1AjKIkVjoPzy245KBF90GG3fkcxQ45hLJIIfQ1vUmJPCr
B83y1lD9PI7muvGzOyZYFoOAcrA2vMH7v17Azo9AH99O6ag3Y+sYkKjnDbDtKu4m79IZpxxE51Fs
9ER0nDvj2VQXX3AqXrnpQBIAkDMohdUrycrn3mfnSKB4Em14XFaXUyyPg9MGL6xhF2DxZWC1t23s
tQVc0ntAeblS7+BkuZsq90UC3hwwcC4eQhQo0QhVfzzz/PX3c/vjDxC4PnTEdC0kf53baJxYaXrW
HyTSOZAiJL9lprObJlRT1OCsQu8BvHPN2Cdb8kfjwiDRJX9mfJ9ejv2MQdrRwpmOB8NjXeorjza7
OgDi5iw3mQEljqEN9Ptn/eCoY6CjCVjOIoAxON3EdAcVCvj27cEphw5N3h5KonKk0QiCP4dnyCfD
ffSIPw+3/vynK1qBpqMOGmwbVZBdIaks2HfNVEbogl9UfV9HQJcxp8vsM6jlw8f0YCSzhrqQvxy0
oCYj7rBtmkNIqwCMV43eBUN7nNWbwI6fkOM+HAyGZ7iyA+EITz2TfZDHxOTWoM0U+2yarqr8hkl+
NU3733+7D4pkwAOgD0FUj/uoezJPhw7RO/WAcUZqoJzy3pzSefj9EB9UCXDwYMyFyRIkIqfbvEcE
mM4ZhpDW3XCc5WBulIldoLv5/UDroXyy/0JmvBZC+C+kM5wc2mM7ob9WhM3Br8iFgcI9RGEEJ83m
jaZZMi8wn25BaI4CBHL/fuQTseePU/TnofkJ/67LxlwV0A8cRn7X0jNr8g16K1Fb8m3Pn3xvgsjt
OPHPgks++Ho+hd0qR7oyrpGnJkqhlqOSvUE7ddGbUr+DDvHJO/1gBKBHIU5OygO4IpzMj9LgGudJ
0h8GWvNE0iXfeONnt/oPJjumOS6KApgIvAtPCoExJIN1mG4OQ3tYsmm72HcG2ztqPpmJH48jYBGA
6+Bfa/JRB8BYFgFn6wVOv+Z2tdEq+G3gfHaJ+mDKhzDCBW0LwO96m/p1i5oXxwAA7utDTh8zhAyg
lSDQcPr9pPsB7Z7Md9TcFD1EDpIc9oqTUbQpILRe6kNdB7eDTa+7wu4hNQS9xfJXv9MXuUSrmTR5
HY3K7JC0/m7Wg7T083cf0Y/J7Bb7smpir4cVFpu+qU6/LLk510N2MZXkWRewG03dy0w5yydlmfB+
/RqgIxKAEnxNDUB5Bt7d+hJ/2sfHHoaA+ZLVBz9sWgBapJmPS+Cg25h7rwsHv6WR7rP0yhnaw3CX
ggIUuemC9EjpF7Hs0LcKw5h17Kb22uzWQ5IN1L/ttrHohkFhs4f6uoWMk9/RDKbOVh6KUrPIuGzX
V86+ZSGkj9y7HUg9JgigTKCmZbu5s3foHWwyKAsi8ITnvQjyJ+vOW1Oi0yz1+NA2dQHFTfliU9Q+
KYwhtq2E4KApgy/uDN5Jxus9tsOVKuMiU30WeQSgALUGQR2PdXCDxgRPBvQV8xSd6MLKNgk57F0n
Br6GSr8to+ZgkZG7ng1b2RXnYqqee0O3IXjKYl6OxEVRSTk4elY192yQ5WZq67PCge6+Yl88B1rZ
Dh1l1rUXLaLixsXZCcdP2rRAD7serjqwUpIeHXmYKD1Aj2TjYpTzJneIjGcARjA9pg+WNN/GVVXc
QJNQZ8qPPJQ127rweaIdSiDTwFfKy2HcU4q0ZLcYXrxsPNeivBR5foD92TYsRQzPh4vcZHvwZbZh
U+zATOrjenAkLD4zeTTaeaLgeaA9t9dhP29tMN4HkCtISN+ioK6exWzNlgFoh/xCd/BsI5DdIdBW
1t3jwC3dzH5g9gypTTdpkX7LpuFQuWzc8Gn6L/bOIztyZMu2U6kJIBe06DpcS9Kp2cGKIBnQwqCB
0ddG5MuXDA8W+fNV5zeqmRnLCQfczGB27zn7vEqSOt4Y2aisTI1NJv7lU+8hoPBFvIFOgbcEaws6
imc4Rss6yD264tFJLbEc2Il9MP2wWadCZOzZy2FGu4muvBSdKJq+FXVUISb0tJmvOVtd7lMXNdSs
nfBIUf3syyDzm3huYeuL6RbPh1Q6RH2vz8Mkezac5KTb8iO7WPROQ626pZw8Vl32rCXqLtX9rYJV
1q1YHDEwmneW5j3B9r2XrJBNltfDu8d3oObNQ6x1UM20fWGP49GQkiv4oEuOck/K0EGKbpWjCsYw
UzEbK5100pNm0WJu0RU8W4YtVUchR8StBvSjU1VtZrKwQlQ63U1fthxB2bkLPCOjo1+ZVtJwlhle
20DGR0M1KoBlK5c55wzUUYa4krKGYyQqp1nTVK/IOLUnuAyxj6DGru8CDh0opdQAWuHk7QnJpzOz
yl5Urf7ieNJ3jJ4RItrJ6JLjMjYM6btN3C9ergescmdHqrWlE1ONtXVkHPi625lZ5oh/xW1Y8qkI
e+QiEVmw8BHI7UeYTNAix8i1zezGoBHPQzuOKW5c3WPxIGojWyoWDeEi8V+VsvMWmKJKF32psZV9
CXoGdh65GSo6WmXuCn4hEVYbpVZkJCwqCbZx9aOBnYmHy+nnZtlGyyhBlFkPIcwyDCYxCCwU85ZL
Tv3DkJLBC0zzu1GgsRvryHSjAK1+IwcsDAwgl1n15OlNeAt0ek2FNUI+LC3yBge/wOy0kvusuwt6
aSd5cYd+pV/ZA20B3dOXRaCfO1V+GdT02EDe+CG31am2wgVj0pkZXS8vGwc5bRk8lLXOjNX4Ulrk
oVXz7EXZBx1xCBloEqMrZ7JmHdN8Wq4MgwZiceUrxN1DpbVnTI1hJhDYuOqkAMLUesa7HXKnxNtV
VWUi7ga/gGIqcEVK1770W4PCBtpnyGGJi9X/1Rnj177ADZZH1fRJ5ZEIspNPIXehDflNUKMTb6t8
TXTCVVWpe0emaZnHMf5EqnVJZjP00Q6iqUGb5uFZxJ5Zzvu8Alpa1cHCrFTC7JNIX5gdwQ6Np5+w
Iu8dRDQzK69MN831K6KeraXmR+XcafNDoIaUYAZDwW7UljOll7J1gOo4dvJryYmOcdBuraq8bsdg
GXh0YaoWJJ0+JQhDFShDzpmtVj0mQtI3AXphHGTpNvaJrB5FdFsN0csQVtt+0LD+OpOkNOWcZAsc
lak0oJnQVNgBuvUoICv3Zkr7pGhWaOgEmiNrV46eupbbkF3RiMM1Kbhvw+mPkdkuk9jzXc2zhVvW
EitG0q6DSvVmXWGnyMgwIgYN1GlimQvXCXnrDZ28G8KUjEivESc9jLV54Qh9HuWAg2c+1vGqN18V
XzzUJup4AkZPOCZbdFlI7nPfP0NbwSho1a+yZwbrtlN2VZEhYjXIdaF9x3raQZkJKWA1wA3iVKdY
J+KZgh5m2Vn+D6WWr1RQ9pVhIuLxxZmDMF/VTKE9c0qYEW2izNSu2PVEM7lqa3xTQp/IjxyWgVdi
8JPNjjW9OytYWt2GFR5ty1giMY3uEwsMXugbVzry+RXesmJRD8W5Tf2zk3jhrMT2jUI43eX01PTK
GOYUV8t5ULWcThqxGvX2XrM6PJN+dy+C/jEyEmsWIEGRioFc60aa16HGhB+Kwwi/hz5IMz2UfUbD
baVKrTWnCK1DE0GHKOfp81h760TNK1CF8Z4FChFwS8rvQHRr1MHbEM6qio2lXCfXcaLtw9wAkTM0
r5nOJI0AyvtyzB518GYEV7H0x8VLapTLQXjUlqNnWXJu8jw5dpMBfxzXSd3vhZ4cq6q+iiooF1El
uSJSdm1FSpKlx08iMg9ZjdQ4x/s407t+eC2d6FzydkQ4TeZhJpEDpHscpWuZ1cnvNAkdKx+5Hwc0
s3oAmFd44XqodFezlAqtqqcsA0GWSmfIR1UO0MdnHS5+2RYnh9P5ttYayQ0A5y1SjOarPm32NqXV
tCoePSNBLVQZKLcKxFbDWzS2pyDCSah38i1FnGtDNOqMcT8s0oZdEoQQw9Wppy5QEWmzEWZon7f+
DzSVB2InWG8JeoVygJXCbCc5YZ+eVaPVV1VYAEQwgFfk9qwQ+ouIkQgR87iHoehg4+7852lPhQMi
P/WRiuzVk8uZJjkHZJDJosuBXnRO+Wa0hHkSUrkGXkX8KVpGd2gRJwp2BswCBceFZXDELaU5JcFo
LlTH539F14msoTsnA2aIYwAEo85KawTDWmSjB6VDeQH6uwkj5c5MGTCVGjSbOpGeEbSTfCr5P5ph
2BdxfA8To3U79PK8r7yzVOrppvaSyR4ih/s+FFDAhXA5dg9rGp13qu1F+473gpegQ5S8nPUii54Q
ODYH/EGcCMaCryOku0B2xC5oJURQKZ18OZG8fYafeKkJ8yZp+is19Xd4Q9FnRulNmso7QBqAHnOm
BjdfzMsohTc0BN48suorK6ee6yNPm2Udmn6PtNU7G9nk3GoKNkoyaJyh0c6WFz4J4AyrbkQlHHXD
C753iYXdnNsZ9uMsVI5xmn0fZXkHskRfdbIKtcPTbxWC3NwoS1/5Ab/J9RAdpN42XT6FpSWeODu6
dtItegeBk974HnJVIg6r26g2vb3up+08zsNhV5kOuzIlqVcGgSw46CTE+V60I94Ih5BktEzTepdY
DK5glAjsMBo8n0NyhrpCad4fnvsMyVkiVWvJ08SKTt5d0akJLyI2hGPnXxFXFLilJC+8UDpaoXPo
IMigT9ae1aZYDQgMBmwFEzcBfoEl3WpatY/kBG2wKS+zaJAJAimfx74NF3bmtAv8S6Nbq7V2JeuS
iZWITaSWnFFzXjXsKeYKm9UkU/15Uqp7qc7G+Qh6yIwMZ2/bI7Z7wzN2ekBHsc8DTAieh26f5WMM
FBR+qVhhFkhRXtaPVIErfFlKHq60yDkUTZu5em+eMq24Khz5KpSll0m1GvUmQdxK+GNoOa6FcfVW
jfnWEnxhauHkNSEM7VN50wsjXNQmTu6AsuEudop+JxvSafCKXe0gShBJwnEofWwqU953UvIN5izq
+UR6sQYtXgFV41Ub+hyccNVgpQrClaTl36xC3IAWgL/QeSdIKcLFxMRBRg8efJTRM1xy66Ql2icb
xVFxgp1IID91NtwKMzFfChtla+SX3rJT+ycZ4HWicULwtGuSaHH5WJ66NNS+OPmq8JehsDBOof3Z
DEkgn7IKX8OsbkJ1WwSB5rajGDdDTe6zjzefcNnN52f/j87OGAEcTaW/SM/h4uws0ozGe4Csh/Gy
kLr7WN8b1bBx1OAf1Qf/PKSzYE2x9NR35ctYCU7EGhsov93EoXqqmnwe9MMXANuP7kW3LMyGNGeo
d16UMVpN+Jwc8ukSzirVk4MWx5sua+apIu4/f2y/VrP+vBsdxaBNTcbSKAH9WnIg56AOk8ZELId8
rGN1hh5z/fMS/0iweQhfyrzKf9SXcsxfFJwfyzr/v1VsTkqY/1mxOc8z/7+O38LfBZvT5/4SbFp/
EMug0IfTnUlZx+P/y6pq/sHoojtP28xQ+WX+Fmwqf5D5yAmFRHWElKBV/xZsyvw5tGYIIxTKbQg6
/4lgk5QUfv339TQbHSklCfp3Uw0SRemvo4MiKIIjSG7rou7JJXTsF9yA2UzDs9I11aIxu3JZjOnc
m2z+ZrpXCsS/6Ov0mVClt3LEnmnH9kRpGm7BLnbzSJAmFudluEqbVFoZXY5Q3m7uRqMRN2OamQuM
o7w3xwKXYG2Mc4ejFZgJFeSUUPVDr+sHJ6V4VWnwpRm9eyUyr/KSakrqn3xjPHsqTDpH9/cWmzdf
m3vn0epv2rRnC++wX8plyo7tOCwqpyrnFIxuQ4suXxnFoOglTZ+FAh4hNTJitRW6DFryWITRlRM0
uDxly5WDaKcO7Q18HSoJQXIQVroahbMM8mETaOlEqyuV2yBDJaZ5j6FjWOsskQ9D2R9zxN+ur0qv
oaNbC1Ugfi/GEZZAIb8pcr5RGpyKyISWaeoVqzovtq0FhS9rqpKUXkLZEh+j2dgbghhDICEaonMt
Zx+E6aamcNDnIaBQe2MmHE3gat1zRmEDqnDHcW9FrtlExGNRYcmNYhkaximt6iMG1wVb9JMcgeCh
8O2KPp+gKdk86sq1qcKkSO1uCRYiBwfTrhxbsP3w9PuwSp/Z0RyATe/zRH/CiMgmGMcyRqlx5Q/h
Sa4BqGZJp+EHPohwozXg4ppQKmf0NF/8XHyPJenE7fAwYnMXpaqYdzpJDaoguU8K+hiyDJGMIsLs
l5DnWNrdZKYzzJkoI3MbytYi7vRdm2gOuz2vgxgXqc+YdtLbdijM75qkc9u5LV4LU/R8yF96Thdv
AoUyWiSB9cNDqxtwclatDFKhbyooHgHQmFpjD0hbJFuPQqGQWXeCECE5mFM2IZ9bxRpWZAn4lQx3
TQxbQPJcXB8/EIVsmoEtW90n6UxMAQ5weYiHjHbECGNH1Lpm5tvNs22KK/hp0szq+p4uTF7MGh/H
pVrifGjZXoQqR7sxy67DXNkUdePhQGz3nTEso4q3Lwd7gE0/a7QARbwuWuW6xgYXVaModDFvOLK7
lUmf01P1Z8OmcDEU7BAiM73T5ObaQuWBBS25G2zMKrUenZMS7GLSo0DLm/DJs4NzXaDSycbgJRr7
NWbbWxF1z9jUfY4KZHDApsPFas8LvV5ndITciXqVUjqSwOSlqIusvJgXZAUq0rZS5DdbwrBDWNq6
V5QQ9hXuDNEN6VzRqteu7Q5RbOObLMDXVdQYMTg56UwfsnU2MC2lgAJIPQZvImweDNN/LaCqacJY
1ik1rERZdn752FrGDX7Hbx7rJ4dn+Q77CHYN8y1R5O9ZNl7RsHXbst5oXUjoD9yqpd/KN16XY7LQ
ze9E2IChYj86G7z2Ue6tcWkWUbRkrm9CtQmXJTKFlZJ7D34ePRiI0NaEM/VzVM1vsg/90UwgRzVT
qGU1MzF/Z3ntNkk9JwVNzAkoWtqCrZIRkqekRnTiOnZh/SCcXdaHx0LOVKJCh02Yh/dh1j2Yjrls
E2UeV0UDwZUFxwv9lxCFFWSphLKTPDG7mhsnqs6dbosZ1PeJLarfKTk3ivs838QyDw+e10gpzj4i
L9kHI7mybAcatB+ZQdCj5tPLCr/JSppxPAxwjXjryokeAmP0V8xhe1FzynJzGoyUmEh+UusCb5C3
cXoK9gMnGlLeVLFIneoFxGizrA2r2FAOPkeVgqJBaK7hV5swARippfQc5XwY6bSAShys7L6TnQM9
+iu/Hvacnb15NpQ+VQ+qVEpi3UcW2RcVsQoSDjQQT9nLIDmyOcUpFtGmb0xqVH33avhER2NlF3OA
xsPCqPE6+pX4ntDMBbRl4HXRjX2tq3dREm3xHHHirOEcmN26ieMdGB1XKaOXVAoWmZl/b8FDacSi
uSych4R98aynNMmOcF2YzZU8IlKBXnkMeuOb4yurBK+sq0kWmTH1QooAvRWFthhThT6Ig+++OxlY
oQVaZNXKnuF8AjSXlbfRGt+wRJ7NPj7KHb5PvfJmvd9fwTKdK7q08lhrNZaLWaZVbiV6cJhJ/9Ym
7Y2KralSm2PtULOxxMFprLU3ZvtxQPplZx4g03RZCvsY0t3TLd5PvTb32/Y+7rwHAsw3lddtDas6
9FoL9awE51ja3xDJnKO6eirl8Bjqw3MJfjHylZum6B7NIAakVtkbassUwDWAem27aSmd5JF3rVFH
nlV1u8Nxu03a5NxyT0OZbPD5zmvNArlZjYAN9btOadgHFNvAEevazzirFjQitFMAQ8xMsqvBH0+x
nS3GVrqvsM1XvrOgLMBLo3bWngoCPNIWQ6mGM3oYD6kVbnxF572fnp1KfJM4tnKlJ89XPVdJ/DVe
N1qAzl04BpvRUedFnG39bIQxZti8IGEjVd5R0CzB2fbaxlN2r9Qvw6qZl0O1a41q2Xb2KRaU7+rw
2JmCPx1f8QaYC8lY4ag+RzLxuu1w9DxtibhkqYTRjwgX7UxKhlWfq5ias2tou3vf44xuZFK38lra
B2HFDiWQ4ZHR8mrD6jqWmVhBlsPbK7KbqBneOFoKDG3iJg6JH0uyqlg6Sqq7Cj1EisrqPYvxIRsG
VlIdFbuewzkV3TNm7Yq1r1qYiNCF0H8kGW0pYFM0NfKA2mYdji5LwN4M6G7JrEcwCSgwZhAkZpoG
aqoqrJPnNOkyTBLyPulBL2gRJdQDy4g6Lg5P1Ymbq543cI/k89TSMF0Hegpos1Ds8xg2Nb7C3Nk7
TKY8Ks8om82VM0QwG0Oqh2MJdk0PlWY9lvK+ke18WXb6Oh7To6Z0rD923Rz6pl5LkkEsPGop7CDJ
csjwQ5bd1HYycRfG6rGrcJb2sDrJm+DkzoZ6plagh321R2yWo/YBcMBjsUvFTbJ+NRbmMdKNcxmV
zkwlJJpiLItwERc3HoYDmmutNm9BVhhp/mbl0Ngxrs+BBuNMLf1NXQ7fu7RsV/KoeXNPrqxFrhj+
k8zO6YFOHbCAgl9T+klr04vz4FTm2uzSB6EU/lpPxCEcfAgD7VPeh9E+KSjdxkkcXAeFeXIMSVqV
Rfsa56SqU3TkoZd0Itj6GbRCMQ88DwmFuqEhWTu3McBzSFDmrdeXD0opR9QUk/Ks25W/zLooPxZ9
TVDVSGOU/BIQckKD5lAD0KzswWH/Eh2wY1GNdlL2FGU8s+Qm5FWlOY+FYaPT87JrwkWZ9CX1EMPB
Ex8FWA0dr/tWgYq88ulMzA0Yxn92wv/vxDgJEv7nE+P6W/hfc3K2/d+PjNMH/zoymn+YOOmweaFq
M9DTvT8yKtg0DOq8lCV4Y/37yKgqfyBeRzOF6ohzoWH/fWRU5T9wx4JQ4m/KJgYF858cGZF1XhwZ
TV1TkVeSG6fqyI4crvRew0AVkEpPkyTbvsR2nzr+SitiqL0D1DLEA1eBXgULcC3hTFIiDoS1uS2a
aOJuwgLJsuyYlpi5GbTAZlo6ywIVzoMPiWVhTFZ2zzNtJoXyllaGBD/U4MUmWZJrSrr5rIjoYaCW
PG/MJFiUMkDzzjKEi+pph9GQvUiXvqaycaU0xnPjwEWRe1q2MMlfSmCMM1pPYkUvdhvGUy+gqJ7p
XAwHo/eeiOFUMShn1lyPpTez78slp80r0/fOdJJQYPR1P9fDoj42oGSoCUF4iQdTx+uti40l1LfQ
aa91K27WkkPPRXWMReso42LwWWsUxJ7LvkCrAN7JwoKs3bRRsbarkZdcTpUQBGo7b0rIMp3Y2UnI
PlpYrwWa9pnVTrKMuFwkalrDjZUQDiPiIeyHivk4i/ENLs3ayMFKmSHOJmtVqHHkaiq7vVF3QClb
j3VnHUKDpnCqG5siLo/sSfdKSr9VyXw3gVlkGSb/4c05f9yQGxbMsKAu4z794U++cTscX0VSul5V
3phacqcp2U7Jredq8B80tXmSh5zzXJF+97Rx2wHFn2mwPFe6M1pofYORlgwl6r4nRCaEHlV41Z1v
6NnCcTp2grJ2NYS6fR2XbAm7Bh+nlNgRMOd2q/WOsiPAsOERshaVtXiFwsGwskGdjjV0SkALbiTk
eO57+jbAm8L5LiJpCMFPJZBP1CM7CilCKRMG9cuAxnCRRPRSG7i8L2Znc/KQc0QlqaBiL+TQ7QTF
CArA6IVLcJ+Bk9wGdvE9qZxTyp7ODXqit4LiVEZBgtQt3zMozD1EasfNWxuDUTiuDMnj473xICq4
BvwuDrRKE4EwL3mEpbDpy5oI9r7+0erSS5mZBdZVaeZb0lET8U7PxXXNOXyZhclerWkMh+EdHdJ7
BXXyTwK32R7KvPtWV9FVXZCIGuraFWDpZOUQauiWcLsQrtAZTUtddhsTjZCRAeYj79JudMutiyJZ
drH2Eg/9K5s4zzVM0Ky8WCPi7ooIp2FgohywTmzYryXPgygWSN9HP3vUpp591Btv2VgNq8ajG1RB
izZK6dUpxpchMe47XBjLURTgLYv8BbayO3GXCRVYVLJ8W1bKY2QqYtX3XuF6qCR23AbVbsmO57lZ
38Q2wC+0LP5iHAJzDSIkmOcw1a76tEq2FtsXl6iFb2qVizVZAc66YCYvmrGN6cBbzlOsR7exIiEP
LOQ9bSb5nHdjD01T4p2b0r8HQa3NAij1cwmp/Mwq+3RWlDG0YEneNEkPjKEhkWVq6ct6Dpu0scWu
lbU7r2jipYfWqhl8BE4lAGNBtX+Wdk6xlNIqd9FTzPtBmvbZPPcOummcqWCGOwcNdP+kimzXiuAa
AdaN78TbKu5InvWjZVbXU1uG5BC9BkwNiUvvrCmZIBULVuJVqKVHEDUrySe2w+ydYxszm1EkrLqW
T5Z06dKyGmdmKt8CwrlXze7Nr7BHVhmjgOGD8YcD7LyPq3tT97tZXKYvflPc4LO0NmE6gGFNRT7v
U/06chB/DAFVB792iMkt4AcXBkzgIYMoQSpvvogd4LFAfvqAJ69PgPM0hzzS1k+WUu/KFBcnwXwQ
n+JzWdX7kXbdolT6dScHZyWsv9VdJpaBMyJKkfxu2mgTTuiFkK1SqoOOnbbHQJL8ZZLUb9jExl2n
etkMk7IzyzPzlVpr+qe08P+2JDaF5c+2JP+1Cr99tCOZPvfXjsT4Y9o+WCTc4Lf62a74q4itw1tk
QyBTxtawtSBM/xd1QNX+4IhCVRmjFoc75Jr/LmKr6h+4pkEjmoACJlWq/k92JNN+430JG3ugalHZ
hrI0GTD5Y7/sR1LDd5I+UJItLTum3Nj6nJtONhlzZfuVrW7S2X92rYseVK1GtiKNTrJNbrFyqCDm
R9devnv+CHAGH8LlO5f89H3/vgZ7PkRI3JKq8lwsWb/sc1larUNuyeqtbPgbfMWLKPrxxRXULy5x
sYXLTJjYwkvrbT6uyyzjNS7ZgJUicnP7eNU7qEU6neoiTfF+pjj6tmuzTaTRr8fQA/2tD3ZdH3eI
euiqirH/YaApG0JzUZl9MSvIiqQqTumwoloRF/O2rpcoLjYxuSamnu/KAVRlGwwnX4xzzddpNzfZ
2cud+7bxV3FiHKqOLVFVSWshwGvFKJXgLUXshT5/EL92P35/1NO/v5PjFkFrDkPFc0i9ciNZyFU0
/S0KzK1PlTHpv8xH+nX4/Hk9k5047Ut96mReXC9rZRXlBj9tVfJqqTzz0HHDEjeOi2DnUw1nyNIh
57GM3njKQokCWgIohgcX1+XOUM1TwUNVQUJfj44cLT5/Hr9u7X//ftP3f/c8JEVtfF0liT6u+w3z
nSJ55Paxs/7fXYaV4f1lJne2pvswqfX4FcWkzosmKfsvxNY/5/3lPHr3sC+T3gCjgqyWuJnoscth
fnfL9q68k55U5ylZ+V9M2p/sgt+uhqPXUWhNO6x5v95TogSlSC3uadpGxzpn/gC155hqYp4OzTLs
unVsyaj76mqWwReMM2v1+VNVPprVeED++gqXzmyTo77WCL5CPc3CkelY1xRdmJ5j19PZQTwZZ3W+
jvguHPLINIKNsqF8EXzxTabl45NnYVy0nFnaDDyOZb0tOnTGcXXKHzNVc2k6fGH1/3C8vrvj6Ym8
G69DQeVGptq/BcQyr6U9212e9eePdZqTv90MXBuTVVk3nMtcsTHT4kKFT7ptwAYAgqaGshiLldrv
veyLefHhc3t3qenf390OYHACjUsuVY3NfCJ4gdYKOmcvvX5+Sx+9YfiB/31LF8uQr/iNoflcJzwk
q6/cMxe+oH8tIu/++sUigqfFCwe54C7SXem9EMlySMzi4A/1W6J68cxESa4YmiuUL25r+sOf/VIX
U7CnzZUW07BDHmi7epbidwAkPLbKmzFoyUoZ/VOCDv+LheaLp+lctNCrppNSDjK8RMwrnKeZ5H/x
lvpoYoNqlaEGUPgBd31xYyp13sxG17MtEMAZN6K/JQH6NO6o1nXVPZ7Rz4fHR7/g++tpF3f09y+I
mFTVt0O+Si2HCgWdU6dd5ki2oN3sFT3/Yqp98CS5LpgzZhm1iktr15hnXoAOk/dC2rmIGKkGzD+/
ta+ucDE2R88OrQ4q5bbepwoJF//IwTgNfcOebKHQehRZZTv86wTu8ooeIuLpbdPESMyvE5Rdk91X
cpTDP72RX6803ei7pUJLciXscFFsS/ZGu0j+Qp/0+6LHn7fgHHBHGjSVixU8T+Kq0UmP2+ZW/DCW
dArkeqcpzss4FIgPvnLw/v6z/Hq5i3VcHSS9qDwr37J8z2hqLqzw++fP64P386+XuPhpYk1NiLOw
8+1oXceSvrATaWaGR8Qg7cKmMSi7mV1+MXF/fz1N1zQJ58WRDrX2ct6Galg4hNZvxyByy/7N8L4r
xvDFy1b5fdn75SqXPswmDELCyeV8K6u0TlCP149lBFi87tt5GleoftE7nHqSWWeIgeJt0cs3acc/
Sp1ebyjfPDbI0nUjPUhxf1Xq5p2RpF99yenx/ro2//olLwZUivfAkhwehRPM5fLe945mtGnJzoQT
Tl3ALYsrQ37mNPX5z/7xOP73L2BdDCxJR7rr+yrTJMEoQxYlgZIYfgiaM86qffv5xaaf87N7vBhi
TZ9CtPAm/Sd+w7i/C6v7NqOpqy/hmK9KIz94ovuTlfj/iNz714rz9xCzLtaButQzYfYKE9VbBLeW
/eDIXyzKXwxia/r3dyuNQkhJ0ZYML8XGjUF0cEM80Fd+6d93PgwPwJ9kJlu0quWLi/Sl1cLdCXGB
1NTVnFZkW1zTEZpbKdqSQa78J+MCnNoEIsOAa13+VFqjJW2eFVtZRtefZSaoYZ3uXotMg5xCaMjt
F2vBh7P03RUvfqiqtzvKvlyR/Ud3Gh4+H3ofjnOUscZP3t1vktVkcBKFkhoRCYigbBIm23/GLfrX
QPv7CpdCwdwazbBouIKWx65NE5WsKuOLX+XD18C7a1wsEvwEvs4moNgWGm/oGJQ2+8gvfocPh/O7
a1ysCCE7lxLTTbH1e3nec/IUjXGm6fzFrPl5lL9cDGhLAChyIKopysUIC3Lae6RBMqI7uhaJjYRQ
StHmIUyYtUNyF5l1sYsT3jlWbKpA+cOXLMgOXu28hp2SLJDWI2bQknMSmnh3aofo0TRAIpb2zc6x
6SIrAtydbVOchig9AfeTOMfxZOdwpYpSx/6ckhRlZY+lNV5FeEFmoO5JXw7zM3gd6L4rtGklB6d/
PhTf3/jFQI+lNPaklgdcm+15dFoFEYlMLAaaBU9eFHb8j8+AEAXfPeiLpaPRUBVl2vSgrZe+GX/u
tzQcj5/flTaNi89+z2kFe7cMQq9uRZgFzLABODTkcAUnYsyWfFoqqqilgRAn95msLrxg6Ga9Vp8F
95pzz7UxPCsdXjllzEh7DOZaRsyl0DCnm9hJB5zQuTqS6JvfCiyiU3LSdzmhTlD55rWeyCe9U7NF
jyccuuqyipEFerSyNp/f4UdLCEAimq28TmzojL/eYKqnde2JaYIXwc4ERp4YGytNV0WhQ1Bf/CcX
g67A0gui7xL1wZu4NEcUkVu6N65lfrPocHb08pyvfreP3sn0P0GBUiaWkSj+elejpWU+aYliqw/5
C8vzTZUU112ZfTPa4DkxuyujGHdNSLrE5zf40XL//roXBw1OmWhgMDJuZZzLNc3c5+a7eLBug+iL
6fYTTnc5MM2fff3pZMh2/dc71ByiWdCnim1hDFeOFD3Tivom2QKlrhjWaeggZi3Ivqwdg9SDLqZt
ia90bOtz7hWPZZCJBfjubBPa/Uytj8ROzIKsWmnlMPH1sUBLHnGk+cLXLCwv2t5DJUe5fQHKAHdn
sxtwjwPM2I66f5Bb2XeJ0JzpPNXPH+hPKstn93mxrhS445re7MW2rcl9LCwSMENVe6oUneqtDtsC
1OG5N5QjWsl1pYW020mGZmoqW8/xbqIsSRcKe5cxTlWXtuTN4KVPVYo6yzFw8g4eCu6abKYCE5I9
htamMVBhFzxDXKb5F28h5cNxSRYVU0AGRXM525QuxW8kqWIbVLY2J3sVBy5uJNuA39TzxTy+YGYI
FecwdvvQ2EMcX5fWLQrTK7vVXkw5k64Hk3BsVXblNt5FpvdV3vz0RH974u++48WrshxEFuMIFNus
CGgT4HYc/pNZomiGAklJRtUyPaV3i6rtF6GkDcwSZRo4MiOotuRnP0B8FauPaaCeCWfRvnj2H+0A
2PLhyEAo42jmxUKXYM/TdRGK7bOcXOXNIle/WNx+5nv99uDeXeHiwfW1EkeDF4it5eEaJ8lLsm15
2QXhS4hLdWY7eTI341giQcTBTj0a+8YxpVXUCtvVLLRlqbSQSQUvPEH2FnG/TLlu6tzb937tvYQa
jsu4cpZNTtCzqUqbiN713Ey97dBh5RxkHzmDidc2teTvRlCEyyDy1yFq3M/n5IeD+N19Xiw9ltnF
UYn6F/8XzTbAA7MyG+YR1xGD74ZZC4hf9AdZq9efX/jDkfnuwhdrQVr3lHEQTG5Pi//lX77YTWRa
Q87BwF+eY/P9YrR/+K3/m7Tv2rEbZ7p9IgHK4VZhB3V2B7f7RrDHbSVKoqisp/+XjPO5tdk6IjwD
zMUMeqDaVSwWyQproULpoGKGciWfxqMS2NmkLoe5GqTnh2ez8ffNsunZHwL4vB1FC0pUVqQOMccY
AP7zPGJqAozpAjECPTRuA8ly0xVKnNVhVd8WC4/qf7PT76vYKirEfVG0uVEA2iX5WjsnKz7vm2nz
9wOJxwHIuaICh/Uy6mAcpNPZzGqwKRSnMUPjUPp9X8LWcxaNdn8kLL9gpcGUKswkc1mHhv6LdeAw
AFGOm7Y3IHj4b4I4d1Unx0gYuO3D9KEeH7ozermkUZAL3PQqwBygbLmgnPMvmamqclNpGF5M3Ru6
T/wMEOE1Fey7rdsnzsE/QjiLmWg5xNnU4HncvACay3WunJcqEXnuthTbwlibrWFanvPciKoyi9ue
hqXfP87sa5pfRXg49aJl2fQwXDb/J4c7ANAYlTVxBznzVeENX/fXXKQE574gITRVvcbHnUN6FYzH
WvB0FX2fW4o8d4wcZCk0BOkNwakBfh00EP8jEiOy0aXr7ptk8yBa2Zt7nDk9K5sEKDyhEd+CqYPd
myAnmZJj+b4vZ3srfKzrYrrVvq76hikSZmPCNvUlNMK/CXbB5vdRv8VzVgaCGl9rNCQ0ueX6QNGj
B7SA+1m9StlxX4VNs69EcKYC7FVSjjO8hw3Wz6Y2nnCAC64Fmw60EsFZKR/A+WSTkSIoDQDbGDHo
2D9l9auU+vu6bCb1UWw3NExTAjKSf/tEdpGkAISlIaG9480T+0obG3AVg/EzLjC5JA2gE59i7Smv
hipwtDttMJ8Ev2HZbp8uexj6W6rDqmnxN3knQkKzqLBmFuiOEuOXCjgT54wBRsCWAchkX9qmg6yE
cYElJnLcEjTHhFMPYJC48pCNAzeZLVjBzfNrmT5eZo8xHszdy8FpSZ28nGBXFmrZAZ2wcXWDh8C+
Mpuu+CHlU+FUK/HEsGckYUfzRECO1A2FwENEIriA36gguuwkKAIQi+EJE5L7Gmw6oLUw/aLPDWN2
BufqSR8TW5IjGqLaYnstBpMVXHYzhz71UX2s0/RuYFVQETyP4RcgSxMBtG7ttfUPsC8jkqpSCyMu
+AHTAl2TgghrATbJDw5S5nqmCcz5+4rKO/taHOcYyjwXlCwbLgebaFDkrfbUt8a1Dg7JLlODse8P
HWnAmRWB1pgAkciNqJQdkd5PfTzHn2kxXsvDeIxp9kwG49XCUKgKwkw7YzVa3DPg6KinLGu+UYq3
e1I7kwve069Uz68YkC1cWxPUT7Y8faWQyZW6a+BJkRqoT2HaAxhDGjEkhieMxFRMGjX1cd9dtnYv
ADIB/q8gxut8VVUHA7DVmLBes+gCGrArk0gAyp6poDq8LchSZfQS4o7L95mlxMnzaFJwhI8UEEqw
oLNMOzeKqNNnUxCyeCjXG8AI5u+GDYmQTsnRY2WpFWCwzBS57hFJyojV7/u2295qK1HLVl+dvfqQ
ggYb4Id4bGLSFngkmGmoAfQNSc0icjLoa4zR/peOkm9lalUAqBIyHGw0lRkAqvxQeDHI6lekkmVZ
EzKlodJ9BRuxP1K03kcpOKkT9nVkDP2MmOVEnjXEI/K50bQvNJPvnR6D67nyuG+Szb2PAj3yp2h+
BYbm5W8pGTDhogjNDLXpGfmTNqEjHbhXU+uirXpf1OY6o2F3Kc7ZaE7l4igFjhJoV6C2QZBA1AHX
dAv2wm//TQh3uAE2xoqYBiGancNrozSU0ZKfDWAD3Be0dSqgJvNHm+VIXy1iyTDG0SzaMFSxVPsB
PH77AjY6duAmKwmcswKhDjgOv5cGq9/CC2Z4A67tYaXbwPpE1cjrQWkEBDfjGyGKfsS4QBwOTOv/
har20oItA3oEfssFbGARtplkoyfQcSVXP+yruWXH1cf5fEOMVoNGovi4pmMItQRMotIKHE8kgnM8
RbL1xikhQpF9IDw5ImK1rfi/VoHzuazrgDe2fD8GVyRArDRooCUTmFhFJEtbW8gGLc8yvueoNt/W
nU1K3mYUbWKgs+zZcZIw9p0IrLWtzYeM5e8rxy6MaOoRiNHyChjVoKwxHG/Vvxw1AtjvZIiCwqY0
9PejbGKgkm5xd484l0vgekKjJMlH35DbX3L0wizSXtWJKNZtBl5MMf4RxjmyjIG8DIBtEDZOt8DA
+4HQ90RlBRj4c4VBf4B+DfIZSLWVN0cvTtk/0KwEqCBYKI5akp33PV+gus1dG8oBsPJ2igiSm+TL
4GhHuUBrnlrd6Rje3Re1KMZfuVaK8zmLBOSsoJvp4TdWk3q0Nh4tCSSsi8KL5ooko4JMr3sq4oP5
fXjzksHrAeBwE/fbTyVs4JhMIB/F+o7QrELNM8oAFlaXATjRXnFhm102AlosATYuSMq+AFDH8qq0
vUok8tMYO5T09i2xGVUxS+IAygrgSCD+uXTvCMhVJu7TsDqVh0epN+8Tml9PJMhi9NmB7L6uyEIY
5QP/YiHPRVEW6VwmCKlbaw/6AFRKF4oti2/yU+dGRiIXXYoFPfZfrJfmPhM8jEQSuNMjj1CCBXYC
DnaAZAAGFWiULhqP9625FY/WanDG1OdMbeceQhRyPdh+AljxRnAN3bqzOcDqB28lCjyYF+UOWvQl
OQA3hKkcqoXEsd4GZcRFBcjebkoqQJsYyewDsePQa+PgA5AydW1pEuzVLT+++BWcOXUQsA95Bz+m
KPOhnZEc2ukwYRpelwJcE6+H1nAJ0E2CvzbwhVjOwBGZ0haw6W1IzsDFoE+FLcgWCc27+NEq3M9A
KuomC+YFaxlemPTYKf7LQHwM/87Fl31tNq2IewT4ENQFKexTMyPGkgh4P5qwMppvhl5NwLbprpUM
UcBWjxFADhMZCD8SAyKY094mCsaczUkD9nDGBCu64brLhMX/fsqnjkdaarFjtE04F80RyaabKidH
SbAJRUK4m4fUM0ujWMHQcqw78HO7vQKIHn0SeMlvxgIuyl4oo14uYtI7Ra7TrsHVGmTTtQEEiKVl
iFhLj8JcuiPrbhs5c9wirYK5R0leYumvHKjiXlc1b6lMTa9zBnpAg6F2n9m9dHSGHjVj4hysUX3P
YsRuoo5gv+yLyJe7WXeTtFHAQYRj0cSs0Z0ex/Z914FdXXYK496J1eloz9qZ4RgHIirw/JUq+6kg
fXFOEexzQ701AdsVqEuElZdYO2Tqc9Yv+Gf3dQP402HZysOyqTvsbnkAjDO7mjs0p2XLvrfQig9A
tq68MbI2cOK8DcpoeKgKWh4kmT7FVPteUox4Tib7oRX1r8wxT8mc9P6c6BiI17X6MLSq4416drYY
QoqF+da0wSy3o+D9owBWyAdUTRUolXYbwy/Z2B4SW8DKs7kBVfSp2yB00XAgcC8woy4qPBbRBcSk
6SGRaBvo0AfkIXlQJ418dGqLehbJc6D7JOj0MpMb8BQJduamo65+BHcNi8BzUAAqHJe+Jj12fbPQ
QcFoj/v7f1MKUB8UNGeids4zV/SJ0UcM52zI6DfgqzVvTMoEB+u2CNDpop3rN0fw5U7AsSobtE2Q
TKieKsDnKpR5pi7YbxvXqWVc9I8Q7jDIMF8MqCJYq8se2XzbzwcdiKfNARMjaYoWOSJQauORjts+
OjLRSKHj37gwAl5zWR0MpQmBz0/uY/bTTm9s3QRkuP8vFmgliIsjhZPMw6TPDUjag9E4ayNgBAXn
+ca95EIX7jinFNjHCpWbMAdQGu3Tr41aPEtZgzv45O5rsyzDp6i40oZbJtVMAEafQZs5v1YHUBLe
739/09dQMfi9e3G/XdxkdXQadtFYA2AuQutqBFBvox4YoYIV2V76PzL4eTygepSzHUPGOE9uu3BA
Vb41o0miv0GA39dnY2YHaZkPhfiZuxhtATKob5tQlV4Y2kIqOACAPJMh0CTBvUNgO4PztKEfRkxw
qtBLwgTvoX8wpud9bZaQ9Wn1MUyuIW8hqygLX66OGauWVTK7CYscSCJSpQXyoAfoBgbQeNMAlqND
LxJ27L7UTZ9bSeV8DvhmKUN/cBPaWgq8Bc/JcoHltoIPQigQjE0HtXSe/jjBWGQ9NVUTDvbjqOkY
QGq9Wdeemyo/x2OE4kHk1WYqCHmbx9RaLOfsIEqWAIkCsXHQdX7+Zn1tHmagjn7TjcCRXmxR49hW
nPiQZ8nc65jGXZrT32p67Ym4gSjrvLWx1t/nYqo1NX0V4/ITsggtxoBb8qzlopmzHtxHwyMF58O+
Z2x5/Fog5/FRMTq0KiFwpE9l0XqgOusNUTPcvnNg4PvS6R0k7IkyUARwW6pdkH7/qEz5WDJA8bQl
mTCUUH9DneSsZ10qiLab+gGdeIFPAKwgX5ho0X5mOWnZhATdn3X3xRqSozgDtukWKymcFUtcgwmS
bU1odncNoFgAGqUD2cX6ub9Ym3ZcieHsGKlWbtRg2AlzonwZ8/iH5dRPRW0+TKp81U/Nj9pYRguF
2YnFq/mgpa3kcuGDEl3X4ok0YVs9NEAttfonIEpeqXZ8zvvfG1sHIqkKWM9UTgXH2Wb4XwtfVnh1
npGk6rO2WWxbq1cYCXqIR/tNnSWKguBBSx/kHkBUff6MEUbn32yOld7cK3ScpdSIwUkQ1g1wJMog
qltQQEUCF90KzmsFuas2Bcuz5siQ0j3nIAMS6CByTe4OXbamJcfLBjdMTITE6aOjjue+Vt0cnXwC
TbYON1wKVN3UUTP7NKsDjj7mAJwU+5wlhy4yPDSGBiWOa9bcW5PyUCgC59jc3R8Cf/vOyjcA2WgA
titvQqTUXAm4yEnxKBev+7tuMyavhHAxudAyhswYvH9O3sB36+V17/fN7Tyn4KRw/H1hm84AEGhw
SKvIUPLvLl1KaDQxh4XpDEYmFYiWaKLeF7F9aK5kcC6RSZqdUdtiIQDVfpKucqMCFWnIk5zvnX1r
9I4fdY4PJOhr8AT9qyN0JZ07siNJqkA+GTFkfYcr8PwEJO59OpQnh77sK7rtHX9syaeyNRVwVDjf
WGg4FZ70QLk14sQz51rUFi0SxHmImaZ0TkjchL2hnlI6HHWNndpUP+7rsx0KAVekIGsOBk/+pcpk
vS9kkixxOK7vE2c40yXoMhPhdyLZq8KMO3RyHezKNIJmEB3jm6FkJZ4Lh0m95BptiYWKlqAsy/7J
ga8uKR2wzIB2va/rVihB2mGZ+sP8pMyf27WRm3YC2g7kjtAJ5A4vzffRfE2/7kvZ0mgthTu3O3ku
CWDu2rB/de6mFzkoHMGaqcsn+LNzLYI7s7NJkpwxhQjwCgfsIF11YflqAhz1bX4F8pAKxH03u08b
960GkV4yn8zHfR0/XxoAFbMMIzmYQDU/VecYcWq171S23IC+jTa4uBVmP019FWayTv28M050BnGL
Laqy/C6dX6p+KZnzFy0tzHhyFIZhgfLQI5WA2x792kQt8ZBIGrHpx1NhAEq8iaqnyUpTgBQWpksa
M3VnC5iWZprcd3J8yttC8jp1vI0sM0RzjZfT6JRmAJjcN9XnfYwfrGGWytAXCnu+fdrOY3vAUCIL
gf77rgJXPW9Ac1eSPNiXs7GRLwUtp8Dq3AJoem5ZAIEPban3nAm43+34XiASgyPip0ozzyCxS5KH
RpSI+ny8XApeLLAWPKRW18k6C2tdRuoBAO6VaDBdZERu1RW7GzU5hW4FWC5oAVzCNg2URBNsrG0x
QJG1cFACqpU7RmYW1U0rwa1t0zwVVfYNY0cPctcJpiP/P0v1Rw6fkc/tZgCvGJw4o+WxpxOKOu9m
/C6BBBPYkb7dg7y2pD7IOATO+Dk2LUv1IZg/VGqgeCag0Q2jTn4lcPgCjl/p8yGOREFKYEseSwDz
ZykwV6Hj8khKM7S/DY82up72vX7T99Blj2ZSBXC+fEdV1iqgaAQvB+asx/eBVq8z++vrIEy2ksBt
K4W1NKmrjoVJ+0rh3Nl7P/x17eRSBLeBSivVSd6NuL2kSuVHI/lHBu0yblCi5d+Yo7uUxO0j0wFx
79BCmcqongdQtD4oJMIVxiqnMAbqQtHZYY+YSJbgiCGzk5lLd/ISNo1WA8NViSRM1IPiqY1cNnTv
AD4hblzIp/1V3XTTlc2ty4iCxqZoGNsW292s7tsYjMyTcrKS7EcjqQJRW26Kh7yu2paqfoZSqEam
SnVb4z5XNPEZlbFb1SruNbPQBIK2dFoL4kyfAwG5nQaKgytvlnLVOXtBM4GrdrJg9FOkEWc8wI9C
pZ7BYaM7x3al+Q6wq/vrIxKxXLRWEX+WLLSyjg0LR910W7CDaADMB8GZQMzWLWNtMi4cp6VmVVFZ
snDKgAUcz8rdaOvP4CEpAXzbKv+Aqm4M9Pz7v1FOs00ddCImLjmXyvV514CKpID9KksOdWW+M1MV
OTMdGIT7khYz8XcZYH3+kcSFljk30dAWJyxUs+SJYfI2BoBhM/Xsek7AMFRqNUDnFGAK7ovdXr0P
scvfV6tnaRbJMEqK1dPi4oSM2fcmKdg1yJgE+m2sH1CdFqB1lPww3s1ZstTaGcTPTomeiR4Tj1Q6
l8p4YOo/6qCeOzn7Uhnxe4ze/339Ns4EiDUwImvhIP/UN5wy9DkVVVyF0YB+hRQT1+Dblv5+MgSt
aSsp6qUVdQmAoEqZVCFJi9PCYQk+3Yd9RTYW6kIEZz99iFIQXUNEPgbt3axOrpSJhkJExuJ8UEpA
x6grMJbEbqYZHF/yLLhUbaQGLi3F+VsfA2mRyVAjazSAoeTmMXbAAlzY9LktmzcpS3IXrIwLCyvY
UkYl7IgimmLeVhMpU7QhAUWBv9mBuSEGfLdVhmSazlKPp0NV/vj71QJKL8hQMZAEd+fuVnaOtUol
pUSaXb6J5vaK9mAzF1wdt/RYC+G8TsbVUSIphPQ5wQV48sqiEojY8joTwHm6IoOJ79MlOGZGCebM
RYQBMJI0Ow5tcm7Lv8eWQ2xdtigmkoAAxyelxqYaMWsylqFpBZLkGk/7q7Fx3OLzuMSDFUuXPxXg
ZX00SsPqStBpM1eagEwOpCQJ3W25/r4v6XfjOBfGL0RxJ7tRxAOqK30ZToD/sI9SG2g2EIVOU3VN
lKOm+Q2OefyDRrvSBxl1b3vFWTEEUW9r2dYK88e+nhBmmG0ZNvRaOTWqZ1nBvqJbvreWwJ36Ztun
hqQ1ZVjMnnZNZ8Hnlx+4Z0butJ8w+x5VJRSYVddMXmd6ymPfbm408/Cf9OALzZGK2ZVMhqDY9AER
X9bP+98XrARfW65l5NNSQFKHysmpj43t5n+Px7XsnT/OzZeU0xTAHt0iAbToZ7TjzY6PdmWQSO4r
snE/uRDDnT9yLhF07WMPRb8sehfdlbYPJtx9GYJVNxanW11GNL3PhiyGjNkHVXU+gx0llIf71vr7
Z9xCwWKqtg1m5U8PxVhRmz4phjIcfo2FpymeGgmstbk9VhI4TQirTDZThAFKg+ar8DK1GdBWn1+8
bmWoiDBLZ2gFDZ1/stIrwUznq/S8vxgbLcNwrJUQLpSBn01XpRI6dENAlVsZzB3f9YWm6iingl24
6VwrUYtjrPTRswIt1DZENXNoD4ETdj9RKsZs+d9PIV/qxIUtgIoMVQVG6nAGA2NfR36B5t2skgTL
v5XUubAdF78AmZgkkQE56ujX+tVQfm804g65Z3xXVTd9Iq/7i7W5cz4MqMqXBhztokMDGBwiqwwX
NUWPFPpB06ebHmxgHRM1QIvEcdebukUlLsogrikDcKJT6AUG8ClxC4FjbOwjDc1fyCqby+WdbxhP
qKrnNkbU8Spy2VH966YsvChXX+d2qZOTJqp1iuAvvyXAf6uu0ugoAobf2KsXQri92s2gapEZVOhA
ujgFMUhTxlAEC7+xgS6EcHvVUMwpIQCUCROMz8ZBAeSlZzUL4jgwwd6y72sb8ySXZuN2qyoXiVEA
CCzUUTTpm4DqweDcm0bn+p08uFb3kynH2j4J3W7jML3Qktu9NVr7lYrh0nEjV7d2DTRUf181kbtx
21aqjd7oR2jWuNUDe9v/+MamWf16lW/tqeokU3tSl6FxHYECV74vNM+WbtrnfTH7/qbyTw/dlKwu
0iFGewVPkf5gjodalIzZdzdc2S/DjY1O0LgEUWeoRFfV6AIMKivcprvq47AR1fy3F93GLISJOSmw
pl3KKhipolTF/aaMgxqoi+lBE5VLttX5EMGpgzMAoDYGRIA5cL7VvyHdblaeBOQoYbZ/28M+RHHX
KMlOIwMwGPCwyT2Cd2x4AyVw75yV/PlQXbcpOg+xcfJj1Xj7brGBdbzs2g/JXLDrU5UVIJ5EHHoD
TwbTrx37Rw0mjYcm9o4jsOfQgfKdoPdcGo8C0YtS3G3+QjQXAg05NYbRwb61ML9d/CMbfj2ideM9
1Z+pBmLO7wM9WSKpIr/hQuJoJz1mzaAvKV2ykM4Fom4pkQQuDgL+r8jRf4/jw/oKBsoZ7HgHgeUW
596zHBfxqExVED3hRgzsPi2o3s4kbKJjJ3IOkVdyca+TmNRgrhe26oL8Z60IToztyPfH9fgSl9VN
YCqTYCjnNreDNJyfF5aWv7/Ur53M4uKEHGsEtH0Qop0Sbzr/fTM6tg8waRfwARu9R5wPo+xTWhIY
x8N8UIA4qGVnuywfzaKoMcQTJ8dUpQ/7i7/pXiuJnANrmGNDQYbg7iM/mMzV7e/7399cdDR+gd7U
VoF1cBmK9r+1eeisvsUFFyd2CkK7FL+VBNIpbm13kF2jF1hE9Iu5NaBoDJ4TxSnCGaXEWq/8uKj9
fUVEIjij10ajF0AcQ14jO8+Tp4mqbqLvczGDVYC01CJ8P/5OkiMVsShsnmSrdeDiBYZ39DoushLP
Zj3zLZv8GDIThHSjha7Y2XdYclOOYML8b0bjwofU143qyFGBaVf7ZiIJaHJ+/CcJfKdVqsodyqLw
r7z70k4uy8/739/0X4znAKABPLCgl7q8ZKQgsiLaVBdgG4xByj16Exrmh9Q4oN/0676orRShJq9k
LS6yeuyCRnhoTJ0VYTbKQ2AOVLqJwBRN9OQ6Zybovgcw3dN0wPhTjpFsKW3vSQOiLy2db2YK0GkK
iCtFn8tbFSCW8CFDsAc2A8/qB3LbrGGmphdFX4RUSl5sYLs0ium1kiwI2Ns2R5MZ5oAXXBDOa0wC
MNpCSiGGOdWDTGcDjyPdCHupoaAwR8vgvuG31fojj4dc0KuctWpewu72s/WMbCwjAgnLL/50WoNF
+P9pxKM75hOdM7SZF2HZKa51pxN/0H35FSyArvX3bQJwog9R6qUTWYrUTxOFMi0GZc4VeEBJzUB6
n7VGsG+2rYiFQw8AyWDQ+Qy+oFNpoHNrFqEDnrVWR0ZOhO+/lWnC1NqHCC7oJioItqZBL8LOeDVw
Ie2SyjMm9bscv0Y5EkEAdQUhZ/cwRvPsxcS5ThTreV/LrcC5/glcXHYwt1f0iVWEw4BEsPGUz1+r
p/xpnlGNELmJomy54loaF6ZbcwC71wRpY4kJKswm3dqkrt16HFK8PKYvdgf+ZslJHxaqdJ/MKFcs
ZF23eS+F6L2UDjV4oI906kFrrypox5TvbDN7LKTqtsAok0fY9IpI956qs9drhY/BGMU1jNbrRpDl
SvlTxKjh1g4og1H0+xJH8RTUkZ0BSDy+qyV6lZSg+m0lTLqWavZPOaomwJ0tzVMLLA2Igl9ISl8t
I7ob6vhHNw//gCFG9uiU2ncymgWf9UZ+icprMzkBdIA85nk/Bp0DXqJsQJeeI9fv/dgGcVQCzVVG
voINvpqnsmvb5NTKdVCk42td0QATumA0ncBABzuB+PW9I2WGaRX5WTGLp4SS+zE3HjGLf9Im6xoo
yYWrpsNtZWNyNptv6to62ZEUlGB5R5IflNhTEkh64hvUrNGDDPh5FqCmEIN4KgFz8QL2XQDkPL2t
bYp83SD5VumYblGngKUbAUQKnnd0E+adX8NSYK96y6d68rpajVw7019Z1Zmu0k+nQTe+WXYNsZV+
p9rT2xC1r/suK3IiLn6qWl7okY5dk+roJJQLALy0yUOHQt2+nO0AYKFRDKej8qlpMZnNhCgoZIRw
2INu9H5NDvsStk6CpcD4PwnciUhjqQCFtFqEVtLfJ5Z0kHrVLwvnYRSC+mwb7UPU8vfV4atQw6gc
wFDh0NG8XnUtO/OcRqCPyGJ8PJN1KCKNCM7+/bd9U21lljXg8QNaBOD/C+zrpQL6yCKgiTVgA0rL
28hMbgEgFyhZApSLk5SEuA0cJMu8rm1BrnTz2rIWzC0SkC9JQ0BzDMs9pfkR45JDnRy1/K5Kb1ja
HNH2fnLm5og44tnxQ0G/1PWADT/qX1Vz9LXBFpy2m16zsgS3lEXZZwlD6Th8M67rhzsr9vZNvekq
q+9zq9gWil2qrEOrAjDFVRL57Uxu2L84x9dW5c6dHOROUim3C7mTdYhTvPVKTwPC3b4qIlNx503X
VbkxJEtHdqn+dGoQkzrUjTLZMwZH8EZbfjB/B1orxEUlkDiNsoJBTQDNoIs69WTlvr2RLFGFWyCG
Bx/s1SjG7RGLkw4l+MfLG2WSHuZ5ASJMq9Moyt1uGhClI/AKo4FA4UHc0G4G7HuJVOGANjRXboC0
omuDfDJ69QU9GKf95dq6Ryoradzlrs1aqe/VEpxu0m0jgd1bPgAnhL1UZPBj631fmEg1LqAAfpV2
UkbR9NMEzjweJ+1XCTJxph735Wxup5VSXPxIm8SZCCZBw9S4kgrbteTzVIv27AbUiol5uo+F4oLC
ZHZameP+GKboHdLIeBUrOYJQDhwJjPi9Na11PQ/ZCdNYHXB7HAK8C7PzhoqF6Gb4sa/x5jGw+i1c
AJHyGS1hHSImKA99bf5ZZfF/tOmyS1anmdwodWzXkEDmg/qS5WGS/ysJyLwvrg/cb247ayCeMzDg
AR6+4nogwaBfq/lf44guS/ZHBI9la+tNjgwxq8JSR/OcYvqDogdI+vvoKd1fkO199SFJuTQXcyKa
YTCsCtv5kIPErvRN66uqJX6GoX9ynYp4gba3lmMq6OsEoiEPcStbFRqJ0WYdGjMz0MeCUtzglPc6
muB1pftnX7ntmwHaVP8njQvyadQoec+GCh2yNyCx+Zap0WPa3VZd4ZZxe9UNGhAhMAw09aImy8XN
PsX8lWTOST4kq32PF8Xk3GbdbY9B/ayrvimRADpmc1uBegBYKgtuNZ830DtJMjLE47BCY1OLDd3J
oivvlkLo51yQynQAZPNen2CkNAUaMXLJV4kfv4XpXSrKRiyrwdvMBNGpvrCcmaB1vvRFML4DbtBE
yn0o7wHWMwUZU70p8oyzIhop2NJmLYqLQ8BABSr1Ujat8h9zmYNV0deL18lUPfXvZy/Bor3Savkp
q4BkqnPdOT0MNyfHFk+rcvRjvKukSNQuvRXoF4Bt8F+hXx+T95zPZXOEoXGMk6Cf+DA3p1bzBzlI
kuN115wN+WQ2N1ES7O+wjRNsLZLvFXNA64rzyyKhOXmAX7vPc/0Ob8l9IVvb+EIKF6RIAqfsioiE
r5Z1NqNbLXo2YMz5KkeN1dAeBlPUwb+xoS4kcteNPlGREJUdEpJ75yhCutxwvouPc9eLoQOXKpWW
dYqU6/yUDImr5dN5dB5nUdfNxpa6ELXouXK+ihHJLlTokVuVfOj18tdkzuzYJRpSJOZ8pyZzd051
0XDTtvnwMjZkXHxxulyKBXOgASCppAiLlzEUcS5um+/j41xQV8p0TpiFj7d+hU7i+MGaHzt0TsuV
4BQWacHtJ4L5CRsUaEVoNIPbFjgQRWk+gQS+R2nKutFmZV6E9pTZaEoqr6JSft7fPSIZ3OZB44Oi
MpUUAFk3HsaxDrQuFkSBTRFIByJu284C6Xy53JM5jRmS40jyNmB0lUAo2IvAojYdGQRb6LdGOP2E
/VhNWmdYMRbdUQHReYrCTn/vzJN2H4sOum1lPiQtf19tGVPH4HA6SSSUiNeQU6kJXoObIXOlCWcs
2lol0kf4/hzfd7Pbzl5rCVrUt7LHmNhCZhqdnArQ5DjPna2RVbGpkrCXneqkd2YcxC047JJKvoYh
gxrMNa5ZVRoAB8AsMOaJl9mvwp7MzZ368TP4a6zR06QbHJmE6iDHvkS/VQb7PkbDUTOT3C+Y8r7v
6iJ5nKuPeP06VILamXJvJddm5wA6pXyq53ckyfdFba6ijfo3eH+W8Uouwg1xn9VAhiGAbf1J0y+6
/ZxZr/sitrX5EMHFuc6UtLnqIWJQUSxRfxG8479W49eyFdweRbpw3kL1Uk5wdcB5xPwpfohqb0RG
WqDM7yYr7nYHn0R9Br0CtmPzt7s6ivTJ7lMStkbcXSUJ6vfO0M7uzOL+QDvySEwnlBPyXaXKVRFV
8bGPUDY1s9fcnL4oeYrhX6ukXmU31Mvq/DYxI9lViJb6bWscasAl1wmKS4WOxjupO+N/iTwGSkbQ
yOWPYErXMVzQ+do4nzFEc60Q+23Mswc6KtgK+YRBeLn/Icvtt84wjgwgRj6b+28VtTp3mgtwlthz
FMRgobhqU8CEsPlnK00EtQSa+amiPMz68FNKQJYszdHRtPvYi0ZkvtMarKfaUBSBjKdPgAnHxgUs
veNOaVx6NqtuZrzCXT0mqLAqxo+szSZ3zEBVwZzygfTDz0pqbuSh789kwvgEQm1+pU7DTZd2pxQT
7UGvq3EAfMhfpdT7jSk5ntErb8TQvtWYctTJ8J4YFnWL0fypylmo1/nZkq80mbauagKgxqC5eqCs
aE+skx7seTIxG9FqLobHbqSyOSTNeJqmWvOzBlANjlreoVCqAIPSSUFPMFV+WRWVq9esd6HKlay3
3UMh1yOabXErjOeGXaPy/nOQ9PvKIdd0oI+6HQ++nBs/Mw0/WQbYdMvS1O80/E47txqgiY6TB3BL
pCgcpznSbLJhzh5GnOM3xehy1C4aw5OnAtimlKpeAf4Cv2X94EtKSlwjp+3DzCZgbMWDisPbbkG+
acdBA95Iv1ea/tpK1cDR9OgkD2r+PZ/jX1aXRF6iOdnNYAE8VSdjFkgyULGTIftSZ7UZZGk6n8Dp
rfpGHD+lSZ0f5Gms76JOUwJrnO0DGabZq9qiDhSJ5KBO0BLAjqr1SSnazsul1Ax08J26DpjkQclp
P6hJrnstI9Mz0RsgU8iN5mVzEgJDZXYVp3vOFLC9ZSyVfdTF/0HbUOwBYKV76aPsq11WP5haj9dT
YzdenJHkoJHBPMwAEPfNzm6vYjwG1ah9KkgHHPXxWGT470I5mpIaZK32AO7D80SNY2c6gRxlJyJn
k0/04Ucu9ze6LrUegCzuIrlO/MLMkuD/2PuyJcltbMlfkfU76xLcMXa7H7jEnpmR+/JCy8oFBAkC
XMANXz/OkjSqqquRpue5zWQmK8uIYAQX4Bx3P+4DfDUTVvtTXJkqSvMmerYWcz86zRBPiy9TlRN3
Pymo5xivDnTBoFTt8zZb3NHZG/yW66oVV1E/m1Q2s4hN7rxY/bhsO0xtbAILRsoNxenGoFoikFGd
2bS4L3XxKJ0J/JSzkDRHPmUmcD8jHLKz4sZ477MzPMwUV5p0efc2Er/edx4nGV5fb3MXVBtcOudN
JKSTTXlwn+d5lNaWRNwGbdorybjMTNXuW9laKRFTD7s+Z79oAwOqcOEnivsr7RVfLTFG+Jb3S5SJ
wW8TC7cKxg4LCRwI+TTCYmEaSHGGu/GC4eUA4c7gKhEAEJi4cdVVaFm3qil4nOdlEjD/XBHGUjaq
W0ZuJkQxebnGCChGGIxvX7ki74DEhS/zKHDj8BC5N0HNkqgBzblArJ1Utggx/l1uR2FqOGfm4VVk
zw+z11xU9uIee1p+mHy6q7vhLuoNS1qKJxnhxg7udOvC9lSQIFTp04sgJHWDQF23MFPbNDOYUc+b
VRZ65ZzkeBCCMB7mA5vWpLKoOcqqeXZnqZN59OqYT/Z1swakqDUqZWzEs/GQC9yQ6q2ZNJyAy7it
sACvkRRqDaeo15iKAnkVRa6BBK6++u3qsF9IfV237Vd3DorMD6ouVnUbxkXrIAxptROWFb3qcnOL
BzDCJg+/4WF1HqZkIglDzk/a58tHlH9A+d9tqtWtWPrmAxnZLG2I/mr1mGwYF+qca902m2IyU9qH
845auKVbjavUFYFM+0VBB+paEfao/lJ0K6LeiFc+dCptm/zZnv0qWbi5kiifcoPVScJdb2rqr7Xr
PUwW5q4XxG6vZoK0825LrEKxgvENhisw2ZbT8dyJ/N3wfrM07MDhKkSHjt3IHF1GWE0o0mfnEKKh
Tx24eAjhTodZl88ChjEuYdfglGdalTEi3I8FrCmU8Z+C1aRgdv0Bm0qUNFxUZxs25QlKrerU5bl/
myND+rLqIr6ZvXanc/jVrinHtTAi6xB8vNTkWS9w2ioFoOCoktdh4N56VLxN/UQQNpKf4fv16cFs
yTiVm7CqVDu3aP1TT2CAp3kDe+5vabSSiHhEQG0oHHsjo/5tNOIusno769fQqrIKd5NNyp3ynfd2
zVgD2/m4LLJMylBvMI4IyfyaZRT285TMvtPGyxpeb0y5L9Y4e4pc+64RFxEz6yIQdTEPdHMcFnEv
YZMahxwr5eKznRq7+oT5Kfvg8/mIpN7HWgYHuFarGBCQTApaQKBX2dUTok4xiYbOPJXu8khKt3/q
w4HF9eTcYqC+in3Ak50bXtIqehx6MWYuWEZ3xPBi2QQpaP6t329KPjzYGOA274Vvp12nxUHNnorZ
QuAXQTKJoV7cGS10TMGWr/O+jY03Gr+IA0gHClI/EYQOYXWSSbuqC9SqM5ilLN8GSA/4qkHoIEaY
QbV3qzqhWHUKYT7fdN+UC6uGwYWYQUPUQBkuvlgDHQKRlpA90Cr4mOn4JFc9RF7JSwqBBPKrrywI
JmhOyk23aijoqqZAT3GwG9FdzjblcUm7Lg0p1u6RWHEgpptl6XgKbUEbD4VzSZFRGod17259hBdB
cDfDTYc8ia7eDiCVUZXTDKHBJ2cOsqC18os1r9hNWqfvtqVVfc5tEOxroLMJFkqWdTSsDkpBVSM7
/hThKayDHNq9mt/pSJNEkLBJC6LPEjVEModNEy8lQn46o4tY8m446Xq+ax02HQPWXNoWHFx4N03P
HQK4YxFVdx2y73aDhgW5j0uJBxx7Nca8ZWr4Uu2V4yILj7UCYzwQ1+eLbx8CnxbPcPYrQN+VZ7Rd
O4MVA47u1VMNy+xUE9Jn3QQPIcL6h2lp5gw5Fws8uxDTOtJ1wrbkDjikQW6akV2r0TyMoVEbt4bl
vuP6PPYWR11HY//otDrPOrfBY5wXMs6DDmOyssBm0/fbalbNiY7Yas1ggs1CrHBDB9xtk65oLPxA
IfWgvin7Cbd3Eeg92nNcqpAeCUwdk9qIMqZtLWJZ6iYbDLWTfq6h312cN1YhB1q1Jkxzj9OtPUd5
HDb9EPdjL7aLwN6fC8QtLK6uUitwUMX67BoClOpB2RMKpc79amAcGTNrLLAtIkiLGfe+dfSD10e3
EN0225pYx1qXJ4/V+7B17mhHM9nY0IhMEQgOxdvdME5Hz1qmuDbYYIwT3PkGcYjeICfkhgT2BhHt
ZDtF/OzyGUemly3pb9cKVvTkOCLNC5MX47GUGGaDambA6Af0nuRTWD2yYBtsRspFX+D2k7vx+d9Q
XH82z/9Do/MTtjzbYVNOyohD1+qXsF3upincIFthT9oSllwmQduYzJadIRRxNzRq99ed1p/iFxRW
dUHkwiD8Z93mQlSEMAMcHgp/GNlUf9P4rs3gz22ci4gwuCWCbUBD9yM8UhhuW72Hjy8Rm6aScApw
HmHukEwQhWEfG/7O9/rPfs93B/wZRGjztpu5hQOqSV+5u/rv3U5XvPUvfhL9CTYQKKtyN8cRyOMC
P7DKi5HYNCcV31hDZg+bv74+f3p/fP+DfsKWbdprjzU43BKGsK2FRMrLMSjW1S3b2ktQpBzR69W6
xPXrYgePgNO8FP8fd8n3X+InDFowxgmgYHFoxyvPSvo2++tf+WeYwvef/xOKFo5wlHBDfH5PxqR8
qYOXyN1/O8R/vc3/i32o869XqP/Xf+Pfb6rBfsIK/dM//3XB3zrVq0/93+vb/s/LfnzTv+5Ujf9+
fskP78AH/3bg9FW//vCPTGqul+vho1tukK0t9LdPx1dcX/n/+sdfPr59yh3ygv/5j9f3msuU92hq
3/Q/fvvT/v2f/yA2KDYvworxX98f5LdXXL7WeHOKovGXu+K1+fM3frz2+tsHfUHgKqzoI0ij4NYG
cGn6+P0v4F1B4cHSCbkILmAlqTpdrG/6AlEnMohg6kOBHRJ8j14Nv/2JoF0nFNPPkYPI2H/8/v1+
uE5/XLdf5FCfFZe6/+c/nJ/GJRGu6+DAiC108Ym4S352Lm9oxBviWmYnmmmC76A5DFGhw0zCRz+j
FGo646Lu4c7onCw1yFguTrmbxFiBqrMBMsNDG17EheljaawW8LlNk5oKZz/BCwbJUqe80+j+ouFF
l3m9twgmngp4OSejpJdO4zqxX7IqsQaXpvMgDnA89CG1Db1D4Llia8DSIWmjzhPRaDfzpXPZMLFz
x4anJXVg+hmpA3M6/jANrNsUludeO0ogb8hQuc2lt+UwmUrheqhTf+IXFNLO4+Tz4KaKxGXIZraZ
6j5ILAx4RxCd5pptadPDXJFXVF1qX6IVasuxe4SsF6CFs1h8ExF8MCBppOh2zTTumiGid1DFDgbO
16qasRlLJ9rMi5yczNNWsedFbTkpsQh2vIEvB+V276LvvS3ih+8Gx1Ibz6ofubGvWvTVWcimlw4N
c2Z3ubXvbWQMjF6Umk67LG4VOUFuD1gKXz4srG3JejzZ6BUnkh90Ox0UFinoPJ+VFukqxo0LhhFl
EuLzHH2hnR4K9uAI73geqz7/xAhwVrfLqfKhYzWmq5KR5zeU8itbdHvkLefZUI9uvIQL3HIj+QRD
ZZdnSgcNxvt9tRnRg53ZODVXCNQt72kPjAJJqTkgPjVn8zL798NQT9k4Kkx8ozESJxc66j0P0Dl1
YX4HicKbU9RDCnSJprSfq2PFfXFZKoMyshVwakQ0xWduwRtz4L0Xk8obkrxAjGQ1iwrJ0Jivgj4X
GMRI/YuuVPw6ryhicErCj/BtLfam9etzC0Owy9A2+tZSzhhPpLPTBXNyWT8T+1S4QDAlStc7Rdtx
U/ud2UoFk0VhzVU6KafdLwoxbY2zyYuLVsikKnJ+hvXocjF1nn1ZsvXublDtbvtQhBs+OxaUbIKl
Vdi96U4GW7+FyKFrgYJE5f0Sha8RhxtZibUuQb7uo1olrLmDOtuTEIHYFcJLMiuyzLmBkiuzq/A1
zymN5YAMiNrHkC4rqb81vgewpuyefOIOm7Lqo0epYIoR82hEHeypfqZpMyt+xxzhJgBk/KQRJELj
OKOpqEBiPzOW278SLP/ZF9Za6y/2hddfLl+xNSTYrP5ka8B7f98aoi+4s5HDDa9D6n9LBvh9awi/
YNHHmozJt9UD4LutIfjiECTyUsdxbQdm46iRft8a/C+URC7y5aFXRi4Ndo1/Y2/wfRzkh2rMQ5Iq
YoEcfKa/Hm2tLL7j33I0Ch0EeO6eR7etPR41PXjUIJMxT8eQLTGyPBJLVseck7Oq7Q+njjaON91O
6HIh6iFx2yArDCDYKYDcfZhAFuIoSdA4Z4aEK3dUe2gkhoQMKm1CfZyb4XKGdw8yVehlD1gcbalr
JfMcvhNu5C708i6VU1emZKmusJ0kjTNeMeDLyHX+WvftaWoh6ByGgxvSTeRXMq6aaePKMBZCgNSF
BS+cdFpO3uHFeR7CNbxXPPSNORSuf+mx5a3RqP9MGL627YhgO29Tz3Y6KC9mCDUY8yZmfb73rHVe
wU2ddkqsBnM0JSwmJoRYiyWxZXhH1Y0Iov0oHpiG9NgvN5bwkjrwEsnUdlRu3LdjFY9DgfFMIzHO
UZ9gBJeMkGCRkh8DRGaFCMHq4DHi1PCtbNwBXNClhRhwWMzv2w7NUn2XY1ovdXC6EJqYcBdodGCZ
D1rxD3xRoP1R4rb9NWoTrInWibSZVCydzLVDus0UfpbANGCFnmn0tSCmD0HfnAFL4WNVJsttBSQW
o2wUez8bxWmo9LZu6WsQ2VvYBFv3YwGapG36zNJY8+wllKdRLX5c+qFOCx+oTFnWz+EI1B2CymQo
wi3HUtOOSx2P7KngQ+oNbCMAmlRFtDHTlPWV9YIcpzH2iuZjIM0pJ8uVNYotrOJvRceeKjVmui1v
AsQf+C151yR8A4p3GfpqN1VlG4cEAO9ooavkBYuDtRei+UVjFLrZW7iXPkHr85CbqY9bEaVQP1pQ
EkRvyOJ8pNgPdEg++867n/n4UWvMnM9ov/siA1v13Hn4MG/c6Lq+BpjJ8PBjPqSJ9KlTKulIMMVB
JzPuApUNMekRWcQHp0uObgcMx5u/imb+BNWV4dwcOaLrcRPkCUC6Bzp8MMb2PqexIU5i+HRqOysr
sVE0PmbSvXYzd+w+LINEzLB2HEmVBcQ6zV6+gV/+tcjtTYd6ZKJFApuNJLRm8P4sx/PSXhKCoXkz
5Wckmn0Mtf0WdHlaVgX67iCbCx3Xun5EVXXV+kgBrUsrcxeCDDZ2z2fzPiN6uhwLtdX5uJ1oeel1
QTbo8S6IIJXp5Z1omwv8IEB4GSWbGfnUrpOU09kl6LF7MAJLeZwd7x19VhrYYyZMn4gJbm3Q2Aru
X08sv4OT9Q5g00URzQ/FKHYLZDJbF2YUKeLhC5Qtjp1FzZRfwf5X7hypY7BZyPWiCbO3Cy2QTI47
kYsXBD7dGgzEKGfpkzmfL1rLuofgG8o1cp5XkWNFMBztbp2quZQcw0Y1YPKm2gwM8wDK/+iCHM8m
JUfQiaeI5bcKAofArTZwd0Wq74jzU1wgrS5GYukNtv3E8si+5MsrxkKuHE5vbTpufRFd6NbaCRBd
KoTG3MPQg1guyrA6RRXIzdm7EYpvO7e4cpZVHz5CMDM8uPZTA9uQqrouo6+OvJWFe6zD4CUH6IOh
X8jh6EPoAREXsEYGnXrWZblzcoJPZG0a6e5yiCpg+8NtVLBzX6Es6/ynkfnvXhHFwD5xeZeQ7fuo
wC3XHoreupkCDz6eY/NE7OVog+Bl9nwoOURcnk1SyvVF0A+3Xt4+NHDzA17XJzmbHhZp9gFpY3/5
hjQssT2PuN2mcT9qinLV3gnc6EIZyAymKySdQyE+0dgV0D10AL0KS21r5u4do1d/jimPFeqZdFHz
sQi8lLfVEc1qn3BRoASNrKSiy3kM9TmcOThV0EaxLKYPz4QHXmkMD89HRPPhFNV9hhRXwI8925F8
OoeemxlnTqJy3Drcvmn1cGit6rbJ2X0Eeg0mSLfjMsRWswAume4sor7K4nE03cXs1xunxxPeAEfl
DLE2C1AetBXzk8Oqm3awb+oQfp2BfA787iZfWgDTctlXVO7HOdjRyNraDPS0mXYcmY6z7aVqkWfi
l4c6Wp4k0XcNeDnXlF088arAclTvWAgr5bEjLyHGiREOj/V+SFEnXIL0wdLUb5GCkFbc3SFg6+sQ
QnqnTWYmEGE2NMKgLi3cx3FpB4lr2JWSyxiriQFRDG4sXzRxQYp4lOVjGwC5jloEULZYtqmOdSmO
5Qj8snb7mBrrs/frpCbInBmxoOmp3PimT7EjXc4kv2xKcmNCO0NWMEh9VwZXYedly+BuBguxlaOv
y6yU9nIITHPngMrR4GCUIxPR1uCvggvqLRurC/D4+XQ7O/2Js+nVL9cGpY6x+hzxaOJ04av0Jqu0
laAE3yBQ7Gu7WK+dIAce5DnW6+i5y58Ytze6RISBR5BWDYVYv/gNdtIqbQKhUL2gyi7R3FrDI+QI
p0oweOj75VUwgFryKgNeXV/lgd4NnJwGRcJXNUFqRqt48kLkL5Bfld7/KYtXhPP/XhbHXBaAS4ZX
+T+L4vWdfxTFkJbZsCeFAx4UKiiX/yiKAZZ4+APxIs8NUY/+jpeQL4jc8SAVw6w2hXUe3vR7UWx/
wYupi/raJ9SHp+q/UxT/qAQCXOL6kBoBzYHGjrj+/xD2dgVjlIl6D8dOjj6KHkfXvaz0CEMJbt0U
WMaS787Rb5DN9xDNT1ri9ZBQbbqe55PVnBYSpx+rcM+LVAfCku2jMYyjwQPufh4LjH3aO8s+cHsf
OW8VcAZTW3ErUTwX73/9DRBd9EMjsH4FnHO6okOeg8LT/klihSQZVrp5SHftNIPU9BaNAM8ecywg
vvNXpOn64MkWfe9RhiRZUKDgNfRUZQrKcpAweStQ/3nBc0OFmw7IxMg0bcpXZfQ+nPrqSKGZyMKm
rb6y3ivLeBybzwDqvNTyvWYTqHBKIkRnp0MhmtNUO+4q3ygTJWWrwWQ7YGyqvCzCBHawy11J7PGe
NWMD8x5z9Nzqrpzy24qFt/1UCIzideqIOuYgRvsZHgX9BsQQBpqbAiyngi7cUfZ7z2r1DkdjD8i6
yWO7lv3JjhzrY8oxkQuAcTe7Tqp6kChBp9DSoL9YbNRImLC/IiawsNVYLXZpGSR1NSDkzZ0fAA1F
sZ8rECl4/Vfp9eLS6o2fwtyG7Jq+7nFHwWHWkXW3d4fqxrJxowXWjszBdA3fYZ1o3qHraXwEWjkG
C1dTwz/I1amICHJi7KJoP9pcTs/wUhquAkpgLWTzpGL1uI1s4exa5Or6c7sdZVtB5mWWg/aCIZMV
e2JmuVRApEaQe4mZYN7g9GaBTQd9GFUNzcWwTnoHU+tBuYBOqAv691Yutw6pPiHYADda48s4AOW2
XjihjoSaDBolt77isntfcg6YEEqEw7gEIoH8qY6rUrJtUVg8AV2M8OCRPM5meCmK8GqsQwJ4CH5d
M0ypUpHDapVEDBrz3P20enDcgxQmmwdjw/xB5gDxfEzX5cZLadOd82m6bYuV17RlnYCzUDHG1j4C
bxkeTM6n1NO5g8LBwlDjQKM3naNQqFQ3nBHNF3aJQo+bGE3YufVysmNjtePwWccN92xUCwrNIUAI
qfFMbJGF9YmHdgkUIbcRVOwF9xCJoeQixePgtpeDsR5by9xAKYJdadLRyYa3XybnGfz72LUoE+yn
CsBo7E/BUVQSc+nMeR2rDoP1gygQu10+jWFYwEq+6pKu4sWhMKreeQHYucFx3oKahIkuEc9hSAvj
YIWz5ZUhSbUPtrOlUREjO+CtBpgZdwwKitGB1zC11EteU5bC4OMIMifDz2GYeFfPjLb3rPIVCpo8
jKeG7QXzbokqwE1O5Ovi9iqmqhwT5pdLtmp3Zj9U99AB0JTwEGO/RTOa2KdoVkoEJvW4xAWjl7Xv
9WnhGn6QGImguZ22kapiV3Ue8EL7UoPdP1KdD1kZjLtAWkWiyhKilh5MMfILMTrMZekcBRqAuCps
ed84NhqKmZAUPe9wbEzeZTVg0q+eV6kMGdV8W3LrcnJAj/tYt2I2+8/IuvUTYrE7gHYyHUsPLyBI
PW7M0u4st/RTVQDeqI37MXr2NSdCp3AiaLLWVZuA2S4Ud+bYhEiuifriIuJc4nZcqg1I7X432MV7
ESzqavaA8Vb9CNy003hcEJ9XKALrQ49tNdCAVBTlc1PPxaadKztjoCRi0PBTwmgBzR/iQ3kjcgQK
W7vBr+0XEpm+Ak2JlS32MR5Ge8CdRAd2zNnwVEgonLiaryDO2mCWAN8/kl4aLP2nbmyYF3DkFYom
Um8dncQGyVnFc7B44sOZBu8BA6QDesaQJtVgsY07hReVFKDfuBE4elii0YJapQJ2ClRTP/VIf4mF
QZaRrryvdY37krXLrWxwFkD2QhZKuz2IetiXzhBW2V9Z6H6wCHl4y3IPSSpwZjG+DqF/q4x6ciyz
wVTJxmv9DfUh2Kvyt8XpHv0wf++Mixp2gUuJJ+td7gU1TiWSyeW0UNyaVhDDiQSx6IOu00GSKCYO
fCqEE+xCy1NJFM0fS64vqGZXsgakEeq+TJWnd14XfpOFgKjvDwWD3GdZ9Esv+Z2U0w7A89scSZyU
wLqWA3/2+9nJINlBT+sUNwCTy8Syxb0lsBuFpr/G9b+fG4aCMprbGP7uL10QQFE+j13CK9NCi8FP
bDBId2/4VrcoxCHCTZsePbgF7V/smXlD6HhCbwZAWJG9lOK6cDwIwk1TQNMhpyRv6ncbgcZxNKHn
tfzZim2/P8NU8aV1pyGe0f7hY8ujxPqaLCW77GdRo/qesLgg1QDT1Z8VxLjRXI0rH4AtFCCVg041
DGSLO94u0lZD3be0xCCz3pG7uYEAFobEEBUOaOgHcBEpCZH3Hm1lNWK5o0gNX6SVqQAp8Mzod8cC
CYAlvQm+Nk4PIww8si89glKy0h3ovpy8YzBBfTIG/kFUQQzhnoWrO2u161Zd4zCYpO66OvEmZP6E
GmnhVqP6Ta/cg0AGRTSWOLy2Uomx8STvlRPLSn8FkrRtC/cFuyoQ9pCdZ8L2WDXfigjrVuNOWAF8
kSLt7xVE2K4eliXBMNODZzVbZgOEX1PCirKEuq1vjpX2q6yW8s4ELR58q7w0tMOjrOwdMnAwAora
AFDBndNys4WmFZJwLFlRkP+d+7yz8r9/cOLfii+EPMGCBoDwGsz1U/3HsbPx3J7LfQ7lYdzyAL6M
+eglApPdToMQhKLsLnNjf8LW+Tm0C0SqDVdGXNnDk1YTrE7D81RX1z1qjNi4M90Yjr7SEXxfm/qz
kpo9CEvWv0L/PzDCf1O2YioXM3Ae3HYRu+b8RDsTxXNAZ/jaYfuEi7V3GNbtptkhsiRZ6vp2ggdr
PzlPaCkv/AEQRw2AIJp/Fbv/p9VaaeS/aLU+5C933cef9Fl42+99VvAFKUIe+hlwBRR0wh99VvDF
Ri/tI1/lZ/LB/uKuGQWoYeBEhvnTP8gH+iXEfEkEEjkgHgVr4P47fRbIip9veweaGTRtHr5F5EY2
OrrvyQfEOhU5zLacnfC1/+JawWInTJZkW86TQIuPASdUfp21xUZgMkU6c8NGbzjm3QiQTaDIRzqZ
zba945AT8kJ2DRR5F14PlZHdoa6kzK22okdmTRh1rZ/qoCqudR/ViTZRkxUeR2E2gK5YuE/PJS/1
rjDVR+5aXopVuUxgtVimUYBNQTRVg7w6Mb+wpgDw5KvuIiCmyHrLhau2hYgcldoq0oem0xdzKMVT
xVjzHDSwGcgRWgHItkBTJC2ldrnGvy0qBpEZKs4OU/XRtvGMx9LR5JoW2jr1iBoCTBSp8anuZwzM
gmBlMJO/dDHFv58NQ07b0qkpMUFOUy8AC0kKvUUSkUBWPR/gKwCa1YTsmnQN9hE6A2RieIpjy5vZ
NZqQ8DMc2QvwcAuha9OhnYgdC8XCnU0HN5Vm3YAjUAozBfI5WaMNYVregCehQ4AikzkTJkL8zsJr
RZ7DehsOIn1sOZ5/CyPMCKMCE8GGU8DZ041rJAh0sVuoBhrjQvscDdHUZBFEmX3chxP9/PYs/GdR
WNUbf7EovL79cgkM5k9WBbzvj1UB07QQlPl26CKF97tVAeziOjyNuSEX67mLBf039MUhXxyIMTDs
jOcUgM0qZPkNfXEgZEGbuQ4afRO/IM7m36AkAfX8tCoE0Mq4IDYxZvxN9Lb+/TtKUsxwlAgGVh9s
kJDaOZPcOTe6yJyh2XQWhLWsSwSDYiQcznX3wYR7ivIZEU7ufaStlZj6dPplN3jeOediR0SZglw6
wt5pNaW/yZlCuw4pJ+pZPpmDscpMkuGkpB9XLYwPB2fvQqUKhVRsqq8eZnMgLbwq3A5od7eXo13H
ooWKdQ4OsNdIbDLca+vNo2gpKxCGGF2w0EvWA79gDsr4XBWJE6E7aKBRMQU86v18gYLWsm98i5x4
R67Q0N1BO3GqcnFX2N1XO4Dnii9mK2WQ8Y4GRCK8yPpsDvIrAVknphWmHRq0dodpstcxR5FHa7yI
Y342Rp/72LpwFptr79aNgNCU7Qv8SlBGtYBcbIkMTtJhkmo69AWHhhyDKOhKYVlrRX7MAMmjVDuG
4PDQb+GcOH3wOPlzEdOuumdtibNU9+8o6WPo51PB0OmHHoZmmhkjTjkQk9ym8FF09jqk74Fqt7A5
qGB8NkGdYnQ6Os7dwBUEDFDXjPTShqlHj6ly1LgLyE1gylGtM51XmV92+HYgJdDYTjzxZPkqu7HB
tBjdawD/EQMvgtwGCnxXola1jgEqo15PGWnNqu0Lt5EHhhTeKvuwsy84WInRo0CwXJSd/X0XYrkf
wTAtaDwrSLlVw8s4kuyp5Wj3x0G8So2hG4QaoTnpr+Y+f48GZ4N81Q2K4QtliVcg07U3PgDqSEf8
ANga8Ctsatveb8oMwwSPUQdAYKido8H/Jc8lMOuVHcnb9gDpN6zowvls2vaMi3zocaJ4HalsITSt
ynwrqdLQfePOEmy79BA7oQIFS+VeRHm3mx1xUdV1Yln9rphNUgxwJg2mMAuccAO7vg00h3vLsvcj
AT7UwVOnCq195EGprgYKV58uSKpFnxAotwfgepxz6sejC0addTcderSSg1gOHTfjEk2xglcohFol
ZCwdlEJ6mJKx2gtJkimakmF4LluwOMiMnFh7hHoMLBhQFeQ2d+MG6XbJAJzMG+kVguwSd8DcjQbt
3vK7aOF3U2FdMTTC5WCysoeoqHiCHPYEXjCzwvECJoW7bonu7KlNgtJKlQXMvsjTsFUfLporaqon
UFwwvhu37rzGKkEnoIGWoSWB7Yl/H+goQ4h0HPUE7ZjeDkOLH4L2jIJmQ4dTd9c5Aq5RevfH0aKw
Ppz3oVc9OF1xj9mPG9zTWwck1cxDIFwFGDxkGZb/m70rWWodWaK/4h+QQ0Np2nREe8AGfIEGN3Hp
jUINvposyRot+evfSdkCyxbDbWnB4rFggU1WKVWVlcM5WZgEAFS2Gl6AsoVM4c+t8JynpqUaV6KF
MrW/Q8UsAYrHxQUVooIKh+Ldb9RLUce1X3b60zOA0irYOA/Xv0JJH++CArGtguqmG891CxcbWT9i
u7i3XCwmHSUvrE8AsOwNWAGFh7Ufv+hhMk3BTNKtBz8DXGqFlKED9kR8oWnOfcq0fzzQKlBV5WfG
Jr9FIIVaKiidYcEVIxu8JEN2pAkXa+gPWOCAtvKFEmhPHnPugyiKJznsRllMM+EJhBfUOOU7XrLm
vLqeWApAu8GLGr9oO3UBZ+YigCMSoZcdLtHm0T9W/qny2qTE6zGKaMIZ86zcwQ/wV2unBGrJ+bvI
0pnKMvDU+F+pno+RU1iogfQoh8K99+CVYJ5s/gZqlirhy63ujAW/BJUPkEMZt8dzM58hwapGI0vF
I1ulNVUYEqfG+nLHgJjgeO+Ky3HDH3LmKVAXaoRaLnoqMpHNwpybgv4IpFu4XoKLshtlGTrYMV6f
bwN0dU79RawpdwWwurIL+y9wsEaXGRGxsmCiJjxQHhzu7La319HWGmW595J6wb+OalHqE+zvcIx9
jbeCVMBWccYok4+9JB1peb5GYM6emIE4zzVuE+SsUi9Eky1lJvnsxQdRQjASYMnSO0mfIScKa63C
7LyglAxAQ7TghHSE9M3VNkWrUD564MX8eh2jZxvMwwjppVlRoAybCPyVZEi4hqVML7QEFxfk4m1u
bacG3C00yh7l3mKLMluABpOeql2k2nqBbM0c1/+q01C/ivzdvVpYUw5f/b9jRsgumf+wMPZnMJg5
AIydOWbV/9WOmTyEUyYCEowSFEDBcL/qshgbqgiRECcJGl1DAZetLouR9yXyii4LCNUkBFOvjhkQ
xoB1oV+cyKOUho7xv+WYCSdYMWQpEEIyRGmIHNBMSuIBWD52zFgpl0Li42qXPNXsS2ETs3sXvcpH
RR6pAMQ4KXr358UG7JeYc0agL88BAubuQOKOJ6HnusBioCKO2r6TsglX2CwYxxzwmcjkuPkcccwj
Z9lPmgKQSYQOGklMEQMYgWisoxgjJiODhN5T2QXy6z8RwOKexhy8LpE4T+5OBnNHsw2gRlUT1Sdn
aulAVGZy8WTsXGQRbdC1PaAvJQUsPZ0AmWVumBoQmhGQmjqPa2kTAm+6QHFyBOdE/gqGgyCeRG2a
eRXus4gBAcVqKH+sCRYaAx/qs4XkChc7oEaRYI0uZSPBhbAEKQ0IXLohmGkMn2bpEPQ0LQBC3REc
FU4YP7GAbhtpBFaNCbbKE4B1TVBWlUCthr/2LoNs5/y1BeJVJ+hrQSBYCkvB4iNorEgg2ZzgspkB
6NUaiN5frr3BdwhWC/jN+saooLYEuhU3MRBZwOEmmgS2dCQ/MILoMgLrbivcbk4Q3pLAvLsyK6Zy
oRoTnluDG22r7JGtFd8DpWcrwJLZeNEuF60CN3sAHiOdKHJwA+yvd6X5sjiVJZbAkZDDmSvJ3NiJ
ffEml8HxhuVDz3Dmwk+Q7IXGe5e7ALx43GxdTjYuk251lkjhpEyicCZufFPiXhJp+wAOBc7ELPGn
Rp5G/4JpFq+8HaG5Nij5rEpVSf+JRA69P714Z+9wh6cUuDgEcWyA5K+ig27qXILAqK5wyGoLIKZd
JHWTdCFuN5QY3Aj8LfzMHXu0NDDx1VRUbouNb0xzCRzYQChXxH7jClwGNdX8nO27m/5WvNpOnGgw
LWarkHgJSY/sisMUW+kVewLIgXxREQyWAAaeEDS+9KU6IqRhzgU1+BrPoBikxP6wnLABI0A5/iT2
rSRVXJGPJKxNzDh7AZtDkIZIsxIbg9//QCBaPlr1x7w2FGVcs4xU7PGp1j7pc3rK+YN95TuNqX9G
VkEw3Ij+39HAiZgjDeAJUePXeBUJPPpBHN/QgDzEIQNNi/gAIx2tjv/2dH1rQNnPa5+kfn0x52vg
XQ2I4hC5DQBPABBu1QAbCnh6UO6QjvyWGjglLP3uGkDCRgQaXUYHw70G8KCNNQD4OdYHD9D6/vPv
qQcGT6fTXkBOi/pwI6V12AunemBDGSglGAPc64Ofb2oTZDiD3fTAD2V0VoL7CFjQ4UFP1oOko70V
T6WAb7kjgBLrpAFBH+JieEWUVKVdAwz8PnTjRJLze2qAWkF20gBsAupEKpq98e02QR5K4KMweIdf
18AXDo9X52FsO+uXyrdwVskR/fPTL9SexbmAw8FKVE9yHRpfJGroXvQbVfSPxplRHX1HH9ZHYTXO
4d8PD3g+dGOs+qnqP86dVWzGz3ZZfVAeprnnm1Ly/hxAyanIyEP7MMt1ANnKbX1dAh8NMXFQORzh
Vy2KFPQ2AvbS21OfsWe/NMLczM6j3XoEBJHdR3gkNd3Z1KJ4P9njZ0BsWv/5v2tpHg7wWgc/aKBT
ktfro6jYDF2VtTAdjGRmtaTGk9BF9F0HGJsoFNthLagpH2doV/lzosL5tZymeBxNXcVPTG9wAx+9
ltQcAHav6wAVZnlyUjR7fcWoZnUe4S/goa2zutzbED0s15E5uHdM7jEjuvo7i4kSOl2VRW9jYXq1
oMbLoOvSu8qfm0Ho1GKa0nvR0vPguolNf30L5EZ1nf2STOtZng8ES2TtetjJT2S4zYZ69j0MyBXu
OvfKpC5ONtpBPCKOruKXWYnZVzuhFkav9zBAD8pZxuaAnqFFeg/rnjgNsKL0fudZC+iGWAKdVWSb
OGzmoVmLelMQ+Xc9iHcGNxa9h1rY0QBw7XsZgKxpLepIfB+byyzPbOh++dAdRF0n/xAGMGy1nKOZ
97C1HsJnQLXasv9M7sHd2h8vy7jFMMg97NzD6WW1GZ4+jpSD/KYLcXixPeyqvfj2ZUm39nRdOPBC
BzDMtaC3lUOs/T6En/hue80oPWyoKtZ4RzE9rPoby14N/mxTTA9rHh7n4NRnO2imhyVPx2D71Hs4
qBYmQou2zUSpza4LZkGeJmxZLeloOfawlxak9VYXgVBcXed+DRMMnFMt6G3qVO7sLJyO7jPXbL9k
1B7Oj+v3D28qyXad/pwc+1YzQxTJztJDExmBtoNb7WE3zRHh3tm0pU4D6YP6e1j3NAaadDTDxIP4
HhY+Ytxlq37oIujO2jffW5iEAOgqHWsejk2Lb0AXR3QV/ll7tPfbsH0pkVSJv2mdfA+GePJ5D5+O
8x/D1I9a/T5qrNhV+WNz8KMZ6u8XvN6DuSRrcJ6HPMjvwVxW8uE6hc+1Ht7Mvd7Dqq/kv2MQ9B4W
/ginyfvsi47LZvQxirsH6QtnlbUovgdLSXNvP2YrznnXNf8JjupD1bRl618r3Oc5/Lpy3fZvzQIF
feN5vTLjP/4HAAD//w==</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1H3Lct04tuWvODxuOgmABIiKqopo8pwjiZL8kOXnhCHLMl/gAw+SIH/gDnrSn3B72B096+Ed1v2R
+ye9j53plJB+dKGrI7ocjsiwjri5z95Y+4UF5J9v7Z9uxd2NemQ70es/3dq/PK6MGf/0yy/6trrr
bvSTrr5Vgx4+mSe3Q/fL8OlTfXv3y0d1s9R9+QsOUfTLbXWjzJ19/Nc/g7TybrgYbm9MPfQvpju1
Xt3pSRj9g8+++dGjm49d3e9qbVR9a9BfHl9XN3316PRv/+vm8aO73tRmvV7Hu788fvB7jx/94kr7
w5sfCVDOTB/hWRw+CaOYEUpC/uXP40di6MtfP0Zh/IQgjqOIJL+99OlNBw/+qszwQ10+a3Lz8aO6
0xq+zuf/Pnj0geoPPrkdpt4cbVeCGf/y+HV9Z/qb7vGjWg/Zl4+y4fgFXj/9/I1/eWj3v/7Z+QHY
wPnJPde4BvvZR3/wzLu//Y/+Ufq3/1b/ZqN/gGPQE8ZozEMSfdsx0ZOY8hATRMLjH/Tbq7+4590d
KHTzQ32+7ZyvDzqu+frzfyrHXPztX4dH2Y/t8HcCBj8hNA5xQtgXvwAuHgAmeoIQThhN+EOPXNz8
VJNve+Trg45Hvv78n8ojT8vqP/7tXx795/436/zfQwXxJ5hQigmjn6FwxILjEh7FlKHQiWGgy91P
NPm2S74+6Ljk68//qVxy+rd/fXT97/+9r/6BLkme4IQnSch+jV4uSuInjDAcA1J+e+mXuHV68+i6
/rEm33bJ1wcdl3z9+T+VS64rSCaQUf7nj03xd4au8EkcRgmKUPxtnNAnhOOEhpGTTCDXgzJebrn3
qOOYe5/8U7kG1umjf/+v//Fv/+Uf7BpMwzgmJP52tqdPMGApjMPktyrtSwX4BTVHnXZe/vn9Scc9
v3/w/7V3vqfc/fr4we/8nfUxIk8iTAiP8BfI/CG3QKCLIfdAHfYwkH0tWL+vybcD2dcHH6j9/7wC
/n51/LV92N2Ym/3nvuNegfzjTz9/ReiHnEd/1L58sdfZx788huaDx1EMGeJrS3OU8+vDX1b+i+mm
Lx89LX8v8R4+eXejzVESf4IiyEghJyFiMQOZy92XT8CBhCLMoXhgEUZQtfWDMhU8FD+JCEGIM0YS
GrGIPn6kh+nzR1B8E/QZqgl8gDD62vk9H8RaDv1Xs/z670f91D0f6t7oo+DHj8Yvv3ZUliUsjNjx
/TGOoQsLQ9BhvL25gu7y+Nv/iUs6NAgl8VlSVW2qMJsP68Rfrlq/GHDyZhjX03BJgjO6xTvWBihj
pu8OS1TJrFplu6uCRJ4q24/pPVN+QzGwiqsXT0hC4pBgHkXsqPc9vdQgucWlis5i+lG0H7o+x9uS
BuoyIp/E2mU/fhuUZN94H49jxEhEOJQPjh3moS65DOh2tpB5Sy3mT6M4LHclWl8RzT5a1i27set4
NumozDTfdIYIey4XVZ/UNmkzVdgTi1GRraj+INRMszrqxt24LXpnNvZCiGeVZB/MVg4p25KLAY+X
tCDPKoK61NRrm1VzmE2KnVjJZNrM9hCZONgZFV8ubOmzTZk3Yhj0yYj5KzWas2BSpwMSZ+saDvuo
Vu8XTV6XKy93hehEhpK+vmhn0mVUskwUxbu2WQ6smtShq2RwoldxNRJ+Fy70EpHq3FZDc0hkc06O
zp0qtO7GvqvS0nbjQQT1uZLdXROwjM+SpkXVfLCTvQmnwGYjDs46KnNTtN2plOp9wyK1b7fl6ZgE
6KKcl09RX9fpVsok0+1g0m01YzpG4kTG8hqP/b6OEE07KtbLQI47Fk6fGoluE9QEWWHtluqKvphw
fKdpNe+apXwPUfOiG1S4p6o6b9vlvBzHs6WgJ0FflllSTAfMaLOzrUxSGXd9qlkwZjGSZTZodDba
7WmXzFU6DupAWj7vsClw2st+25nWbhlLYnOlRinOaETPWor20Szmg6yDq6Rfc9HC2qzX2Z5sUWfT
AKstJcPwqRpDnfZRnHFRrKczUfkGNgktaNGsRdCcLDFqcRpyu75VY0VTEnWiS/kUzMlZh4M+2gk+
xLdMJQsI2Wa1r7pyPmuRSjI1N3xXsfgla7Yxpa3ZrnE5xzsKy2C3ttvtUC0sY3h6z2X0vJejSScm
Lizne8OHLpPYVlkQhFva6HneTVXUZW08Xtd1dzGKbkyTUu+jbdpSvnRXYyQPsUFDalf9sk/Ekkph
bqq+r57NYmImM7SesjJqq7NlopdlXNZpGZYnNUfn8UjzLuBqJyeN02KhTRZa3e5E3J5aRc8rHSw7
0tgwC00bnuJYNG8truUJnro2rWp0YqfgMAdnwaLf9wE69KHImmKTaUvrvWX8FQeFUwEIyjpcrym2
UuwjXR7GcM5XGX9CiB14G+wnhEga1vptzGmqS3yCR6ZSYfp4z2Qf7gsJnotCccBT87SuxVux8m5f
lBI9XytM67QeEdtFsmp2oRR416Cm2c3BlrOBjxmpwiGLR/nayPXVIKdTHssrCCGvzMzKLDDV9VZt
H22z5XgiWRKI7byQBd0NsnkrJq5SxZaTCU91Jjgzad+T6G1A5U0xdxo8RZ4y1cfpiobqgPFI0rIJ
X9fDylLFcZzJZX3K+NTlZZOIdOXTeTSqfLUFurCdfTrUA08TvL1lzSAynMxLGjGDUmzwTdIHaxqG
7Xw6y0ilQzKJXbGW6gApAuVGRqfLWHaXk6rfTLxYMzWiLVvYhKtUFluQyjKqTkoa2X0Zqw/ClGQX
LOYNVeuS6ZmKLMRxlZHOPBOd7lNSly+WtixPUNgEp1WgX8EYtN0NgXgtwvW6C/sTFQ7BLhqmS83V
mC4yNCdl0R9Cay8NKbLRdrmQ8yU19SsSdFlITkt6KjZ2EU34rFDqWb2qHFLnueqDEytkn2INSyDs
ZT70S5K2srvEZsGnla7R9ZZU3Rkfm/4QCf66rOc2XUk3pAtFt6oMwkNZ0Jc9Gk+qsYGgWn6cKFl3
dBKvZrm9RNFwVUymzkY+kkx2Sc6i4Q1J0LsqqM4kZe91r6d0G+n1uoH/SoVO4yao0rorl6xZBd9F
7fpSDvV+VvOnhQbnBaKHRaDLluF8iaMmDS3eskoPeqe7JcnWyJBdtBanCeTstIRQmQ7FfNMtI0qT
oTg1UTVnRbmUqZr4BV3iM1Nbc1kG+tK2fbVDfIJlMuGdNFWyD6a12IfFYvZmjt7Yxd6Og91rw1iO
4iXtOhtkix4/6igIbxbET5etTOeyv6AdYL5K1mV37L5PmrCL03Kdyh1u2hPdErvfVEvSaMSnOon0
KV2H02DQbUaa7Xysp2bXVxinFAcHG5ln1QpOF6ImKe/qp1OP+0OH8AtdRBcxpJarQfG8XHsNAbYf
Tqt1jtKwrXJiyl2vKpVKROFlw4LTYWo+NLw9b0z42q61yURX3ELmKy+jkt7OUdTtE17IlC1CZUvX
oZOer5fN2ncvAlKPO84KkU4RmXay0C+TZrnbiuTpJPr9j0sN9odCI4ZeKsIwP8UMBvjkYWHTJtXS
mTAA94TyadBVLwUfD6HCQ1Zs4eWG44vP7/u1Zv61kvpS8t1CNabqsvp13v/1n3+9/G0T4fMg+vef
H3cMfv/X9dDBX/dXji/6+jvwnl9ffKyGH/zjD9X5d+rvLzsS3/nwQXH+oAn5rcM5Vq0wu7ln8z/U
5V+7mN/L+c9P/F6PR5SjOCIx4yhEUAn+Vo9jqNQjCsUhFOsIyuKv9TgmTwhU8Aj+4iiG1IG/1uPJ
E6jBYa1HmDFoGVCI/556PHqwOgKMjrV+kpBjeXqv3KWErMMmBpsXPd2t7CZYyek9G3yjoP6eZKeQ
tjVFSoxiySuz3JK2vQ1k+d5P9PGV95QeGxsUQ9Db3DRsS2uJrlrSzT8rzb9jEQcnnFMurGiWnMVV
t7ND90y0BTn4aQ7uvK85H4M2WXC15DGbLjgSbbYJPv+khfmexWGx3heeUC0GNYHmyUALqC2Dfj9w
3u/8VA8fSre9IaHEes6HVbC0SbhIwxUzP92x0waVddWYBJyYy1LOezqq4py3EOy9dD8OYO9bZi3W
mhYbnfI2GfMkEfuKs5949GHf+BVA+Bh2763Fpa1nW7TrnAs8hPh07mutTzZISvLGzNtmM0h4uEmD
Yg7Ooz7Cns7GDnBtsjW2X+2U9/VyV8X9Dg36o5+1HORi3I1Cd2TKLRp58SLeenFW461cnvnJP67f
eybjRhWsMSOoboJLjehe2/naT7QDXjShqWeITblkbIW+blb982gzs6fmDnx1EIdsknLKp3JsrkKR
RKcrjF48MeDgtxSRqcJgAOWl4qnuabkTxfbCzzIOfMdxKym0wVOuOOFytxZo/MAJam9+LP647H4f
63yFwXGkdN+nFVs4HcPC5LiE7iENxFLkE+m6K7nxVe+KuA7Pfvym4yr51pscLCfTrJqOV1NOjpU6
N4M8QVM1+PkAOXDGq1EY1qfJrYpxOmMyp2Jad36qO5ilokBiLSKT07mun3ddJy9VHJ37CXdQO7ZT
Ete4n/KO8csCmpq8bUv7hUnwhUjwf57MkQPZJBbhRKfQ5EFn+VUjquk6CDq/SsGtTG24EaZjDWZp
quYcxkfhoVub1tOjDmbrxGy0XIjJ+7Go6xPZ1PUzW7PNMy8iB7XLmhSLDsE0vVZ4PzVsTo2cbv2c
6qBWBJy1U9iZfCSUvwsCtL4dN4R/kru+AyV3Bmv43MD8Dxb7WE1TtnC1ZHUvn/9Y9Yd9x9eIcNyH
vh8RsJDruJRM542Kl09SxPi8Hzf2PFglbrJuKtb2wHsS+1kqdIC70FFC3wdJJZzLs8pWn+zWcL8l
FDq4VTUue7MAbkWynMMU9zrC48sfW+l7LnBQu0xLo8YxMTmfq4smnM/WrjzxE+1gNuS0B9klFD10
2NJuCt7FMCTxNImTaCvGh3kMAVVmCtvLDbX2BJrh8Y2f6g5mJ1QIa5pS51ydrEWZ4qHN/CQ7aI1x
Y9vQYJUHTZS2etkVNdv5iXaw2sOIH1d9oPJesGeTrV8NCfJyJZBwHmLJQlMZNOMGWptgSLuQXldW
+lWSjDtADSus1k4ZlcuAXxKhYXarxCsfm3zubO8Hgagsy2pjMB8TjTzQwu5Wab3MzbgDStNoHLWB
hTl3r98AcWkfGJ37ae2AchjHYSHHqZ6p0GVnxEmjIq9cx7gDyrga27WIkcnJiD8u7XqBg8VTaweS
GzNtMIla5aiNM5jWpOXgt7QZd/BY87DYEO1VXrLhhiNzJUXtV/XCZOTh2h7VaoOhhPGxrSK2X4ZW
nkzV1O79XOmAcsSYVtKCUUgsswh1u6nBfq78w85dghPV9S3Mfsee7SgLPnK2ffJSO3EwCcQuYQiF
MIUIeQ+zyhcN7Bb5iXYS5bAUA22TUuVgm7Qo7zgLvXICSxxEjiSJdXK0dRVs6UBuYVjg58XEAWSi
WdmXI4Qo1pcfq6mKU7LoD372cBC5LlY1ExlUjq0VqemmuwJFXtmGJQ4kk6hktRSNztmKTwxD+1bM
fikhcSBJ9YhgoihUPizh81nRt8VxQP5jkxwd9scWiyUuJGHv1I4MgpSdBhmmkxRtCfuKnbzrOhx3
u6hJlFdjwRIHn2sPm5ghilU+r/Yy1vg9EOiufvwtjg78xrdgTtLkZbuOVoPx9UjXlI9DmQZBhPwW
+5FdcT+zlXoIjTUIUjLvz2iin62z9hpvMuYgdNl41PAOColtTao06ZY21d00/sS53zOLg9KhsVtn
i0DmK1r3ZTWlpBB+MHW5Ex2PUbnVkCZGForUctjfCwb82s+dDk6h4Jw0nSBuJQns5duXUMzu/CQ7
KAVORdByBZLVcU9tjNOBXfpJdkBahnOQWFSArSmdUkPZ9SBgP+vHwo/B71vr20FpOJOwpHbReYFk
a1I2EsmvetrHw+tiitmrH7/le8vFAShX0gCdAYzT2PK0pSaTSeFnd+oAFFfApykZl3kzy91s+9MZ
6nEvramDzlZD3DI4kXmoP+pQpU3jtwqpg81wozocNtA50t2FjNrTehzrnzj0O6amDjKjqZnjfmBg
6r5i6TIXYdo2niUcdVJoHy3LoGsos9i8NadyZXq3Dg32y0b0+JXujXQnXvMi4mDvpAfKz0TSdms9
XemgM8CzXaoBLG6T5jDJYFfbwmuUyKgDTzCuCRkDeAIp48QIcoGg5fRbgA44W03oYkegJiWW7hr9
kofU0x4OINFSTqySYGq94N2YJIceqEpeSscuIBkpSViDPUi3ZoPlKUy7PUU7gAwniEgj1OD5JNqd
xRCuSuQp2oGkjHrRmhUWCIHwPWFxsc6V3wL5TN67t6zrZpF9Q4nMg63BV7BHv6aKNNhTugNJBPtb
DCcRxBLSNClS7FrznzWDxy//jeQQO4BkVldbOcHgkM2CykM0wVB4tYiMaQQkpo/ztq42s2HUab/g
FTswVVtRtVPfAZYo2i2R/lAgIzxluzgt5CqHdVF5q7ZmD/QInm6q8RyuHPf478cuOaGAqqSW+WLX
vEvkmVCRp+IOVtcGhcD7BNHDZF+EPX7Ja/qFZvF3TuThyMlDrTsFbLepRWDvTeZU9GnRBQevMBA5
WE3abmINsKtyzkrT7kLB+cFUhaV+gI0cwC6DWgprNMTGbuNpV0NLR4Ff46e8k0RrBSSYgLcyR1sT
Zbxu9Y51JPYLvpEDWYWYLEg3yjzeCpZZFgOXrfEb2LLIwWw0bdayCiA06CSPOWCV2q7ztIuDT2j2
WzxvkP+5mAzebaFS6IQDr9d6vgA/XJBTt+Ko6cCr0BplEohV40A8RTsIDQrN6NYAjNjcZrBj8dzI
2S8GRw5Ci2lsgLncSDCLPG+s2sEW795rJRIHoTrEfGkMrEQdhDtOy0MJlC8/0Q5CbYAULsNOAWFP
i6wcxTiko8D9rZ94B6ANkDHiQqxAlehqdGWr2J7qLYnv/KQ7CE1wwbuqkVDQNfiuUdXbIEk8Z9nE
wee6GYonJGTe6uKGBuqpridf2Q4860oEwxLDKhSK36FWAvt8+tnpg6OMb6Rr4qAznCc6RBQcOgRh
gffc8nHd2TFOZs8V46BTmmTpMYfA1dYcp2juTmbdeC4XB551QAQQhQFDVC9Pt644iyT12tRmxIHn
QKQoK1RCiRTgNypO8mn+WV9xhOE3TO4yjirS0qAYFXT9YtXxCySNhGMIJID10k1oNqmstvh1MxvW
7JN4NNGuIlrPfl/MZSQBf4SIRAwyrxf5qWX9lhEm/chUzOUkBU2jzKyPm1yG11k/orNqizwbSZd4
lPBg4VgZmXdyfd2T5DXUlm+9IgN20NsQbLt5hNEUH7bw01wvbLepIfjZwOQ7IMMOgOdNr0TLCXoQ
1mQmhNK3M0C/9tPdQXChx0K2PZhl1dXzuRjfVSHxzN3YAW8IfIuqH2GxJAk9nYr+1Waw34QKDnU9
KH4p0PqkgS2S3JJ+b6vy3CT6ys8iDnZNsNVjuwELfiJNBTsNs0jnyXPA4/KN+rkWJFDH0jfsodKw
aaeVnyeRk1z1WIqmZdCq1mH8Fs/s0IrJD/Uuu4hPvdgCtECrUUanc7x02dpXxlNvJ68KmKQDrY5B
+YjL56orLnWb+E3pkQNMEWk9zDUgZ+vmIi0mOAhQo/CD1zpxuUVQx0T9duzfOR/eCy67KUNAg1sz
P/EOMCO7xnCKDeYlxhYv6gJOkC3Ir3hE+CF4aomRQse6NEIkSpUmIoVGzdOdDjIjVNBoJpCxNVmK
NKbxXUc3z3EMcrApg9JMRIUyx6y9Koi97MfWb624pKJpM6gvGYi2qs7HAop1XV55udKlFIkETjfC
+HnMuSleY9tc4Zl4inZK3mBZyWIKAH0yNRfFpF/3yeI5vnDpQ1YLOA05AerjWX2EGHAhu96vlg4d
YGrctogrwLyx9QkNyvMuGf2mAKGTLYdaJ8wamGDSrd0z0T2dluGlnx8dSNpNm6ZB7ZiHjfloFXta
wllGP9jAqYgHCc0kNq75BmpHfM63MngKrHJP0Q4iA2MqmLcCIlE/v2BjdcV5cOpnEQePybgSvBEI
sGQKX1VReLFRPzxSlzs08Dkk29yNOZPhKxkGJi3x6Ff1UJc7ZCxemvaY0OD0ymFVIBwOuvnth9Dj
sZj7g7k4HmTXtAp6liGB85Qb4m8DtmivYpO6/CFUxHAkRkFeiKPixC78WQU7rj7epNxBZUckUM5L
OeY2KN/NSfiyD4QXA526/KE5tjPhG6QcHOs6bfrApuW8Vl6Yp9wBZjRaauYKQ30ScJFN/cTTUVOv
NU5dEhHUD4jUTTzmdOpfJoZfm8q+8zO4g8wKQlNVa2j7l5nqrEn63UpV4QV7OKL1cBnC0dMmKRdY
huM212nE2ymlndl7ae6SiFgg5qE/Dp8DW+11i3ddgvyc6XKIGjjHtAYKBnKxXtYUNhfLtA2BBeWn
uAPOpTCLaeNV5kUrdBpb/lxK7TdqoS6TCI6wxrooIRxOEwGKfNukdR36kXKoSyaiNR63cAJ/Wm0P
ZdS8UqX2Smw0cXLm3Lb9zGuoImhUjSncA/ASlbMXK4S6XKISYUrjCTqeZuFLKpZu20ehkX6L3KUT
1SKoinnQY14Dbpawuo0XuB7Cb6k46FzCohFbBbwwyHCoTse2KrudKQs4h+33AgehcGFHVFRjNOZF
IU/YOl/DWXmvbRbqkoiWrjK0O061A1nBdRkVHDgOrCR+IHJJRJWI2VZAusgrGcO5Y3LGqK9oB59A
2yCBEHDczQ6kSeVYfaznrvKLWsxpNQsbaWqYhZpCib0O5udryf2ilssh6qNGRiYCDtGscJBWoTBZ
sMZe0w7KHHxubDZBMoBRQtFcJJt6KqrGqxekzEmdMNAO4l7y44ymWVMx6PMBzmH7Ieh4Cvh+JVTS
dYJTAhBsJwMH2ZmQzze4VcJzETrwVOEWizVsgKPNCAz1hiscBjdewGQOMMk6BURSiONRBCMaFtQo
07Dn7ae4yx8SvN/mtjrmThIdVGtezSx+5aW4yx+ClpsQTIMxlzV/OY/sTC7ytZ9oF5gY4x5orCov
SJ/2aMjaOfGDpUsgahLYntwi2HESHbApkyWE60sWuKzAT/H44SLkwciXUCxjPuHgBA5R3JmAvfET
7eDSqo4OXQDxpIFbQnRfZ0FjPW3i4FIYCcdXTQlzWcOGzMINL2lppOcycXCJwqG1BsP6nkPxjnTT
RVRGfumeuqhcw6RYA5j5ctLt+NhdzVvh155QB5VYNhID1Q4KIFaJD6Tq4j0e6tZPuksiQoVeOJxD
hFY22dChY/Lpqkzslx2O96TdD4RwBB1H3QyFfolfcFydRFp4SnZgyaKJo2aG+N3KcTkdtVlSOsTY
r0JxiUQcrvNq1QgLhdPppJ+3c4vkiRd2YgeWhVhkoxgslC1uDjEOX/CW+7XILolo61cKFGrgmPBm
+GRte+i53yiPunShboiTmMwQYFkzjgez6e2kVd3s12rGDi7LGI8D72FXQ9n4Ao1BPory2s/cDi5r
XgG9UQJJI6Zwm0xUn6zU72wQXLj8cHEX4dywUgNyVBWlgsPUrRJ+qdJlC0EO7vFmYZGUlJ7CdP28
CP1CoEsWgvMAZT8G4Ei4+uZdx9G4EzVcVOdlbJcpxFEymLEHuG9VmA1EXEThz7ifR1z/cfsXrlJ7
aGyYEgo4qwfbv5vkNHrfAS32fR1jDRdRzW28nfJEh8/XMCLK87u4OCW2SIoaDJXw6Lks8eWABr+Q
6xKHKk6BRljwMe+HpMuAqvhexKP2C12Rk0CLSBi8IRi6M1rsRS+eErZ6bRXQyIEppIqpGDTorbXa
hRpuH+Tkpxc6HmuHbznYASoz9SRiBfY2U/2pn8krI+vqJ6XQ0Wffku0gtawqvixVNORjWGWip+pq
Jg19U6yLX1B3uUNwsKTD3LIRStse7pkyw00zNz+brnxn6R//Lwf3kyjMEep1RTAi7xju040IczfW
A+6zskhMlZWtDJ4Xw+AZIchRjfskWrgirRlmYBORRr9BK75kk/Gbhrq3F5mpH0s+wUhx4yOc7umU
SPt69jviQ10y0VCrutCwKvN+oeRTFYYTUH+WyXO8TY4L955dEFGw9QHz7XyNp/VVWNjmHVFd5Qdb
l1FEhKSKoR5Ms9DhDKOgSYeuWZ57BWbiINcGoxXbDJt88ax72HjiXTZjvfj10sdrhu9bZmvhVJiJ
oNOoZgvnq+LnAZn9Qo5LKOLQ+MNNezChg13gpk9NJGeV0mr7STb8TFX5RmRwWUV9TMqmr/mQL5NB
LUhu16cGuAn1ztp51mnCpuEaZrHySlUofNU3xgZQRnTsYxJ17XllCGsOfWv4uYrK4FVCiLRpDDn2
RW3a4V2bCAWXz9Wh/WiCOBgPkBR1cYGgdD2fAwmy5nEujjxy60eohUzy0Bm91GPUoa2H6Z2Eq1jH
y2bgPxnHHEV8y1hOZNDL1jOY2rf5AHm9yuq6LC9sqfj5tmAJTM9ZDFdw7LCo04oOwi9ZuvwlLDuM
1lpBaz+Y5m1EtxViYCsbv9LT5TDVdpmjRcz8DOrCuwpu6hyG4NYLdC5/Ca5n7RVvQXSEL4FkrzZP
izgZHq6sMnOtQG5pRZZUgApR+xU9LnNpLlBNNTSEZ2FTJS+OGfgltFfdez+DOHGiHya4dJiCdCXh
wt213I31Rz/JToJHZavEXI5g6rBLbXGewG2TXpJd4lLRLCOnxcDPer0P4G5ZNvkdv6YubwlXNMRW
g+SYjPtVJxcLsNH8lHaAupA+ltMAohFvDkRvOxgs+6Xw462I92N9NdYRnA2CxdfHU5mVJeweJ1u3
7P0Ud4rueNV1ibHkZ225oV0498/nPvEcsbvEpaaYtp4yEB4FKmXxgfLec5E4iCwrQTRci83PWE92
cSLTpbn2M4iTuONNwZXHqAdPtk0GV5bAhct+e7DuPUjN/+bs3HbsxLlo/URINtgcboG1FtS5klSS
zo2VdBLMGQM2hqffo/bN/kP3Vku+iBRFiosy2HN6esxvNHaLzTKGZcR4lx3r0mR0EI5Cg7Ngia3C
66K+iaAtJkseaynTQ9rOLeE4a5agERcVoNFh2XBe30ecy8twqPo/koL3hO5fwtxZtmR55IVdNIVl
sgbtoz924pNS1vETP4OPAI/32WJDgPS3PjWcXlXju62es3CpmbvNHsbwkhJgysdv9Xy4RcmzbqmG
jc620DUsVyCXR/FTHY5Z9Vm2xIQmAfBBGHlNprxi9ENDp9itSEhO6xKUL+DXBeNls5lncdjHZXO8
Oj7rlvbgAHe+4rwkSlYgiIk+3cbQ8Sjz7ujxv7tsNYQ14wfYzD0PPu5r8zIv/IPTjkLOoTJGZwhp
MTRyk3Km1d3MnHJ1OE/8+dCbaaYY6giOzXuvC7poXYhOuqny+Fm6BMeJhkLgwkvsK/IaeWTN17GX
TkpfftYuLXsTLKbH0jEJWjsjfsdXN0EX7vlO07JBq8gHzctpS3LhJfB7cNqoYETy58gVUw096p2X
O41BrW40uSSUuemT+Vm6NEVeIlqN0WEwMF26sQ4ygizLKWSiO+7PZ/dQPF38DZ8h2pUewOT+Mh7M
KTrws3AJgHMmlx6rftFx8x1HxmgDo7zxFqddhZ8JSO26KRBQKR59muQtwEGvmFfq+E5Py/OQcVgT
Cex3DWxTI4Y1YwMQ7i5rn5/VS3FnIDPwMfhYKZZSCLqyjZnQcfTTyfP/WcRssBmQKVPCe3csqRq3
hhAen9Ja9FtGuAKDn0Z/TLk55sz3E6eDDz8rmLqRxoqMHSkXITJKRRlsvlMyjnuSP7/0HdrqDa0V
pKwNGi1tk0k/ubi9z/cM5n9KUhMwfrCLrUipPPVx8rtPqvechDT8LF/qB9m1kzRH6ff+Z9A5QMlr
N8cPxf/zscPATCusbfYSQGqTHnXyZYvsq9uUnCJn28/mUL08SoGWSB/1m9p8WtrejQHAz/yjoW2s
HzSRLUM4mYRDf1kS4pSQgzn/56zscuJgZxy2TEYC7wk/W7ve7RM865YO4bUMvkN4agW05LYnn9Cp
7JQa8jP9aDhmGldU29LySV6mtlLXVUTjzel1npVLaINMQCdrbKlJlOq1uwxSuG3jZ+VSmGx0QeDc
ymFCoQ83j7C12tlXt+c+rcwxRG2M1MlWog8aKiD+OMKmxm3oU+QU/rTKY/H0u5dJHi2ybCPmONun
hamnTi+1kaaslz1lzE897lSA5tFpWY5gzdmICl02ob00sbga8cttOk4Bs2H7JEfNNL6QbfsQ8ogX
Meyq3Laqf2iWxqC38O7RpaEqyiUgBZdgcwMI8LNqCY39gV83RpfdxvOe08fKsdUJ/ME/N5OwYbaO
R/hBTYF+WvSYQ4nmFhnOqiUTwNKHq9GUql+6FE4RpdfFv51e5pl6pDa4M+0gV5eSR+U2e3k1h26B
4Yw8ihMTAyiNL9AygA66YR+ukqyeW84ZnhYltw1dZ0I1hGeBuXhJArebZKW527Sc1mWvGvBNidVl
PXgfDriz1W34w23o08KMADuwnDS6pF5bCn94jY/us9vQp5W5M7Q71XzVJfBYL8JPPvuDmwyfn0VL
IHgajSOELqe2u3XbXkSOoBZ+liwtjdzt5uGpO59U6RD591UX/e00I/y0KmnXCDSATbr0w68V2S50
qN0ywbNgaVi7FUltgpHRCX/0Gn55/4UmCrFl/LMcxs+CJX/oGKw4Nl1GsBVKLlE/R3CjErP/V4WL
7jCNFta41Zn4WcFk142QMdHYzIP63gctc508t538rGBqNEskYAdrmbRTJtBKAC8lx6FPy1McwbT7
I1vLvdnE20Km+kH0kRuoBdaTp60c3lQIQt5aBr0kKZDB0X1gx90t5J9FTJE0jW54jR13eOcmJHlb
1W477lnEFMDneQuAYS+3NbwFyfIAIKRbDnRWMY24ewVK2lvKY0nSaBbF1EZuJ8GzhulocQkWbHIt
w2+xuQSj47Dvq+t/jmpRaBs4EdZrSY2X8agprRZvTrvKGXKURA12P5Q3Su1FgLQ0BdA+/6Wc+fda
OD9LlQJmDZEdZqOOVnG/YRUVXtgsblHzrFXqbThtcCdayrnhb8Ee9+mQwA7PbVpOqxJeVopAKb+W
lYfLaBgUvk1yXt1OVO9u5P/7OqGdCBLgwpYyTvprE0VFY7lbKfKMOJIyampT9Wt50O5j488576xj
BeWsU/JsAIcHWDeVvfF/04Z+GzV1rBeeZUrhGs9x061L6Y+/uG3zNqnd0p+zIol3WvlixWSL8cgg
0bgCaeIWN8+KpG3f/Wl+/6CrftmKULfzhcfr8h+b63tc/5fQeVYkJd5AdQQYA0JnE9xtUCx/V1PP
KwgYasUuq7dUNA0UqMpu3/xZo0R2mDqYZVpKWcG8dYq1gqEv/Q/5x/9nLzhLlHqYfXqx6ZZy8I7p
OoUN/HeHfnA7VpwlSq232j6c8fnAHYg8dDRClJ4dmcFw9/xzvUr0gUuIRecyoTDOk33/la+dGzmM
n0VKfPDBUffVXI5J9DQ0r3UVfnTaw87ypMqqlaEfZy6D1qRbEvxs5ehWoTjrhFZZ23loMPQ8okUJ
m2UabtqthZCfiUbbYrdmAqS57D1vzmfYL+dh50aX52dFEMxPx/qY2FxSCv5NRx7WZXQLSGc1EHzG
483ocS7jPc5JJNIBLsNur/J9Vf1PArAlBKgk1s9lPYrrMf3yiXDbw/zgz5GJjYHZJgBhUj/IAQzI
4tXxnHXWA4VH7UsPCKZybodUJzaNp8EtITqTjPZ+bNGedKiyH6vqa7zZ+uUglf/DbbZPZ89klLGA
w5kqKzBYeCfS3jqmRGdFULzuctAtht5iuebtrpssmibr9gWeVUGjHj1AbDG6os2tHXUBabhbpfZM
MwK6r6qSqusR6/w1h9XLUEgNGbHTjJ+FQdN7v1lwDFVJoQZCKvcaT44XemecUb31vBbENpCqUKiF
xdBtn/vl6N04yvwsDMJ2IsQiMb5ZN5qro/2mvc6xgnh2S2MyDoDY93hhluRu3YM0AjDQbcpPGa6s
+2M2rI6K0dP55lu4JnRgGrkNfoqYOxgk2ptYWLAlSA8oj0LqtjbP2iCy1kypujaFqg27xrI6buse
G7dk8awNgjhyjmAxb4rWCx88KS+JmdyK2Gdh0BgvlK8oYhdw19xSMiePvqgdb0/PuqBu2xYf0k5T
1PP+aYYLSTp5iWPef1YGJV6PqsTyPim6gnNcFJcgkrs+Of8z/gRwLWObTeBpXwHIGvtbmOH53YoI
Z31QL6TxOhthcCE+Al3zRWxuCedZHDT307DsQ2AKr5sy2sg8MpHbwjyLg6hUuyc3X+NUKHPjx9AH
fXdalWdhkJ5pb1i4m4Lw5q/O669bOzvOxylkIkjusxw3U3Bl7ydTX5PDjf4HE+w/v5AJ13i+lMoU
punFNak8mho2+k4HZtgW/Dk6bEtogysOU8w2yhVp3sSh3lymm51lQaZvUVdR2hTrSh/9qgK816du
mgN2FgYh9zbdoA0+QK6ekiQaUW2enbYqdpYGRQOpRyVbU2zLkeEH3YLIOH0n7KwLWmbS8rrFyzx6
4qWRP148friVUtk/ZEGmEZMinSnGBdcce3uEF1Dwf7q9zVO8hDWF4Rr9yMVo1e3owxST5BR12FkT
ROJ1RJ0cQ0e8zbqlzqbKzXaFnXlGYqa7iloMbe1xTcw7ZCNxe5VnPdCsFQFYHCsHRq5rOg7NW0zm
ximBYGeekUKrF5/tYIqhIRkP9GUI3XIqdhYCNZxUhuJPkWziNy6vMqnCX07fyFkIVLOkOYYVCyc4
2HUko0ljVNsdp+QUKYd+X+amkabox+aj3/4YvchJls/OJCM1jIm/jJjsgFjEBH6r1OqU2LOzEogA
Bzs2Gya7XgC86eQNvUpOhx12phiNDBAwiqtk2LAPaQg7kBB8Dbf3eEpfZ4qV0vaNKar6yNuoXKfR
KbizswSo883oG8/ThZVwcdcyhVGx07UGO0uAiJp3RQbsftW772Ydo9v5cPRdYWcRUFI1YUsrPHeS
zD+6g3803d64zfZZBBR1xINOHmPL4EHTOCPH4Tjy6d6ko/IICQ4KhZ72dBe/pviL0wdylv+slQz5
avGBQE+TQ8mdbp1yCwZnbBGZQjkvQ6wLZXkIGAhUimu7eI6jB3+mOzJuw0q/p9sLpTqHOOULM511
nO5TiHw/YEfbjEdfgv022f22jW4EOnaWANHI920EX7UCN7wqHd/RMUnluCjP5KKljgSKG4EuZtYm
me4P9WqTbfmPbOr/VgL+WchnZxlQsh44Lo1kKQgqsqQgu5y9JzklWmScmk587BraxLiFnDd5A7Nh
hlkP38x8mxM7NreO9DVLyZ7Y9kkeVm01DDE75lZaZGcdkTA8xAZql4J2wT1vbA6yldtmd9YRxYbE
c5MsGDrZ/HTjXtmifd7tSz4rieq+4qb2tqVoib7YBj8AoFk3TBY7S4nCKtCyF/NSVMPQ59zs/QWO
6YFbvD2riYSISA/Nz3sSHCmkTj3bKvT5rsItMzvriZqmly0lA54eb7asGyUfknULHXOz8LTMdbJV
8Aqtl0KZN3CcHlvduB3Gzhwk3iF3Mlu3FBMVwB5S+hu+fj+ctuwzCMm0Hhc9jDaLY+r/YrxqcCXi
ZtPGzooiMwZMRn67FPFSF3UX1ylVbhJFdpYUHUev2hg9CYU1k58qZfYUYNXYbcs+i4pGUtX2oHiX
kIO3aRQF7w3ohxuJhp2FRdqocVkV5lwjLqQVFWO2xvy30ws9S4t0Iwxg6Xh0weVXsm5lMHv/cfXK
EA3/Zcc+K4mMXx/SMIHn9quc2aBIIrfuQ3ZWEq392m/hgk/FpyPL4C9Fs6N1u0VnZxQS2aaO19hi
C7GOf422esEe9h/L5/2U8W9TckqJzRb6VRx3qEolbLgHXWi400mwE/SVLtE3tzd6KiJRNMKRlXAs
oyGK021Y/hZmcitJs38Iimr4yXaTj3jBm5u//GWH2C0SnfVEiO4eGkgxMkn2KmsCkhE4m7gt0LOi
qFonOg0HBpeRehSqw9WLcrqSZ2cqUmjbceTomi5CNnl5H7bPXiUcCw9nXVEPANBMtmApuve7W/R9
f+vr1jGLPQuL1mA75npiS7E39SOb+2xeO7cQdFYVCQVeThRQfINVXaNQKkUGlJubcSJE8Kf0ew7G
Y6SYlXhai0EGOc70Thd07CwqCkev6T2Iioqk7m4iHLK4D530SuwsKiKjrcMd2DYYg3noozCprN3u
FthZU8TtEncAjuAzsTSFHCQOnWrd7Cwo8sNZtbOHgQ2cnx69KqnTpQndkE3sLCpqEh2TwNdLEYl+
q/J1UkOVTnJCg4zTVniWFvmge8bgEr6/zSmbuH4LArceXvYPXRGf1F4rJPyd7f3cl7bYdCLdtquz
hkjN0QTfaKT8fcdu25qkMiFuH/hZQeTRDn1fHYYOuugOJZRcTm7+muwsHxKAixwmMPjAvUQ+tqLH
nHe4GnV7l6fQ+S7bBt6TDAULKnonPS2vfbzGbovzrB86epbMVCmMXsuapGO3jH1m+0q58SnYWUbE
vX1oeDcNhRj6LlXI4aa9cov4Zx1Rv/qzEq1aCj0fKYRh920t35xm/awiks2SLIr2qoD5pb5ukh+Z
R2AY4Db6qbK0oz64zl1iizpBAZyPL2GzuoXls4zoCDw+t9NhC2O9Ogdta77YkTgem89cIWh9FxnO
uy3GLv5coeybDty6xc6zlki08DOgvtoLGPktAFsZ/7YkrRuBhZ3lRLPPZty4Clv00b72KTQdQZ8l
at9+ub3S0zKVwwgGlcUr9fDIemsuofovjci/SzmZf0psx5bq2hq8Uly8mt8JXi+7VMM2/z0q1oEW
BqB489k7on5xq7ycZUaHJdMeJcQW4frBWzyAnhzfwllidAx9xaATtQWHNcaqu3TlbrYE7Cwx8nYG
OnmMWZLb8txE9EYdfXHYWV8U7YfXrzW1BY4YgDiOR5fWs+NB9KwwqpgA/X2ZbSFY3b7hvO7pdJ/9
4L9OdZT832uvfzl9nUVGTa/QgdsmUzGg+Zl9gjWxvDOh8fiDXNFA+wG4Njp9Wqq2hhfvfrTL+N2G
W7CDsyamzvRpjVuvQcF/mY3HHdxqgNSxRyXnj7QPubqnc6fru9mofX1a9qpOLi1BD3S5AuU150Pn
c13ua7jFjwwuZfQyiAC2DoZXoDykgifVV+ZxP866A1tA3gk1zvnCQ23SIPG6rVhrFABemK89fm1X
wqpbaKGbetmmmGUH36294KbyzvQ++4wkSv9gZFwf+efpdbjIDzjiy6WKrwvUzn9r/LQ94zALCQtw
/UA3CmIS//ZwHwkkDk45FaAHdVRdg31k40fa+Ob3YYFTA1euVwFsUWAfUY424P1POhy49eJe14+F
bKLm+NxMsrPXNQ69/Rqh7XQu0cLUxffekhj1yHs+BN+ARd91EcBqoc7icG3elmrnVSY4JImZpuPU
lX21VfNTD2ro/imE42idtyMa/LK2SoYwgzMBF9eVHmK5e7dSlzkZ2p0944a53tJE+F7yY8ekzyUY
tRqWmF0SNF/qxgpSehvQBrkN5dpf47D3qywJcD9wCSPrPW/8kOwCPsMeZ4xpET7vdT182PymGS+V
1AN7HYGcwNOsw/COIxtjkqlq6eLUrs3QXgmIN8FzK/25yxS48rifOgworXLo0X4TtRsE/xvTlZcl
QzSu+WGhQs/ItlKQ1pUIgWyibBxvcQKBXapYcnzeFsi10iaIJy/bSFux9Nh11F4BnCbJpV901WSx
nfUX3XUUXE9JNn0LeOhFvw4QrIIiEBOtbgGFb3uqpwB+Px7wTToTytvuIiIiwLshmamyQ03+d/yY
BTTBqDN3OOhPYQr+47R81U28tClKaVFS1HwhBiAiH5V0y7CK0nUIQv2iE7YLmS5+ZY606cdgz7kV
3nDVbbzX2VKBIwzzm+MQ2TiM6JvegiheLvPkQzbLOiLqzI9lW107sTCbU4iYv29NZU3qkXGEL8fQ
aJHHpE3MJ6VZ9AWFAyHzaePJnPZiE9ttwT93hY6D9UjrTrH4GVcH4ZICi7yNN9HH+LuSNuIy9ULV
rV3aAvBj81lruX+leyKh4wP7vhl/RXUyJzmpex08dEBh/vKP2pKbF3v27xkWKt/2qvU/0XhoQ9Qs
am/+IKr2IADMhNtxz+UGIGPWsHmil1X4IXvZ+p2Tq676bih3LfzxJreoVenCtXlWRnfDFWsr0NnI
5+nnVjNUzgUQ2rqAf5DX3LzdVF+SEC3ckyZMAWE599HbxkfvrjX4l7QG1SX6sk5x300XsDK7sb1s
i2Hdax2KbviN2zwaXoCV8WMNLbEIwju7BkBIpoOpuByyFtdCU5CGJKj3DL/sPj9NIWHmpjzmxw/T
Nr1/A15UYVuqpgqvC+dC8RFtbDX92GqvHmBaugiq0klVqKKFTT+9DZSQ+mesgr76ucCFQuVkFkix
67oL+/sa+G5bDiE9uudjbsLPnW29IGuJ2fh1HqVenrCbejZjtR7DK25OIz8FfrHt39A+EiRv1UjF
XTzhXh8t0WKp7qbQhr877fdQ77Jo2B6HYUC64Pdm+RLyRMN1Term99qZ9WWUVkRpP2FFedly+G3/
sdGHJ3J6IMdIQWjbgrxGvqRuZMI3QbxQxk82ERW5tZ5W1aVBquZlKo6q4BKhy6zKl7j2xlRGC/cu
jedt38MhHlQ5tkceHNg70g33ne/T+8FPDGJNjARSCpZKsQMvPD8f1XKZ6uW19ebkuGBLiPCEVSuw
Ow+xYOS6doLQ0oMwY6R5gA6Xz2rnqJfRcEm+zzSI7uNg3B7D2WvGuySq++DG4XHhXxkWwfqIAHjX
71OmgILUtn5MtrBGy0rDjsc4HNQDylqI7gF0I362R4NormMbbTLdGW5cUizQ5BuInftTIlkXZUA7
/+U3KvnJE1X98CcyDa9TVB/4EmoqaRaSOs6toi0CImCZQK/tAsxCHy5YbVf/YCa+Gtbqu2Eg6oIL
KJkD7jNcxlXcamsLRpox5xLl+iUKbnNASZrQ/Vn0dk4DcfRpAjhcKoF4wnfZvCKN0GmHTtxMW29L
DzAJ2iQ6chGFOhVjND40vv9oaZvzaP4qNs9cfdLUuYYhUg6X8ocjmneU8trYy1e4uuWiN0kmR88k
KQVH72Yr8K+wO3fRYxJ3n/Q+a+zn9kckxHoFnJXloWm3T5Gpxlw1QHaDLDCrLIH3n8ZnG1fYfri1
dyDa+SlMmD61DCcIDzs8Qtvwtsce9sNKJSnDy82goaApo/sj3cWNNvYxMTO5AHtv4Z/ay2yN2jrb
F/LUhfovTGN4USA3Fihk/ZBMHJcg2HLIWkXe781v+JHUF0/jRjmG0RkSANtdpZW3vRcqqxKyZmTS
CCuavpA+ftZ7dBdM0ArWHBIfHsVDGlX61jOVPEyse6yk3fIw3F+7YZ7aa229v5hFQGir9n41xyOt
xJgKuryNWxvfLWE8X6ot/N3W5km0uC7OBswh78YVK2G0mSLxA46cx3sEAJbdmhFb0OCtsMDyxYxs
K+DBcpVB2KaxlSbzO+llbFIfqkhEhb8KMNFH8oo6VgAMSpcF0p/SVs9pMxH8n2hAF4JBZ9Kl46wt
UawIq5Ru6DFpUXRO56HjL/CrjxBpqhy/kBjyA56eMp2iY3nxBQ1/b2G1Vnliav9TPQZ6z5XpcNFD
/aZtHiinHLUDo+n+BLehKN/IIORNxJ1sM/x+1M+411f0GqEyZe/IGNDHkHhyTJlAL2pq5zH+e9z5
kE9N4MVl3FXhl6nvuU2DfbVf4RMZkmsyq+rL1nXbgpwPfaF3ic9iiy9zBpdZTPXxljDcPl1igEGz
fh/8L7CHGed0bur5SzQp8XsWuDm973uN2dEt1hSWk4pgOF03BwIICmVPoWe7/cM8JGK4iwSJ/evs
CwLFde+t7DLRuWd53A0Caqdhq54WXi361gWs/dYfa/uuWJdsgBBZ4rPyp2XfcD+7JzoXa4dnZWiX
6V6DpKZ/LxHM5d7kSDqd+hOKraiRbuor6XqlkVTFdVfU1TR8HtedTX+Na7T9XkOoltI5DKDkn5ER
4+53GyjLAQX34xcj+3G8+LoDp64d9q4tIjg0fSSUVe1lGiU+SKVjtHOKeoWFqtTR/LxumziQmsxr
Cx8qq4eXSU2iyXo9BBQbS0PWFBVWvlyTZThoOrdiVxmanumzAuq//aiAm1ie54UQdZ2IXuS1oRVy
wyRA13G2WR/dwPgthvVqpqDJ2UhIgaTZT/YcR8EHYN4W6J8pvQPWY4nuQWj3kY/x45gvHfaZL8QP
DvuT7xXknqNR3nqbJ3C5c/QFN+K1hTtpUKogZhWmogmD1BgqZUYiv8e+EgqbbnifXcHB2Qar2Lbo
7OOiaaZXb7BD80xpONQ5R8pL03UEFuoF5xa4hLPlYPEFufULWIs1uppIjFB6mH0/ch3J8L6xjMu7
mIoV+pow0hIywCWuUtMc6qPV8fydKUDxbh109F4WNrBNz1grt9+jF0s/legNfht2DxjOQYWdKMDw
R1YSWjRR5GZF7p56Yzzfr83oXVoE8u9MB/zTorz2DsZzOFA0g73DVkjlEw9WZtK2NZbdJVI0DEcA
AyQ4O47freHLZ5zq4ijtprkKstknhV8JefHarV9z48WK3QLmWZuNhlH7utJm3bNg7EyOvS7+eui2
AikcrsQD1tg0fPVIFNtL3yEXeFDYeY/nFulqqmG6eK3CYSQ/yLoER4bDTjPcVm9vx8uRUPEBwsGk
vhyeZ+hdZHHDdi8mvX+C86T8jbt1I7JFjUN9U0i3GtwnbYrmB+seVtNv/nPXvidGg67guANW4vgz
8RsWvkSCHZdpH5Yow+1fYYH0tOkCz80xrTz2yOcjwQkRxjEDrEyqfUGhjQUs1yETJJN12yIfiwL+
qurJ+9DORiISrW30Gm+R1M8HX6b5ZaN7/2PYBuujr3iUXrpLH+FpWYIZxN3p8J/4IM1LvbQT/N+3
+qtsdqu+VjQcTRZUaDMLktjzciwAkAJEt7zv8LuaE+z28Tpn9tjm+ra1h39n4rVuQK87mM2WEWdh
AnZT9xVJXRemA/MbmKnjQT4eSdL84lJuryiXB291xLfxIo9VlgsMcJEkreHeYUGGHrmrofzJG0vN
pYpWWUjc1KXSHn5zJYO21X1rFiue6pmIN2X4M7yyWTr6aJr05SovETzog2yrIeG7hIGt2/tlCjaQ
07pgBWdP7OhyEVMiL6tlonnSTXB4N9iikAc/nrcv1RZ4j4MXsTUPwm5ECQEtSVFxzDhXXKgKgvmx
Wnz5wzaDbFOCTHa7zJzq+D6kfVTsSdtBTeUbhXtuGsrpMnHlfd5bylIUEaJsiHl300Gv3qUNf0+G
PDE9wcfDi8MDOUUXefkQ0UDcRKWWJjXiSF6TrTu+j3wUd3QT5qmVOAmmie1p8xgjhu8/4D67m8ux
Iwbe1sFMhaVH9W0a9D5e1BYNiDbSTuY6VJRMz6jJ4VBufKSHcB8VP3GG7j62ywqlbX2EhYqN+Thj
syz9PajCe2LXun1BGb//JeI+Udkk9zX3le3vAl4hv2nn+WlNBABsgAFjG5sSFnxV0G2x1Ac18bgo
e4xP69Ss4lLxLXqmcFVdi0qsOJb2O+F/Y2W/F2tItHsfZmU7jQNtMj0MnZ0K7mv2dYEes0d+lZjt
0tNxxleFoNik7VInZQiMKkv3Jhq9zCbK+Pei5SLJVTS8h4Su/kjr8ak1LMjb9rhrjl2lDZ/IB9gx
Hg8TsUY/+kFsPx2IFerSiQ0t5jNACBdFxygsJ22tfzcIHX2SC2zLMOmybzM469BvmDUW3NVBOxwE
0n7lDwt2nWW3ebUp8xKyCPtoTb3lVcq4guOw7JP7sdt+QfQZHt8X9Lf/GnwDmi+uIdu0lfueWQ8g
2Nsm9p2kO0H34RCt9+SwF846Wl/6XtrHym8KW/Uve7+wDcUJPyoR/CHzASGQDDzz0A/1cxcxLcx+
LB9r6us2Q8cRTERoRxdVsj4GVz5e2PHBOwZNU90x/zu08+1fxtcBK0iPmJSZgFt1bXY0QrUdPB/+
D3tf1iO5jWX9Vwy/q4YiRUoajPtBWywZuUdlVuaLkKuohaIkav/134myu12Vdnd9bmCAGWAAPzgr
M0IRWsh7z3bThU7nZhg7lF+ltjYDB94RTt20yj1BtvRwthiQsqHTUdocrJJ4OPmTJMcyI6O58Dls
IwmFLaW9hUxam1BNixqOfa7zd5AMvY6wBY+AYXTW4F1WuHcQATnw4mDNOP+UzeKKa6WrRLcr5v06
Q7fwLYeClAapj9TyYMpt57LwqObhiIX9nOh0epJ5pdyNWzYQ/WAVKpCyjcBGOyqyXDcJcovMgyNn
sLwYeofVpkfORhlqx8bOh/lueJabQVKxbdx6LHf5gmd8By9Kc+uWvs3Pmi6vcFM7Oo/G2qmLQGFD
kwFK+cbfL2ygOgDPM6DAJWqQ995pGm2EPQNjXfiC8WOJUyrHRF2n/CpxWW3yC53pFF0PHUUTD70c
n3vEcZHQHil4xlF6gxfabe7dIgytSMPWEjw/EAZE44gmwF92bGCLfaQZ5ha/uhIq/YvJK/thzyFm
o5t2zKruylOqYW9rVpdyg4C/9H3sMcL2zEa3vuLJLTt+aecACCLZ5bl1ldEVESGBLUFE4Ek3XodN
1Ia9NxoWhXZ6lhivcIcBTS6SYHrKLxjQTaoCC6uOc0V5TfakLtwxmtxWsWAgOBlnBcwxbFNQvy0T
R+EM3k2qNDSes3lxotHFvJGwnHpVfxn6BasbKK52vrSBBz6BCWmXIPVKkoUIT+/TCCmw461imHQV
6bQWUOxMaKcDbCLyXgwFxl8NqQXkYOiHBsWuMHZzUWLsG43SyXXz27kmVhPCXkmmsOnWub9yh6KN
VT2gbUQLosok9XLbfweKxKe4divegrVCoR0Y4FHNDdStY4MYTbxgV3lE0DLI9CDHJHWBY35p7Uw6
dgD4AuYOPGTMumy1hYVWGekhQ8eq/XwJXEeZ8VCiyJJzIEZK06eM+b4MfOKUXdBjFtaTLPH/qJAK
PgVKrfgeiNXvngB6C4yqBxfah1nR4QKp2l277YQDVJGeCUx7BWpp8UQ0Zttsq4YbfuNPakpjkeEe
D+ji6itSkb588ToLoU9NVWRFVCxEulAUUFg+TKScenYeDV8t/4WNugHwMLZDEUP5a6F9UmXvhK42
xA9mlOLLv6ci/egN7pksizzVzdZgnua29jvvEliZ8++yMR+kKp3d2Jqortl6PZmjqi51sNbyt8kY
//Ey/2f2pq9+5S7M3/4LP78g4avLM9l/+PFvR63w33+dXvOPv/n+FX/bvOmLJ/VmPv7Rd6/B+/52
3Oipf/ruh7ju8365Ht665ebNDFX/9f3xCU9/+f/7y5/evr7LcWnefvn56VXldZSbvstf+p9/+9Xu
9ZefbYIsbeeUG/0f3x7kt784fYtffg6ffjp/Gv78VW9Ppv/6Lp8c20c3TQhSf/2TfmV6+/U3zidO
KXMETH/coyfraa27Xv7ys/+JC5u6PvWFd7IkGI2l8JefPbwTthDfoa6Lj2bDUfr3T/bdBfr9gv1U
D+pK53VvfvmZfjWg/k5CuZ5H8W9o/2xgcZyQj8z672RU2iJgjWUjFsFRCBKw1cetn2ZjF1WzlYZM
2E7YjKiJeEpfGUVkTVyWEjAIJYEsO3Imh2o4GFFl20XUiFD1RIIHfErcwctiVlG6Ab/AQZikwCVG
0QXLMNHQLbp2i46BweMnHmtTP6WSgNDK2RYgV/cs6Al6Zi5qD3cYzfNUtynqh9pBxDFjUdE5NWDk
PMYI0CLiWLyeZqdD0Yw69pjio81TjcAUxx6CLG0v3aJ3t8Rt6s/zAqsEoYim7531HUYpkzRrXaCO
WMFhpIO3qXJgIcqxEz0qLyFO9+gD3ItLI8BJoCsMeoWmqOu7IuQte68w6D0gs80jmFSeMlSc1bra
G7djPcgZZaGp7s4G05LA2KM5y2l6tKvSPi+rRe+6Nc2An65OiKzOx2pGvtuKHIXQoRXadyR5dV1p
JY4umwhguTzHOAOTeByjUarV7BZXAvBnz24n13DM+nO/srore20PC7DcnJzLdky46i75KB/bQ4oU
dLRWRiFKZu30EroLN+GoIKPOxw4QLmU8WPmE/N7WVFjs2+ZKYKrt00TcEe+PzoJTddG6TrxO0gkN
Tx8zXrKAQhvjx1nD9IXrFPuqH+/LqY1a3sm4HEoqHrxUd7dEYVaMqr22vwUM5pyVdLq3bKzzpsu8
rbKwq8DayJkMXcPmGg0M0NJA8sk/WwRzQllMgBjoqXkEpKmOtWudGachoK91glZ6sw5jeYDkNCm6
NBqzMb+EgWUKpONY4bL4uom7FgSlN8Wc8BTbNUbIXjmrHl+LgqUmXhHHGPW4Q02bgV6kwDgp6vrN
Svz5ihdqagNn8apHqH4XEdsZyD2Z+igzIfRK8gW4upxSAHa5HrIvPatEgjyM4rZwaBbXnkUfcYtO
AXek3lfo7TflAK5mtRmkRFVzGkGOfop39gXvPMCkKE0Bjit1n1nZBmTC+ThM4tFYCjEYbBragLZ8
OZ8IAqRWtv7AdnDSvnxYH6hHiAeXGNiMP2Q+1gxyKq0g6ml8DHeGqAftd1h56ab+UWDqV7XBh0O5
OEEUR6KcsY8e1N9FPplVRY3pjtN0DWZnv/bwm+T8MrPPKodAKTaHJWB54Oh4WK2IzjL0G/sMrVNY
AApd1I8yb+zT9vjdJ8N0YmC6PidYwQVW8O+Vnh92ZxdIXsRKSAWVo267Iee4WoDsqAIrKpxsi8ln
u3VSDG0G/ZH77Q/X4/RRoLdF4Diltv/RDvJnOzk16Xvb2gdesV8l839pQz/PXzpt9Hv/cbv+bof/
823/f+yOfkoP/+c7+lY//RTktfzjnn563e97Op4IJjx4wNBAn9Ruv+/pHi4R9maHEOafIjZ+29Op
/QmaKQS6M4e7mGZzkoP9tq9T8okRbuMeg6CFApV3/8q+DsTzwy0rAJwx4rq2DzMtPueHis/xU1Wk
lIGC5NO6pYOuw0J1n2kpz0fTHdTo3izMTZOqz/MEuGMR1LJvN2XXbky+vCCR+kKUs8IcRK/cuIpe
GDHf26zcD9q9d5xqBw5/jzzYfaH683S1zsCCvs52fp5iUpIzVLs2Xy7GNm2ChVfnlW9UlM3q2Kju
GfwzD1iO8SS8XIHJFYDb8hVzuLwnNekmrKzmsi+yZrsAeAjBlH3JnbGGBgIS69ax+xAjMQ+lnUZO
Z4MIohWWXAvU6DK8IrJLBq5OQwp2vOk5uWA5VBgOekxTLzKiE9Bwk/b39jLzBJz789K4R3ce5gBG
3uZYc17gqUWnLbPxAlNoD+mIbPWKD3ko6g79S55eUaLtR2ucVLIWZAlarD2cI5itUfdQowhgGJg5
53DzMhcaYy+qZomabN3OCzZqr5ZBu9LjUCIaUaZg1hv57kyOTLKyH5963x8vnXzZN9AjR2Qt3HBp
Hx3MswumLu1CU1e3tcD3s1pyvsxLfMqyC0wOUWTVp1+azIKoAeBsCEcymLE0ZhBiBJjrnPSajUFt
r+9FhlkcpWp2iphdo6abObeOpfGOjPcq8ph7UYzNw1dIZfRqSPNGnYVNr8B/ZGArfHlRFgKzIIAE
mKLZdhX2OdZ6O5K2yOUv633byZshr7EtwvY1MltHYAogWuqXc8fJod9h1rVOb4fVvegW77xydJhb
9QZiseMA+pw7u3I9sukKZOSZbNxNWg9h49g7JegBmpWztRNnIEsDqxmDrrqc+iXqzPooBgKYGkVU
uhP9DK3MeAYZ1WeHTXErDZDTM0gklf1iAVkDCIhaYTeuxR5TDjemuhI+fg+CdCBJRrrEeUdCY0Da
cJkvkRTqylgML+KN17u09wJJY8KSdb13i4MWKEFvJQhLkXD/80K/iOzdnS7sbqPqLMqquHjxwGGI
9nU1kZOzmGZ7U1pBBpFslwY2hgnmY5DClVCu29aK++zKheagQT0QQ/8bNuTozF3IxjKUaNugF0qh
lrbCrr/K5O0sUaPd07uhzoMMhPVSXPPijNl8MwFEEeeOgCYI0JR7QCxhUHgyxEiJvrzsqkNH6rBp
o1ElNn1xu9uVoYBD6NVrRc65+9iPY+TTJ6PXC2ZAebdnrXwtOwxCnYEEsfJajF/sTJxLUm3KdJey
NeGQ5JPeQRK8lXhzHZcowQDy+bt2JHCkin3dMxGs+mxsUFCpy5zShNL3wrdu7Hy9t/gcpmMfdmCu
3WZ50J1zCSkQxKE8ohmeJIYR1uN0PXoRIpZjxKy2E0iwAVEs2gvQNCXGV4D61HleHadeQxA0uU1g
wdHtW95Dw5sQiSWQal3X88H4d55zhTSxYKaIXYHQxXRnPpuSdmoujV/t6xwaFD5Hq14jYVDzFP6Z
AmwJyH+4J72X8HqJKZqgheB8rDIuKgsDkoClzH3YuAj3W451LyMD+QF4haimfYhpb5tJ7Yeqi+j6
6Fn6gaosKGZAp5QGNaYst3jiCVjz/ksHkZuAEWGAegLMaAVt72s3bTCOOaq9i97ZDhDJcFDi5dm0
PtrulFRVJ4MpFbtqTUpBk2bIYtqNF8vQRay2TGj5x2w5zlADWBAWavsmFbf9VCcTt6bQcg65ipj9
mSxP83TbF0ej7mDL2RcpdEolBghM4mECnbB0fURKK8ysMpG6QM0Vjt7d6nlh6bRxM8pwSGcoS1qU
ajmQ76nWL6KA1m1MjDgDYdk73Q214g4lcDkfEVMB0UvoQMyHzmmoA/sCfcgCbqbKojaDHACKx9G1
oO+hB5ccLMA/GGG8GRm7zxUGTypvA+HCEiLn4UJV+RTKBlHQnvYuM+MCNvM/M9E8E1Mcmxx9DemX
GFz7ccn0RdGAaC4zlcK6U02Hhk5OCKlIMpj5pcyM3DgpzlQGEgPRDhignsuqiEffwd7SMvA6etgs
vod11TQ6amauQm8YzwGJWjvZyCw0InVOehcI+IacBkOK5wGLZjw3/orbmQ/BAHlLyfQOI6pvp7Q4
B0eSyFLgqVnANaRTHlZ8KUPql8Oza8rxfXH6OigKcHK25JFddxs6Q69Xzu2rJmINpDcVcFFTOwBA
VyIzMO1j4PD3c8dfwAUfFMme/VWuUeG6N4zVyMt3I0VGYJu4cSDGS2pdJmiORYD64oHU+bXv1m8+
Q1ylfXoanFcAicDKGzdpuaMDDpQ0RKXwpc9s5DKY4XnQjU4y1sqwMxhnAfpUBcsIBS3xVQFnQ86T
laUHaBBonEGqxu11LyAYCSlDCo8YMBjJLrtik83yUtIWMrUa2z8WIRELMzs3sgM9P3unJT4pYNnZ
9Fq/0BZkZQfGMUjXGs1iJ9gG7aoOwcMNQAdFiJGITcSnIk0aT6PdkvoVxBISNvhUQeKL9zMtDVRl
XrOc35UDNjhamQYC2BWvz3Hl2v4SclG8ZeMcyqq+BKxiwOWZYwprJq6n/7DWIDgZ1frMdodnyBm7
qO3YHqFX5QXIUhKU1CfBRFMOnbhcorFcnxc5EogZdZcY17qEANTacWh50eqXgV5rGi9FL0K5dDzM
RHqJwvMILfXR52iJFoCuWIXd6UvTQe6FjBAZ25U7Xw02kdEAoj2Yhibf5XNF9s6kXgmEvHvZW2fd
ifWohmIJqWthB84lGCln6zM4y60aFYTfupCFN5eUL25oGo9iMLaBTKDliQWiKJiLoQkxDPKt6bv5
SjBypJhuHUB18Tkn05U3YrMErhDqvI+svNUYMuYffOJ/AZMxhPMkwMiN4pY1jGwKqIDwHHZO3DYl
DSUf7nNTxNpAIDBI/2m0/CGGIpfGAjJU5MPY95qrNepnDBUE1fcZjJAXGeBSg0SVBKYOUweJNKEw
BYtbTV9sVIYB1JJTqGWNEs3yuhDCTCTk6KkB/gGzygrJra1pzPPFvjZ+W2xIYfLNYFYTZJO09pgL
tAZVm/E4g+LpRqCqPHcaR+2qwc8ucXaswNTy2es9ih2psOH04DGGfD9a/QgdMx2Pru/PG4SNnGKf
/UevL6H8dNTnuvGsA8iAGNFobAMuvgoG0W+bRvkBARMVCANcpxOyCtMmRW+c2Z8rb8QynA3TCagT
ibCw3GDYeh/keH6CaQaqw5YC1dBj1lsVCiW96ao2D3woF7CPmQwhd6sMRu+UDr26WHZ5+oSRZ1Wy
wumI/WYCAlVZBNoRhmdnXtuE9Ox9zfUMxRKm3mMORFIhWizIejFGvXauQAykt+kK8MIvi8/2kPYH
ivHnGoKzbU2KR8S8isBTRickb6DKWVcU5dKDPLxGfBObDiNxkcQF3QHYJcge7SKx6PTgImUV65u+
TTFaNyytDGu012UXnm83u4VMddhKGzVAmfufVYUXuyt8xj7s08+kkvWZ7cslaOZTXVIxbNO+rQJj
jJd0BYq3GjPYdoW0l7vCGtPzThWfQeDucFNXV1yuT9yMpQxtjDr+1Wz039Bb/9MO/H9se30yNv/z
9hpKxLf6p+vhqc7+2GGfXvp7h43RoVBdYEOFU+0UtfJNh434M/EbnH6Cx//eYdNPwrdtwObgY20q
TnF3f++w7U/gXzHq0AbWDSwezfdfQM5xrI8dNvNdImzXdhyGLIWPTnFh6jaTJKv2pbKGOO0KGedp
XydacRjpK28Nysm7N+V0MWrIVMs829SLQOebTlMwjPQxPVXQfXWYXIeEWVMdpT28z/l6jYHgNIQH
Yg+14RyOUGnd5LAax2MBbb+j1uWGYtIVlJoFjXx/uckRIhakin3ludbQBbEatGW1njPwihGWGQTU
yAcDR2tgTQx6TjTQm2rWZtOesmL8uXoYBnpcLAseLNdvN5CFHOaCY00GWY6CF2KQukDjXmpQ7kPL
Y227Yluk1bV2uAdtjyYox8lzTppkKPJXmzC6qbwa0l29DAGUg6gsBwieSovwrQ0OF22Nh96sQDk8
6AMH+QBdsecFOndJ0DGI2yooUxGd+cyQxB/2GK4XKNmKEDL9ISQlfQAwnJ9BoXK32CNKWGv4opGw
kzRzfRiLeQ7WphxQx0iTGJ1jir2A1sbdrwYLo9HNK5PPEqqB0h/uoQLQUSVqK+ynIYsshXwpS9D9
6oh7OOrVrYJoL+ha+ijQfjqV9wwmhYbjtF7zxo68mRy6jDSRJnxTEGVgsHB3owuJTu+gUiFii9Lj
yabZ20SdW/hpoInyfIib3cnBtdBvrfLrM58gVaNcYARZvCnyASQECDl5QL1RBzlJz8HAVydUOAv1
SdltdehoHRvpJIgTSXi2eiHihFkAF02LE9jeMBCySBsFA+JXEldtfCUFvxqmbgN3ynOW41rrLD8n
0ARHphbIxR4bkPtFPwC7SMvY66Gtahq+RotIp2jS6uBC4HioGbvmJ9WnJsWb03t3fKxeoC7wk9wh
75AqkYjWDOV67w6oJATOQjmiXqzp3USMt2NFepXiZpaivyDd+0nZJzN6kKb0Q0TzbOEJeRKLvYN0
Itvp0bUvMc4NXMKKlT3Nsadn/gTPi5e78UKB/xQ5O2v6Fcv+OFxgytQlqoYhrNsKGL9goSN69ykV
HhRcrX2jYFYJi7V/p1Bngb8hiTPUaVh27K6ebS/gtT52JL/I57Ldlyw9awqDEYy5yCNa1pfKZdmz
kTaJ27q67zN6UZT2FoLU5cuUCxWndoluOm/YXolxDQdoi2MLY6GjdDGXU+cCJXAhekct3zTpHJmm
2qbUi9tVbKB+37HOvuYWwIURSo55KL8opztmlB/AoEEkgyCKyKkmkciikglmr5nQQKl0MKR6Ru9w
XyMK7K5Nqyx0p+Yl73IS1QL9JfGHz/5p3COCUPaDVbMQggx0I121fE4Zgks0965TlWW32sdjVlm5
iCXXQ7gK2m6ZAhtHraoMAAJBLzAtKyw+q5eobrZj4GjtZSEhcBBZdnTR0UdMi2XbFK0AZS5vinHS
2Hhn9E0uxOcg+4tztno+3GXZuyd1+YQpJ++yGzBPChPwDkQxtPctGEMDX3UwZdCmL91i9hX1zfV6
aj24bKcIIFsVlQ3oeTNKHa294SHhQxmgBn4cnEbFfdMDtnCogUgVVhEzzyC6SteEPQMqIHtfRlBd
4uFiY2R6+sq9DM9dV9/WfnXIMgZOVb5ayHQ4UEcsIST9c4KZysP1yKszjiRVgIEFShVv0ZGCiBhm
ILTjHq0v6zT1NqKAeLTKJjitDe4Jdi7cHpHfkEeEo4HsjaSnlde3E+ozGQAJ08FS3fAWXE+Z7+tZ
vOYcnxOP2lvrmT3X4sHPnMdeYG50J0ew2eR9OhFKaOSaeMxhYlsmYIKiOIOjwtug4sXMP8ucN05/
8rpc9zNfgrIv4Oyw+TPPQH/WeQlWtdP4bK4KWwaLf2ahR11RXcd0UiqWrVIbypAQzT0UsW7jb7Ic
ynomh1exrteFUxbRYC1VSMn0ipGR0LHl2Znlrmk8r2pG34xloC77B8CWftRzviFV94CG81moMQ/a
2UbnVMprUnn4buvBzZedb/pIYt5F1NblbT0VMijbEkKgud/Vjn/VyQnWhqW9xDTNhFYsj9DyoLVq
ywvskg2e7wIgMuY8J5j1cU2NlcWZdwJqqbjGYPLNNGGyt69bWMXm7Ab87aPrNO+FO7/QzHIjw+06
HJA8G0J7d4d1CQm06knoZcInsJLalDfU1Jjql2c80e7yGdHfry3sQqHLhhHjFZWMp0Zi+BoMV7B9
oL+WQl4Kt3ok2XpDGtzWYm5uLETQwijpWXuTwQg0Vp2Op3K8q6TrB92k00D307pZkf9dd1AvIFtu
RRSf1492DOulQHdKjg122QjPlBPbaXltuOo3MnVVUJ20jHoxSLgtAZjAJt4EDMnIgYJ9OclQMcCG
0Bw8474gMALTiH3/3OHDHRrvJhJSbanI7lKYKBGGmB65q1Q0DGaKZgt2jhXzUnzEId8NrQ2AvkSU
lU8R/FsKSMrKBuPsYEq4dkWbYvDMCQYalwTRh1DYQre8KRDzmfCF7/sRzHku1psC5jSK6GDI0ZY9
GmQPKKdRmwoLDGBCYKDC9dpgRZsfKsxuDAD3wKThwwdUVPUGFk08in4KOmG+kPVaRstsq8iqMVxZ
uc5947AjHz0W2vZ6Dyo6BNUZdwi8zNZu2cyVfWOleAdHZQT2Dg44FppKbuFRWPwEVHbStFMyDFV6
joh30ADCuundwgdkNDebHn4clHUIgfeXCvPN7OGE//sQpsr7DmqTfM4/M4aJeWJJQN/eaeQibWqI
W/e9XelE2SAPud2jleL2Z2wcecLY6G0d1V57A+5D7FxZ6EE6Fnt0qJORWFv39CAOs3CCasmaoFsH
wC6VeOS5aIMR8fkQcDQgSfR4lZqT+8SX2Wa1RsQOToUFJ2JuB9gN7rJ1fbJcywImQYf4a0H/39Dc
/C8jDk+5Sv+8s7kDafjTQf9pX/MNcyg+UQ/tDFg53wUA/01fwz8Jj6LBZw68LCAI/9HX2KAHmQ3f
DoEcCdSag1/91tf4nzwMo8FvfFdwUId/pauxT9/ne6qb2gRgDZonxikMFxAkfTucRrcq75HNDpIA
XE3UFV2G+0ZpKOU5dS77MmsSG8bwcPKbK0yyYbclfNyQ9rYshpHJDSFN34y9fwNXXdI6HRLXKrbE
jg952dJfWWNXAv7qdlBizBsIrCecTWNfuGXR7vw+VcDsfeXveg0nhxjdPBxG+xq+ZLqDbbffKz4S
GD86OFT68oH3y4K+YsLy5eo7OGRD3jl7pYQVKDY8i7z0txBXFZjmZaVBNfImyDHTI2zMdARqGVsW
rHrp6GOn6l77gu6GrL9AqCrsI87KL4CNAP2VdEpJkA4CwcR92mgnmK2RIBTAB1rnWmMb6xXuUxvA
SoQBNu62m2AMxByE/eDaCGsYs0fjWO57xufs2s08dIAZbFYR7aBjYG5+TW3Pj3ydQ90LyV8Anf9m
wiITYLRMihmMpKsiC4knwUgaGc71ZCcogIYNyt3hYVlTZzfXqnmeMqA5+Nh6X4/kCx2bPKo6tbVh
yCubnmFadpeGY13MIXdYtem56+wHiG/2VVrsV3fGR7DcIgQcR1ERuBd5SnHN7QpO+4yqne8Nj+CQ
7bhLi8OUQx/qV7gmDhyJa0rbPey8JrDU3AQ9wUTNuUIJG8KbW2yhvESRTkd6AMGKHJF0vXTTyo0V
STuU8O6659yAKHQLymJZ1d6B9YKejZOZnjsYGEAn2LXet2YpEvjn4PHIuXU+LGt9Tgfp3KVDBudY
VaVWWHowesOCnRU7dOLL/61pv8obTymx/3xNOzzpn8Kn/I9Izellf0dqnE8CqxOsTgSr2td16+9I
DfvEYYSlnusAkPmqnPkdqfEcR9iAZH5buf6xokEmgb+HTBIuAw/gyl9a0j4KIWwoZVzXs33oLFE6
fEw8Kr0yW8fVl3s5w1roleFSLInYzlOL2Io1Nj+Iy/m4fn443McEJ1JkAhEWOJz35qpys8xvGpyh
GpNvrsFvQs5vhZtAxb5ZpqHGwhbAEPqCs8S4Df/e98u0ZD0Ug61d7SHkSCiDkWhE3AKzYqioT97v
H6Qh/unhcPWoTaF0Ee6HXaGdhpHklFR7xFueZwI64uq5BdeidX4cQJ7+6y8HjO6PX+6bo52SPL8Z
kGY6xFQsJY6W6h4WZT+wrDJ27PoH5/CrqPp3WdevJ9EhgjMXYKAHKez3x3E85AIooF/7Lvd2De/j
yde7fgBBU9lbEEpv6XjvCOt8JMs9nAWA2x8q+Fj/+pf99kOcTsa3X1YD5bGmqdq3BY9zcF+sXDZr
8aOkzJNE7Q/f1YZaiRMHdcfHQQnZiDEJmF5f7X0b0sghjV2ng6FDhhyYHtDFL6t9KXP973y50wOI
W4bB5PMhhkn5CC7KGK6kQ7YZ7D3a/+JM+gcSxT+7XRB1DV+pQHHET3qr786gm02rgcoI3jp9nhZj
1KDI6Gh3+29cKNdGXSawnHkfnwGYHS24B91q/+gZ7LUr4mic5elfH+OrLOsPl+mbg3y49X0LWukG
+RN7CRoTSiYwJjXkSZeGZGor/UU+NBLD95aqFkHvuzcuaZpDV1DwPgqi28y3r4wH9Gy2jYKEd8TO
qKuYNGUkQcpEGJu0s731SzZadAt/63ojoV7qJ/To/lQO1xnmEodAAJZwwDDUG4KYGYSiiWFjwR77
g5Xyzx+/b77rhztfwzMHAa2o9o1WVjRn5l6uLdzOMMIFWYk0ttTcFEOVBYwtb9ncn7mn8z5DpZAP
P8oG/7PH43ST2lhVIbf/mEeGpNBVsRnraTpA+KOtNoAOE7Sody84T7zBhGC9uzhX9o8ezK9xTx8v
+beH/rC2ikrAjDbgvpL4ig6+ann6znNzQrpaCwlOJzB2QXSSdy9bstejZcORTt8R5HcjWpDi//oW
PN1hf/g4LpBjwSDEg3Tw+6eptExjY6ms9gtAIYgCHzuz/GgUxwdB7a8rr+vbTGD/5+iAPhyktSo6
FBhWsAeZs2480tw40nqxa7c4cwwEzXK5BcUAj6Kjj7m0zME2b4T+KMn6dJQ/fNVvPsWpdPhm6VU+
vGZOizVRLiUEgORttN9NTU5iD6Bx9vrl3zizvgexKO4y6n2M0yRwkPXQR2C7MXkf+PL/kXcey3Er
2Z9+lXkBdMAnsEX5oqcoiuIGQTl47/H080HT/1YRrCmEbq8mJu7uKohT6TPP+RkYUD510L8PQomL
16AONlXM/QkGD+J9pEJMH1TpqKDhQLnb+SchdF0HqipD150NXu4XWZ1VQEFtOb0iu9tb9uFyhN+C
rvORoez3nxCzkRky7vNgOqOjqmXfkq5ptqgbdytwB/IXWzFNBwGf17TWG6eXJegaMNSc0Qxvy6ZK
HVsvbtDa+WYXcuA0g/7JDxUQoeOLpAJwKCuBtI14opzyXRsHFPXFQ2cCdCzN5FNvRZ/BWH7vbTte
dZKeolsv+6txGIyNjNvkxtWG+0AGKwGr0RGmSs6q78YF9c+zy+O0+dNudTIx3/ewRA3mONjti931
GIzzS4s8vEYKDAEt46D2oCwHJYgdrx3MBdXKcyerLSuaAume83V+5MFND+CvU+IEZ3TfQ69tYuCE
vFQvD/eHLUclEQLqmXQDQGYhzw6CgRWOZEkcHjOX0huK/Blo0QXDjvfPAHac3zF4UJAk0QVs3fdd
Oogy7YM0C49DNhzGxv/cGBmF6vaLUcsPcIW4NLcLzTobkrQmpAlmgjK/csVlnNSKX4MxDT4l1Dbb
MnXG9r5GkUkRumPBOL7cj2cDappmK8bvRNFsYUZ1hXV504THslQcJe9Wsl+uQqjSHTVVvdip3ZJh
3YcJMvXqScTZRNXwBDDrgPKcChgz1jYRvC890BfWw4d9+n0UQ30/dunU4AaTjWNfHhvQgLkO2Lp3
Coo3Rfvrch+ejcXbSuHZSu167tBgtmoheRXA4Lp4KNvuLucuhlgNMG7pEfWIv92tp5adRJv1Xw9R
PkfTITy64MLR+3NiNV8IoUx37Hd76e8YQgCHsCyUVmczX5eQP41QDTxGYfsz8bONbHevVNy/D1L+
026jI7C3VRmMq0GTR7QqoiW7sLOTRFD9slXZtrX5C7wYUfrijjMNn/lFquurQZMm0cKFu/N0zf/Q
TpvHKZwtlUU37TInm2ac50UV6VJwpLz4iobV2CC8WH2Vgm9/P0NIJ0zJBBuexlwM36WaKLXCDiBg
Z9WmspXnhJy6IxJKi4gUXhspRP/LIc8tbIiaQjUt00Z2dzZNlDzRARYQ0tDVh9zyvuARe0waqvKy
jVhhveEPF0La07Vz3p1kSwzbQp5ct4zZ0w1JUNBlmktMLfgiMgv9BkM8SVbc3vh5/eb5OKl1fQyS
r/B2mUlZRgGi3jfJvoxgjEgJV/YMYyebVarFnuwoQ9dC1zPcnRXqxj3Y7UdNDQrwxOjZetwF3iS5
uyrkHB2rVk22gwYIwMbo0KBmD7DzzevaB4v5OqTpTyXPvnPqv8bM53p0f6D1xkUkkey1m/a7FIFV
qpwIE1WIRZmpDY0DPQKzBC6o6OO9VcMeJeXpVgjomdXXeJLYAvqKrO9NohQ+WMXsQW/DW5Qnb9RY
WsVm/5xHLfCYfnyRZUGZuQd6kZpwZkNInqpamtMBDFCt8n/WVgYnoi1Kx25jathF9AB1PnU8VUZw
JGkPtW9mW7WE+ZiTmB6zrts3DWj8lJpkI/K3UvfuJDn31tDhr9LKVFYa1tEgA5EqtOUMNQUqi7B0
l7y+zi2h0zGfbbTZ0Fq2imLesbfbjT7yzoQfADDXgGlyeUZ/vOKwK52Gmq1WIJEZVtuEAjyop2TI
JFQ5x1FFPqv/GcJaMJL2ycTWbBCgHlP5puF3XP4NU4j5DLdVyM8yiDB0kmYbY23GqjwWdXRE2BHc
bbr3uNP9dyGmhX2yJxVmr3m5VETH1POtNWBlgbBTu9CO3w+Hjw0hzQIJF8NRY/aC5EEL0MiLoqM7
dNedx46eHqGKNl7hWFRIyJ7tmrh4FG1KMbQALgkHqf3mpgO34bajglI9ZWYFPhulmQ50pA+vJ8Pe
MTURxMsDJ8vBCqtGsRmrCN5ycXAj4SGAWIwPva/DdkBZNwe2Se0fgG0Y6F8u9+K57c+eGI//bt9s
rowd8v2l0kXHyGwB/wbZ0TApzSLIFPRajVBPcAXiY2GGnju1ToPOZkeooRuDMUF0rNFQIwmjHeUK
cbzKWzhOzs/CP42bZa8QxhNF2RGHpMRu0IGCQCa63H8fUwwsNg4sFEnQHyC7MdvLY42dpRvt8NiF
Cth75ZAjdrQdjDpehXLlaBN4oazT175LviRt/C1NgmBfGjLoFnQwUJQtl3Kv53v3zy+a7TRoEEaJ
nwfopynaV5PrM8VppHhl5fvlpk8n48el8SfObGlAFB+aaCROqHT71uvgikHI560frnxLdqxmeID2
Buer218OfHZYyaBw79GYunMb4Eb2DSmV4+iIgN8jdKFDxIvyvwsxWxYKKt1dMmbRUR/GBnwABgM2
a/pykHNHAne2/7RjNj0lChDoBSbRkVzxXQ1N00fYpY3iL26QPV4Ode7qTTZIqDa7GKWh2YoT6H/r
iEyx4nTIJ720i5MKeYgbCPMPvfH1crCz7ToJNmtX0bhtqJoKeyUCRj0ZhYqrQfpqqv3CG/rs5nUS
aGr1yRGglhVCdshfcc3+oRWbsDnYobfqknDCcDgloM7LDVuKN7srynreijygYUFqr2TJcCyr2aBD
B8pfPsTlr9K4vRzw40wnr8+7QqhknJBfmPkhKORpLK0yg2MGfNlt7mEsLIzVmSfMFILKojWRqkFd
v+/DpBBVCXo3OLKkbuB0uPBQJ/+SiokPR8bdNbbYaKCaHXkIOMQjURhOMSQLGeuPE/T9z5gNpZuj
2ICOSwCKeMoRxptxNNYN+CQKflxX9b9e3+/DTSN9MnM0ztb/07FY/FzLg3dvd4DKLw/euSaB+LBt
hTyoZs4TsVpd6Z7q0SR4e8dUAQk2duKmNmGKNCq8v16Wd5cjnpsuvJ1kipbke/jvfavCLuOW4E8R
ozFD3jZC52xRJeFDkKk8SvpTV3SSzNbcXgj1/gBVWOpOQhwrmJGf/7INfP60ZjdvA2JkKLp2QP9X
Vz/+u0/PDqyySASMKT4Nr30PisTR9WBhXn3Y+ma/fuq8k3mlejHZj4AQ+fBdtcJN3FZOaD+XWfBP
CnMnNcfZhu42vgIGjoR3UVzrG6AiVbkwmT5cI6amnESYbQzh6A+GZVJHiG76+Ka8yeKF3fvD+pgC
nBQwZ/cUu7VARJlUQ2J7D6Zx9NdhdqWbj8WS+53ynk7y72L0SaTZwHdIoxsWUO5j8RZZ62KED+HU
cBzXqbSwYZ/ttJN66WxYEk0KEKPUqZde8bJOP+XB394Zpk47CTB16skEGzrR+l5EQdYerhSyxUb2
M3N3RbOwHX846WZhZvujq/BmbkuN8o196EGkVU6yz9OdBrArWv+DVXnSotmhimquEZU9XZY8Ug14
u/zxc+uRpJWCKAjwGdOa7SZ+Zei6NwJD4IbojU5zO4ksjp8uBzk3kU+DzCaygZ533PlDfDSaF3Xc
qG/2zi9/WPJCRylLcWbT2PYhlXQhjdnWzC3zJtXeSgyRJWPX7wbvuvG/ivar5O/TbHu5gdMQvLvp
MxuEoXFJ4FSEMDYborgBaF4aNDC7rfD9btfbpN+Cj20Ol+NMu+OHOCeV4tlopQg1poDxqeI1GBqs
zWDhRD77/alAIQPABJUya0c/ti3+ERMCoHXC7peIvv+D339S9Jx9H38jexyn3b+Td/3DGC9NgGki
fegfRGegmJtnbvEoqwaDBa0dWN9ri2BXuq3EoYExoPyABVT/HMPN5QadnXEnZdXZjAO/OSguPLoj
BXtghAd/XWi3TbJUzTk3LhZIFnmSz+eiO9s1A3i1uIOEv68UtrkC3ni5GR++P6XpEXT6nwLVrBlB
JlqpctPwiBZNCajUWziMP+wys+9P8U825SjsFKsNKYBBBMIpQQ2fs+GH2i2U2c624k/NS8y2fqUv
B7XPqHmhT7CzF5rwYaSnJpx8fLbhRwF6DZ7Hx8e6c/Jo1T0hwCDjOLPQiI9n8SzQbI0kXIkTOShD
UDjHoPmslyt8xvINKmtj8AXSdLew5j+cyO/jWbMnVBrCEgdwE+KFwgnwQhFtXNoefxuXvVuXsxiz
fWsUyiiVbRUeLes+bz+JCnrzKsC0tlio1i1MgTmqzhgDkYRi6jz7TkM28fEfrJM/k8CarRNbjzTf
h25zTFF0RMfwvxyK2TJx87qvi2kotPIplfdxufp0+fcvjfVsHwlHdGqVhknsvYE0EY/FkovlUoDZ
nXgcMqkMe6rARbvmCF7hHXC5BWd3kpMRmC3DASsrndQMyxClptZpQIxF972xEGVpGs3WoBVp6ujS
kqMrbZqHwN5fbsTCXmLPlhwMxqSJpuUAxXZ6ZV2V3ddoCaW70IZ5EhBDJ08paoaCN5x9hd7H5TZ8
HGkdrDV0DU4k3eT1/n5L14MMwiYkiWNaVb+a/K3ujFe3+jv33wk5wW3KsuGECFuHgTKbsIUWoho7
Pdj9aLxT6+DazaCFXW7Jx9F4H2M+pbIx75qaGJKwMdK4tTFGCaGVDSH3xqX5e6b2xJvR4LJoWtSL
J8rMu6MQKCx+IyUYbaHrK2CFwMCR296JvSfuq+h+hICmR6hClcnWNJeytuaZbPz78LMFKsIYKWbZ
BCLumQMev9QqJauL1rJrdddJ4AabzogEdPJgbcbscnHthTvExtWJA1uskSh/AcPeIesWPlBjLRDX
mQTi3UHfgyR+HifqeN/5V76CIFE8GE9QSND2cRGSSprbkfvfPs60X43QHpqRAvlgaBvIwntJo3rT
4GVsl9i+uJkHirYd61VmetXaNkE+lpMQdmgpWylJqFumqud4MbhpmKOovKWWSinPPKA8IJxSsWBh
txkk87bb4Zj3HFVVvGkm6RgZowenVdNXFPDQ7vRyCJhx4WR9URw8ITr0WMwUmq+MbEj2ODTFvsmw
vysj+wugwMcwShCkCdWdT+GAvG0Z4jmifaq9DNnwzkZGyi6ach/l/a+EBMEh7Ioc5bwu2qP8mm5T
qXmwsuwhs6oWszS5XclDVDtKaUVr6gEmgoQSYJ1A/RnZ/P8sQXO39+0MyMIkQ5Sk5RoV8K0/SMKB
Jo4gWh1exXZZrsZUflRiWd8pkNuh6SuGE4s4WudKfpNr2qOfoSKkDTSyzu7tGJkrVHisNcS+wkHj
Fplii5JdosPgHjPzrhQxAugaJSHX91A+ieXbMpa+hxIAIm8wf5UV3neNraIQ24OEgeWwAuAd76wc
4zGlt1zEZQIbqaqRyeSN9lYZ1O+WVlY4iQUKcgEDSlRw0LGFhGOqtmG9Qv3hCluCqZAQNOjjIRFn
S8ljYpgkyesIB/AAfv+oSGKb5qa5dVH5QR46y6+9vqp2ugagXDLLHcasqVNpubXSCowxZNGgpKBm
D5AZECxIkNTrBFecvB2fket/aGPA/ZGeoAatT6oFti9WvYpSQz/kPYJ51XPVgYltFNTy0lFK1mFd
RS9tqB+tMb4PW2aRqZTB16QKlGMWlcFW+G281l30nzBrMTZmlNzhR9sh0uRdJSVkdrOK29u2DtxD
5cXyPrGipyqHyRaWHQdBPozbIUlvk0YhRm1+zZBYvK4m0YAxjEADBTXMyzI3sCeFUOYXQb0j7QFO
L6pVtK6ZnCpsWS3P6i2mKFddn9C5diOcsOhfipxfWRky2m4ArwMQ2JXmFhh7hPGdCjq7V4Nk23XZ
gOkGWkF1aT0Xyfgrn5C/OJjWuzaW8Q4BMdugvrXTGn3YmRS6HSy4P6W1/AIgBX7aM553r4aX30g4
BTmaF9xaXRBdB5a+gez6io8YYnx5ZO15WXc3flQN2IOE5jrwkC1QbDxnqLIOeBscUR5wylw9+tnA
z6nBO6DppyjoL0H+N9cZgxo2QqzlJyM86AhuQQCONzp2slg6IzNl+Y++fpVJd2mkHHSTGqdS4Fkm
Y3yVm+V9KnDxymDcDpELZqOuVKrYYDdh5ifbQmq/8HbZm0UbbQuw6Gu8VfDkQo9hVar9szphS3TN
v0ZsLOdnqJNuBp46UYNqCFpWTf0chMlX30CBq2cV+yVVz643Dn35LUR5LEPGSqof29hzt34y/rB6
A8u8IHd61/oUePJrY4l7LcZlZgJeoHiWrPISMb0ya79nEzTDCEWxxkdz31rubThWMsY5MZJf4ksn
hZhTKpq8thWGHk3VGktVqhT4bVwjpXfXuZNNDcIOD1LRo+3okzNDtWATyyJdtVJ+W/Rtsyo1gegH
pJhV0er+xvA6ZSNGpB6M/CWyrW+4HXwmoXBIA9gC7BcoS1sAKPQ8fq08bDdNL4hWiSbfFY0Rr8hl
Hdqhv5ZTkn8VxnrC1DYBMs8IiRCHm6nsSPEooxshQQ628QBwsqj60QkVWau+BtYjo8+XpPtRTXYp
4LK1JOK3psixLqMOugaQOjoY5mCkFvhXrdwfgsb9qvmS75hmc7T6/KUT1pVdqaDASmtX5s1jyg0H
9iKHXTVoL72MaCkIdd/JPOUm98wXVDcBFvboGoLUTHPsIgoQ2lYi38GKRzz+2TaHK4/BKOP8YCsP
ajnc57jIwlLfZkZxa7nltcQJBy6nEJMmy2RUweSrzceoV5MNdNjPSQ2FvMWLcTtWNdmrbCeRVcTZ
a4U2G6atORX69lYY2B3X8lUcWRtVDR1TKVZK5fNbimpnaq50JSxciweubeuot2AM6BsrSh/UOEj2
oJBghMbgWrRxbcgSMhRKYm04n411olQhEDxN3aS42t2UGkE9O6l2bYFjj9xzmA3pbdi3ydHUgpsq
Qi0zRn9lFdegStBGUL5IRYm4PMpXTihpqA/26FSrVUwCri05GmqEzgtUMbEOROhV9wMnhoG7tjvF
vR4BO699tbFXbhMjp2HhJ2Jiaop7F7YcE1f5Bmoyx42IBFC38ipVrlUTBHtnaWh54oK+KttsuNOS
YZ8FxWcrKLamoZq7MqmljWb6yGMDWd9VZYYQj2SDl9NQchsCy9yDYyqc3vNUQFV9uR2yvN31tXzw
s+rZnvxLkTxyXzWUkkp8S151tbjvRc4umFbfMcKztk0R4TiXRnexkQxrfLEiaL9Ruu3l5qWv3JzJ
jwVmL6Pzhz8ziKphbO9kWxGOoaGqV6dIwqaNJW86BATRcENr1Az6b4HcPo1a/tbbun/T9f7Pwgwe
FZzWNjZON5OsTs6aSfZ6McBljk1pM0qc5AhSvvSoE60sBnKl1CNq+eD1tpJQn0t4NEdJK5q9r/TG
zhhwyIwHBWNFcNGIgKLE0STfWqVAzmJEyzcYteyICSXHO/zd684KvufdcBPJ1YPSyu4utDG8Sqtj
MxS/OMBDnGnRrjMGBOjDNLkyEkxxVI02qWYGss3r18UQ5z8VKa8/Ifkg7rCe5I7Yqv42xdQWHrdX
rpUiFWtFJE8IgKCAqyFCanSSvZerlo3OSs1d3qnf/R7lCkOdThpRBMdaDRNyF+GVULo7r4y+h3kQ
bGRUGqjJ5jejj99S1CGVEsiYTNPuHkO/Ml94R3x8mr6/Ws/ST70WhvWk7HIUFpIS7ITyQI09upfM
hRTRmacXZSdknqhz2Bpwo/dPCBJEfaK6PFgyjbFqpz0e4SJl3VjS0tvod8LkfeZGVwDFmzqWB6DV
5jk12GwhhvfEYg7ekxx+0kE+wg0KcKzo6mbHxVe6QnnsRzJw21DHr32ALE5WW+O6NfpfFKwbNMHk
ScI/Cp28TK+Vsn2UuCebjbY3hiLdWEajHkRifkvRVNvmoViHdvQ1w/h1yw3xq1UwewLv2Mv9r0Y3
DmFcfHMN48H01CuepRggyq69ayMUh4BUdrs0M75HLfFdXLpWUseBIXX1z3Y6QlLOEms6VMbpeHF/
nzT1dOh4PnuWPx1EoAwQ6ECsazqiGs6qnjMrkCmPxJxixnScldPBpnHC6dNRh+MnN+Xp+DOnc5Dz
MORcRPD3xeSc1KcDM5+OzvT3ITodp/l0sDacsNF01NJXGzEdvu50DKPqnjy009F8+ZF7Jq34fiBn
k6bp3CQaIwZS/hw3yW0QargIHgIkV4cWCO3nPPgphpfLQc9N1JPJM08tduR81bIxgmPcjdtSGxxb
tDub8/VymDMPeGUqWcgTMlo15rIRaJx3HUQVkgRBfzP2w/2Ao0Vj6U9Jn9ykqKP+k3D4SbPcoY/N
WdalUjVmYNCTiRrdJBm3t8m6BPGZ/had4YVgZ7vQ/q0dCHSOKt37tT5qtYeMVBMcW+VaGL9i5AbK
oN1cbtGU4fiwyE+CzJICYQBIbzSrANqdvKob66UrXk3rMy7rXaY8kaq9HO5jZoqpeBJutlGiOlYV
uMKD7o6wtlJehWUv9NrZNMdpiFlO50+LJipVqz113hczf26LV6+7VrmjaEDG+5BzNGqxlpeQ3OMi
LpZmym+c+qWOnS06fL/wLUsYPb83kAB0V5advcUquKuKi6Ud4X6WTbfPtOoezdg/WCa5lyiSd66K
t2kVYT87XV1DBI/XGHug0jHdb8vppuvW5rdBMu+Sqt7Yo50eMwwoi6ZtuCAUz2Vl2yhMwZLv4OU6
3ijdC+TMUDPj4Q+D4CFA7K81p1S8ed2U9mZSdzJrRBOrkjfCKBm3lSWijWtYB1c3P/WBrWG1g0FM
USAei4IRMv7IgntVeGMOS+Cjc5MeygY0RbQtKefPui2sQk+jtOYfk9K+QTj2FY29a2jDC7XvM9hl
LvJ/4hizPKwIhwT2OXFsV0q3quHju8tl3CqsZON5w2PeoT0WlgHJCNIilWpfV263qS33K2YUo4NK
5k2QqaiUNPqr3ImnQm4/d1r6hnNOhjZSfMM7C//3iDu57Ed3TYGTQye4hmueexMWduGIvICXpYWf
K1nD664uuYxa3iGizZfX3LnLyWlTZxUY3ME8AR/WPxrSt3oKY1lin0vZU/LXJYapTy2qiahu6NA3
3m9Yjd1mZLP84Ijzk4rrvPYchgtFnrPTA2U6zTBsmWvQbE8MzBSdnFbj3mdJL6Wy7wxspaKluti5
TRGSwH+izDbFAvEvzRd6cIz8dDuapPPgf734Opf88kl0D5fH59yeeBpttmFlvZ9b5aiShB71jS/e
vDZb6LWzETQVVxZuc/D0pn8/qcFKauACBR25AETZDVkiJqi3u9yI30fffL+zNWRzIUJpWDfNZllo
xEbcAJc8ti7G60bbGoeuM94Mt9tiR8Ctu6prFH5w+oyoMatN/tCOqC1bqHwi91kHq75PISYbxl1q
xPd9gQI9yu7rIStv40Y7tLWcHDzsOHx0mRFdjuV1nxvbbrBvfd5yKGwrW7cjFaknC8PzG6X+vmXv
yr+TK9+73usESBl0uSkQrCXeKsN9KH+uv1W7bnC0a49cuIMMvwZoERUiuPvJg5CXDBQ/zvv3v2FW
fcwxUZNb8kpHrDe1cofYXLGE1v94lXofYjZJ5IrpEwpCKIGTd7cIV8VrN1+rS+fzx8X1Ps5sCdcc
QfjYUohM3nT3S15VqzH5apESJL06bCLrLq5uRbL3cLioNm21vTxPPy4Fop8wR2dLe6zMkTa24fFF
etaeLn/7bA+efHu2kHVsRlAro+xmpY+pvq8+dc0t9Z3LQc7OhD9B5gcXiywq+pIgarSuDh3p7v1/
F2C2kHGt93UXZ9ejaWI76uDSYC+MwdTHHxbUSRNmkxm9r8SMJ75wV1PbcVFTPIbxpwW04cJAz2mZ
iVELUUyDAau73/MAvdxLZz9vc9xRCOW2Mt/uSjWKo971+bz4xn05/Se//uTzsz0nQKtXhAGfV38h
7Mw97/KvP/MkZBmcfH82BOlYJIM0RCHuwc/qgI/dA/pwkf3GCzxunqE6rUd7qbJ+duFT+OS99pso
O4sZw6ZKc0CgR+VpELepsQ/RwZaelODT5cadH5o/cWYbzCCnDRUE4mDFvXYXBubs8jtpxGz/UDoF
xj210mPh1OYDF8X/7rdPW8zJSZ2WZkFNkd+ef28ddaFjzu5PJ799tj9RrYWN2PDx1F1XNwhAx3hm
7hdFu8510SlreBbGzkWWKwldZDe3j6axG+qFtXdu/zjlcM7u7hXlYOoOVnAsSRqlzZWcv/SpQIlo
YT8/N5FO48wmbNApqOim4BxGHFS64qvmLWyESwFmM1WC8ooq70TpRlXgsxZt/n4ynf7+2VxF33/w
+5bPH+7/iXSGBblPBpFqITUx65owFhRgSAsfB7yzsm27BIWbnnnzI4LtCUFSdF5Ucgbv10HrNmHa
uCPspQEZUA99gp/tVlW+iAGLvKVM57l1cRpsNmEHScHX3IUqhdGfV1JhO+QF1iMHtVgYkLPb7in1
dzYiRSTxuvchXVrZbWJiLZAcjWN4q2btKnXKN6vZ/f0MOI0360Z0Q82hFPCA7fJgPeN0e/nz51b6
6ednj3WqJrU6BDCZg2e3fYvMNUIIC2v9TDrnPYd0WkMnOyLgS7Uf0pDBUVdbDT33Ea0WtdpjmdVJ
q24B239uazmhHc5R0LXaSqBO4DYGHkQu3Rm8b8iIUu693HHnFv5JmDkKzJOLpKYeHB2z4j7Qr5Jm
qSBxdkqf0Cdn94e8lOWhTwkgxI/Q3C6+w89Q4xiWkwCzDaCitJaYAR3VVN+H5+Kxu5Vvyk/V54I6
4+dcX3iDLQzL5K5yOgl8ivB1ocA0bzZm8bOlFh43h6wLFt7JZ+fzCWdythHgn9ZCIYEJOtll5kA0
8C3CFO1vxx56nWaQzddB2VPyfd8WKpSIqDdsneGk7XDrLSFJpx/5fuuc6Hv/4UVqs0VpqGEAsGgi
Lb6owT6WHtyXvr2ud6p5d7khH3uLQNREoHcj2Au0/31D8DC0yIWTDAfasBmvUCPmAffXG9j7GLPV
r1OS1IUgRpivUbR3inRJjeFcK06ZiLMxl9UEB7eBCIfEizZh/5Dj2HS5oz6udh1WAvZV2N5T8JpD
+FXDRVI7JsRz+UX8fUGQ6gdcb4SmMPadf7sxB9vArYRLtV9sJ6fUDje8Mkw2l5vwcT/R34WZHVwm
Dql4KNCEXhEHbo7BJsKBzlhp2C9ejnSus04bNDuy0ONSbIB8VDh1R0KD+Z98/g92VczujrI6tIHU
8Xm3fPWNW2oql3/+uel0go0Vs9Wt62HWggHl+/k1uMLPZt7ekX1diPLxegRuldqIjcYGaonzPSTy
yF+rHntIWoMoCe7NEsgauo0ImlxuzrnROA2kvl/jHVxKy2gZdzVeK9+1cH/58+d66/Tzsy1EiKZR
VTx1eJF419zyGrHRgTJcDrLUhunfT24Q+AtpbTp1Fq5Aq3LyKvn7ZMB7GPFsddg8eFqqk8zZCqGC
6tfwT2btKRZ6tiisHP8qkTGr8jvMKDAL/OseOkUVzBdFFqm4GRv8fpQ3ASsuHN5nBvnd12dLAslY
TEinc6KSoBjVjt5uY39pCM4FOak3i9k2HgHUhXxNENC0jXGbD4e2//uzCEUq7M1NrBIM3M3fz6Ow
0/Bx7ade6u8NXENSdeHyeWaivgswm0aDrkk1Enu8Nz/1+Qb01eVR/niJ4h118vtnk0jyjbLntGAd
SGvM0h8fpSW57rMNOKnGz3aLYMSCMlYYhCERoAqvu+jpchPOB/hP/X0u6VZ6cZh2YmpCuPqyyGA5
10H489HFgnq7Ys0GuMCo1Q4BzB2jt/BLbjjSAeja5QaceQFSIzspLc0GIW41WiBTWjLx6sOPr9u4
+fZWkp7LRR3I87FOyj6z3RXsXjNGqNAc4x+h/SqHP6Thuc3XPqZloQjXwVLjpt8+u3mirvCnBDQb
flf3Wq68nX8s3W0ZPY03MnzC7CD+XZ77/9nlBX4JzgMkOmyO+v+7KcL+rflfu2BmYPnub//HGcH4
l4XCIyqBJupZpsV2+D/OCMa/pimBHpNF9mbaxP5tjGD/y8bwEoUMKLSmosK7+Y8xgv0vtjvEOmzE
UAwyazBb/sLCEgT4u4nCLVjFiEa1dEtF+doEW/Z+J5Wr2paHRqCMpKMU3sXWVa6oGSA241bK4SxF
Yd05owgfbCM6VE304OnusK0i9aeKGdNajCFif+7gtK54RWMcS6Wyf0gz7WhUEQg1i/Kb1uUhdu3J
S5i42rpWo00ucPz2dG+fFBAI5PyzCE3jqGv9fWVoMMX9/s5v+nsFVTYAum2/0sNyj7hih7Utfu9y
ZODjVsliJRr50QTr5kgig5VvF73qFLVW1lejsNdjnKTdyhi84VvtySCmIeogem+Uj6EtfmChi/u4
q/uY0zVDuR7LYudKprgeMrR1I+lzW5KUTYcfRQ0iQbWz69GOso0plcdA2N+KvH9GjAW7RS/PnUFF
WzXvXgM9O6TAxukyI9wUjVz91CaLknYyK/FbcOeWju5PD+Ruj55oNmDTpdwPpmTsAw2BX3jT4Ej7
11xp2lUc5zd97r4V+phvojDFLNFFmDDSb7MW13WvxFUQRMgej4hjVXWHpGt3I7xIPq/KWIpF4n6I
JwWvEJ6KVgA+8cxii7NmvB6rAD34qH/1i+FrUDSJ4wEAXMsxArnrOoaD4mPEsk1GKd9gyYWVOESl
N6PrvwPnk1a6K+NXlYobMx/DT7i4AXs04ihea0EAZlnV1F/h2AePQ+fii6PgHF71Uv0ZtXwFMUle
9G6DI5BpXZuGv1UradNJyb5y9c963Ny7coqYQ3NvjHjrSf2QOJjTb/S6AI7b/MpaYBMq964kC0LM
i9sJS+8/quC567ZWQWNjJR9G+q8hVH+ihIQ6pkqv4avV7TTIISvTFQa21qp45YjRrzN/8DaJ4m8p
LY1H2SC/DAboM9dHZTVIOGOGpaXvg7HdJLwnVmFVvGpeGODs2sN6GoAxj8pYX/mjBhMkLD+Fti6O
eoKFnh+LfB3G+he3znguq9JD3eirRndDh/BY2HfxPRrSYNAH83NaVvum8vV1p+NgGGlyBKB7vJUH
F/O0rHqTImmnCLBSki5t0AL9WVmG72BdfW1kxTZVRL/x9fgrOnJMMReP1gjtRitFRASOQLcW8icR
bvFgXMtBtwqMWsWRzsKdU+TCafXm1++t8K+Ohf/XbL244Pzfd/uv2BU75yxwdP7sz0aP6DqS+PgS
q9xNTzZ6DYMusjO2aYDJ+a0E98cCR0WqnbQ9khXIYU6f+2NWjGwch7gisLUwOZX+Zqc3Z2quUA6m
Wj8rD90lEEG2PbvS5h0LN88z/xiNebv2IkxP+yHWV0D4dQfz9JcMfh90CZXNPK+SldT6163WaU5g
ZDdMk2KLeUi4UjAMXImYHSVzW/8KWp60wwqz3koIaa6G1jPWQx09Au+L9kmGaVVKYpUL+9ruuzdD
glSi4PgETIOrT6t0T2OhOE1a2o4w7MHp29aCiQnafahwQzfUjPu3aX0Z8+KqCvG11fv4thEebOMU
Ak0XYfNdQhuywxRjxyI9dBHUwNbsf4kif8mkHuoR2q8gcVrAfsmvxovtbdh0VyrYg6ObuD+RfPlk
eMq3TMsf0wwbPFhInAhFWqzNrhLYCot42/ki3pW9ajlu2HU4yqqPnamnKzNJHrGu0B3TGjaNMN/c
MluFanDt2dmmafxkHQWIuibxtSYnu0TjuEgs3P/M7FXypTvLMn7+b+7ObDdy5AjXr+IX4CDJ5Aqc
m0MWWVXat5bUuiFa6m7u+86nP1+O7Zme9tjGXB4bsDE2LJWqKhkZ8ce/JF2FQZtZvDWih9xXtZ+6
0bDwuBzvbGUwmzZddu40Uijm/dFejLelG4nXHcNJkAw9ChjnAuFSYOfO9WA1BjIU96UwqRS1nXSH
ru/56yQmH/aCgCMxXlekU1o3XE1De6Y8n8RY3ule/3VvG8Z+F3/ctEK4SREhRH73znKzrqp4LXyh
0hez3eJGV4mM3J94+6qURukhlx0Ibow3j8hrohw7T3+wtjkPvMK50LxpjqTKfRzXLMa9FkPfZiGZ
1sJMc2ute9HaS1iq5MhYZUhqKk1y/jVXMidhMlNZkxuhk7NKn7RVDiXylU9QF3Yf7cKzo6IqCzIr
LcIr7dy9XlWaJYvhD5d4y6XGFZi2Z4pMlX3pNl6LbwR5mKZdzCdyGrsgU2mZIh7JzdSq+zzvzHBs
CJSVhGtWtmf73kjepkzEMbHcW9kWV1xw+3FQ+ZypFntIQOfnHhluOCbT6Ndy1y6cBT/Gbq4fdJX1
qRP6ufX5W0YIqFBpoPMIy3VVCaGzygrVJp7IXllwTk3ytSVQNFXJosaeW35D2GhP6Kij0kd5Lr9k
xJFuGzRalU+KfhhBqsosLQgvdQkx1bzxbSLUtG0mDQ0wOacFgaesZ+9xu9z8KSsRr7jtfaXSUVvb
0fjktwd4Ya9LjCcPmt+jjhzRnbMvVu1elF3+qElrgtE17n4pjR7Bkhwv7ezdHBYZLTtSrLiF3l9p
g+Vvcvs+m11Nruz6Sok5pJPxqRjwkku1/qgjN4W4/Zgs2o2Zrc+c7zsC84yj3tkisqaaDM2sQ7Jh
2E/1zpfULBhtzPNyKXYSp4zFjQ9NK2w/hivrdsZTshfnGOFflcSXtLjtsantx27on7mOP1Hi1iil
jGHUh/ox6+V7KwirAP/Nnzcrvuu9zfM72RSHEQmtjNV9uNrfyXlv/A6ZbdFtNyRnIrJSCty5a2Hu
IsrFaDYJZqXT3ZViV1fa3RrR8qGt6Qa0obnbi/Zce/tXbbJPDarfBvVvoWTAtRIECyUNJrnVRC4B
u3Wr+8BDP7wVCIlL5gWUdUWUpxmth5IbL0p43CCCUoKMkS/QIFbMcX1HCZXTXhaHXYmXt3GZA3Ok
RXFQNvfxcI9gv45GJXoulPy5VkLoEkV0rKTRqxJJT7/qpTulnFYS6kyJqUclq54H0nzRWWuL9jIr
4XWn/IBRYuv6doInCNlWibQ9rY+xNG7vxpaY285+HXJBW1O9eRp09Ql5t5s6sx8PHMVhr8qQ9IXn
WqnB+7oNOqUPz5VSXCIZzy2Co1ulIkeWMoZCKcvxwYv9TInN6clDy9yIuBAOoVXZjJZWqdNdpVOv
0PPFSrleG9spVlr2EVH7iLi9QOS+KbX7li43BfL3Xeng+dCeEqWMr5z4tFXS8T1E855Sz9tWTgFa
UNSnWXq/Ko19gtjeWszukDCUXVijlR0zK4cybqYHZDf2oerNLCSxbLna3b5AtG/TeU1co5pSN+1K
54TFbkIeMdonoVRQPAfXutJFFUohlSKVcpFMpUinJgMN1f6rmkon/cfbqCUdUqtaaa50pb6ylQ5r
V4os0027QCDSEkqtlSvdVqUUXFa+0FQrVVeX7M5t63jDY5c2feYPenHuZXrvtOZxVHowBsLYR1J9
kSmt2KhUY0u6q8DkLIjN+rutlGX1dmsopdmwd/cd0jOzTj56pUUja4BcR6VPK5VSbVGatS5r38ep
u96XxPUrpWuzlcKN51dGzGUfm75D15aIh5hx30hcatH6wKFsuiQNjNx+NrfKuOkNlkxpbFT+Vk+P
cp5esrh70SYk1NparlRVamNATtEz/gKEjfK8dNuMYXr1NqMpPuyTCy5omGynhwNJus+aOcEh39eP
1pLtsSaRPWhqTTvum/w09tvnKh1fSlTNRTlrfNEp0jjMDgq3R79Pv8JoOXgXtoUG2Co4e/wSRAHt
0EQlpjooyRv32uViVjYIiiOml5Qksj6qHflL29QnTenoe4F4nHxhboyYIPdi5HiwtekOemJfidHr
fbmvp2HYsbGzstcejPDgLjbWjOmgRysCG9yIdOugbevL7C1b2K3WRyrjOKiG4RJne/vJro1Ta+B/
19VDSYKmsZwnRxMPrsw7pDE6y5BimbBfoB9yY0MccrM7bSKuoOzEeSiZvM293w/LVj7P9ZofPV1L
Qz3f2iArjNV3VlT9bEJQxCY0cIswvnlmiYtyuXeU7QKbJOTWodN5pMvbZZiKHUOGwXAPw5qGhoHc
W6yWe3LctKVNS81wJQZ66ePmcthld9KclfnLLlCDa2Q0p6W40nL32ehjeXIL/SYt1/t0RjK/FvE7
D+x4mAW54BTyb9XcvbsEkvtNh6EBIQNPezNfY3OWXJTDQDRom5SnWFq8nXSGDh/z7+nCECjq46y/
0tmghw6O1IFrZI9mnX/m886Dzm5v9mQyAnpZcbXoXPBOLpOwbQuBM3HVB1ppXhqTFfbzihXFWPlo
nezbcdy+09XhDueNz8OeGeeOKC+iwc3+rDdg7lYex/5iJgchlqiw5vRY5pYM5tWdDp7spzDvyfnR
Cpsecm8TXJSyzi9t00Pnp6WRWcvvhC/dO837UJObxTTqD02ZB20s7/POTfy9t1Ii3/r4YlvsPRSm
pOkhGz4oLPsh7dJT3zbE3aZnL3kQuTcgLHGYKHf3E5zcYET0GRKlMYaMvrer2Ue6XriM0RsRF3Vu
XFA5rklXeipz+exm267OlO6nS3nv6qX0R7R2RSZvV33ifBubDP/6hHmdffTN0Hwf/48aTD+adusz
ZIO/4mG//7f/b+bQ38BDlTjz70dR/8vfHrIv2vNUJ397+jL9mMr6h9/wz6nU+QUMHQ2ky2CqzHB/
hx9tglltVAjkiSiBBXDnP6ZSoqZdzgP/K8oRXcLf/G0qdYl5FZwy2AQMs3T29l+ZSv8IUyv0UclU
2DFDgNUtw/lpJk2zau9nM3NOjTYd2sFsbhc0nL6Wm1DO0RjyT38tj5KXZGeEqyL2hMzUmIz/tJ3q
a7Ns69JbT14iTrHYQuaY+70v/otrLEv/n5FVXoisTV5CgQG8zT8iq17dZNtaSjpAY3GQnHV2oJwj
iiJxj1UZ62Q1r118rRl98rqSrBsJW+8PPKv2izEQeuLgO3CQuV4/ZaVXIQEw1b4uR6c+rPZ5kgzr
fE7GdUeCyFsy7tYXj2kw2BbzA+u692k2lxfLzrPLpdvq57aakktzKYkOk/NFLhWY6tlufqiqpQsw
3chwxJmeRN45n6pk6Crcedzprk0bvHRswlGcaj3VLizxam/34+g9VWlq+rlZmiHEmtNGjgRQU3kj
oM2GdV0/laNVhDQll1meO4z440UqhthPmv5o6dNzPW0bQ5h70qr0y2hUBx0AAVeVeji4TvrhZdl5
cJI7C3Mfn3iYtyrZjk0xvtNfG8j1ljSox/jgzTmSj6W9GIGck64ZImmOfWChd8FcnbSWPR2Kg+za
OlxNfTkWldGxcbMvS3g5YeGld8zX7/UqPuAi0MM6xLl19qk3r/NpkAhMFgc4M7mNTbxLuyI9zJjS
+G1pfk7d7kpmw7Xt5G+EljyndW34g5iO64blTO0uEY4ze5At/YmozsNWlJPvkNVTxCTm9JuFT4IV
1sN4sznytrXaaJm21wy7h2gYJeCugbhvWNfVJ/P7eZPj7GuZc16a7I0rODB0LSokA/ss8VhCzaw1
Br5Bic3W2Ji2IO/K/rg4YmSibC/qKm6PrqyiFh8pXBiac5rJb91O2hTmPHlgF5oTpob2tdGEHuz9
elOV4jondudklennrNY/xZt8ymSVYwdi7GeZu1HvVEeQ/WsmdayixvHRndJLzZidoPX6x7JI70yv
erXN+RY/2CmikcuYyunJZjNemeNxZmn19klI3JSWHThY8I5RO27hUq0gycb86HEWgCxdM7nyjB7E
ydUfsiq5Xbb1WuT2XW1pl6MkrMetEjpazbgu68G8XlPiKtdE3w4j/QdGRhX+JQM2BZqW2KGwpu4x
d6dP9gKIXmlxfCzaIjtqsSWPWuGBMVTLk1co8yQyhcAy3G/LOGDA0bbi6BbllWbr9w0ambjp+ijT
99PAR+l7nvtRar3Bn0yUBKqoJ6KHWCvsGs45pucevMHhhGw0IObuaFD8C7DxqepecZ/LjhUgIUbP
PdmCtkmLN5/qkRHIi/kPS1Ym7gxFqJvNAWyfkNAFjRfHrSXiPrMOyxwn2EUMN5ub1MHa9vblXpmz
b+L3G9jJyiHWAVs0S5lbrNNFohfdcdeGgsD2/NO86DIwJzkCRMRXXSI0Bm8dmAXlnT9o5bOGH9Yx
61NmKfEgimQL4qGli+S4/yVO0N+r849F86cLQUywXGRr2qdqJKNR5+/WPv9wWd79fQf6Y2z2z3tr
LHVBQFFacu14mK0qPs8PFBRtQ31nufTZ6TLc5o5+1O3iL3Jxf3qJnzkcDkNbNWb6ehoxwQrKZi/9
RugvUref/vN7+Rc9nHolnbUV5jS4QwDq/vHNsItrDGPo11M+M6gLw6NUzjdGvNuBbudxlDfmY4W7
0Enu42mHiepLkZILCpxha2kJp0t8jOZ+P3C+1rxCSdyJHuhvOm61/aVuh7/IPyH33BZEDOAiiEnz
v8Q87qiJk2ox1pNhNQC3L+NUYqXa/JfNvq1OyY/bb/UyWKVjVQjkzcfz01KzKfQpI8hrPWlpfNlI
u43m0apviiq7Ns1ximRqRYPeTYe8IjGlqIbvWeHskRkv94j/MT8iLSrESRopQLIfk3rpaTfxzHL6
ZfGdfZkj0UzWYcaf7jAOblBX8y0KWezprO8El53q3Cv9XSwPmWG9Js14kWxu6Zfz/rAkFGBMixBz
Wal+nGr9qUBv7HdmftjM1Q0yc/o89BUealqzBPj6mHT0Sc48X8sgX8VbolGOGDW5va3hjAj3lr4h
joCAmTz4i52ywrNwG1hEtS+1kLdNS1rT3EdW6tiAJuLRlPGHQ/MzlxX2IKKWx/98KllO/+unTzA9
PY9uOf9CzulMKNW2J9bTbj1oDF6rvMDH8798x3/6IgTEC4k5Fav1n5hMyzBnebHSxuHMwnX/jAaC
G/6/MSAN1aT9fJKU+b/KvYc5+jMJvTfMfqtlTLUw9o6ViHbrsbo9E+yGT1Xe3xpKHSuWMao888mR
QNKLYbdqfHeC1J7C0SnbwG6bgow+fTi7Pehmn6CkKIvJA7wwXv7zZ/9nJ/+Hv/dnNnvqGaU1cz2e
+rX/MnF3Tpp4Xp0Gccj7f36lP7buLust7iEW5p5FrKkLj/KPpScuKlfXjW47mQhQgkp3S3xdZuMI
anFMc/led9V/oYT/2StaTCuWi+Kcxv2nYrdLtrFFy1M9rzy187yzxBK301wy5sbjcZrdf8Rk/G+u
MX8b/pQf8r8fH5+zOv3bXTp9/OngqH72n4Oj9YvjwZNGp26ShKroKT/yVjCtsyQ7OcJ0OYT/XGfq
DJtSOhwKTFmQuDMU/b7OxDadr4/Bkf0j1f+vDI7GT1cfJ84U5GjbHEQ07sSa/lQAiJz1Omsn6a6x
DcQni+k9bn1VPZqjO53GZiuChn/5Df5+aaWxFFgyrIFQdxDJdTKX/lXT9NMYD9isyQfUr3diKr7i
yZMcakf7nObOuUvFl77IrjxRXWdeO/ijux4Ko2fy6GMt2uIKZvHc+23l3W8q4aAeAEhNCb5ErZ5B
ZpVu5W5pKxsxPb32HhPxZq3X89qQAGUqwa3Y/bX0tCCb50cic26SfGj8Gt+hculues9+cAdWR2b7
3rYZD7Owc9+z0keMSs9FUr8J+sdfE0dTvg1sRcwndP/ZcYxFFrQ2OzugqONiyEejsaJZ277a8fIg
MmLUM9dBWy5x/fI0uApVDpsAKswBc+pL3ACuNsd87B12uQagO4r3VynAmLcYn1W2vE5+3Noy2oCi
teUVWc7glJfNUN+WWRo5a/YSC6s6uWVH+zON9e0G6+ewOoIFxzrdNLurQth2SBSxiWGZI42AFVmk
1+mz4WlGMMjOY28bX7pWg9njUB+0tfbwkDPWw1jhXDSZxRCV2KuGSc/ook0YKdjzMhyquR/x2MM5
coE3BIDFOzHEepm76VsTayety/uozNgIDLgwwhIixbBu7O6YzPoN3Jdj1fRlYBbTt9iudX+36i8U
mCryWHseF03/5MXe9oZBl34Cat+ifqAjJoRkDRx7uDAG3QhwWLjPyMFK8vypaYQIDGzr8H18nWfj
rZ8VnQoVh18VWXLMpQ1rarphmHlpSqKdkp0fyOYa6o3hJaFbWVNYGmylExerrCVZv/TN/gythjDV
hWFMaLPpm3RVx7hOysBia5zm5Rgsm8sZspkJOyHfun0iXnNLWh+M0uRQVAOZqqMRdAtunUMVN37Z
Y/cwVmCMUBIYyKBxsY1lmz1mFqtOkte7xa3ugLDFhRB1c4HRmufra3zVl2ZHo2lUV2s9pJFIiuFg
TLEBZ2iTy4PnAHo7HpEDmTbdeUZ735JAMOSYVNv2vLFl7aujqLprMQG9e2lLfPu4t+6VsSa3LVvt
i3g0hicnWe0qmHZrjX6tfv+bNZ4uH6aIUpb8+wKPTOnb3/5v/WN5//3Hfq/tqkUmaoL66fxQ2SGq
kBLtAZJxBmEX/lbZdcVJpIh4knZL4EH5W2HX3V/UKkUXXBE8qcid/kph/0nNpjoJg8kM5osJ+xc2
zU+wWZ6vGJYNjX3uCqyxR/PDqaO2Hl7whvq6etXVjtUMgXos/OonvcZf9ofP6k/GQ6g6P7V8JtQZ
KDeKecyUwh33x8bGJXDX9orCPNuzeF1N+nXJuHhuhy50Jv2jW3E67amgTryfiOP9XHJFiJl11LTb
TuTiH0eMNxW8mTx2dOv2KO3ybZXdcU0miCob4QsxzhenGl8e6B5OgPXbg93Kz2tu7RddlWG8a5fn
1cL5dslHK+jd8oNzvz2X5WYe2hEn1crcoPCn80Vpwa2UqVzDeYVS1+f9fmtN2fipMMvrFfwz2Nql
vxqHbSRPN5vax8KTL9BO7+bWk76VsbNPMBsYndiBdebeSWneFFn1DuOlDRZvixrPxoC3dYHF7COY
3nsuJw1ayUi83rI8zW16MRK94hc9bqrUoA5MUAviHe5o31eZP1qVwCe8u5z6qosyDACfJ7trHqHF
ru/gfgQgLxdGUo/R4A3iqS0s52hOQ/kVVp97r/aGR9YQe9gb7Ox21iPMqPY73fhLBbUOC8zPWHCc
872icokkyEgxb7lX/ZqLlkH4ZfJ04zBkw6sHqhR0kmukry9MyDqBsU9kCWp1c9I3Npmr6MMhwf6k
bhb3OuWif7TWLIkgL1WHKsGq1amz76sx3w1q+zghmMEKecWuFe9mmHp7lNbJQ0P8TSCF/myP+40n
uquxpe7mFYnNbjmczClZQ92pp/sybj+nLbGk3JAH/P0xCYOoIUu3O/dkaOO4yt/rAQy6rLetNG+D
1TQvtxgziLkrT3imDReV9D6lW+YFSZukJ8L2aDkabJUXUZyScXsZ+nHBbTm+ytIaF2DoqIcyW6pg
W2MW0O6NnWomd458c8Z9OxcxnIZ8r61QbttF0/TPvA8vWMGVig23a2vsQA4xw4MAVHD3gFFy7T3V
VahbeYqdeAdKttSN5pfCPcsFAulm9p9lXb0l7vq1MY3hVHJz+9O+39c5tMQKxPIYuyV20M08ntol
TTjueFm6OhSTxb1NkPMEeiqeEjM9T7Z6W1M7ndAePGDwW/pSpvA7ChrOpylDI+o6+9e4SHE9cl2I
rDFcS1OfbyZPexwN2kF7kG0ktIbFcipusdPdfHdNblo3Py4QbOXOBryI9QBhszCXi273nvB6O5iD
vK030rxlmryMZvPCh/R1pjulsRORbhi3dpV8Js76NKXFTVe5vIt1Pm01T8nUx59TmKc0I44MMGs3
DsJMrvdkaw8JFe0w7M7neBqundjAU5ri6G/wnoCMLBEQL/5RD9pd7zpv6e4+WY03hOVi3FUlm3VN
HKsR01oe8fdY2nvgtjY8rbaFeAXEDOi5XRureT+ZXn+ZLsYlNJsMAL+6NgWfzJY4+H7KxQpBJnmC
TW1nq12ttyVGm4dtMqfAsnKeS4FYS58e9Glpw20r+ihOWBW2epz5emPH19manbd5BdyGMKAgzpKS
3X/dqsEK6hpG2ZAIVoK7xOfSeDe2AT9eDPeCplveGIY/3MQk9SZ3ssDwwGHWdfjCNxIHyzg+y5bm
JotXjW4VZD9Xv64u6E68pr5wGn04ohLGQrCp+xNij+Xc7d15xdH0NE+LSm+Xx5EFCsnw6YO5EIhq
be5jn25GAAxoQJIzT8tMkYcPqF1llmq9y/HztG4PicCStGqKpyau7rO9Pws3Gxn2xX4CSIXnJ2oI
IA+Fp/e+YcvPnDuNNPpsCHAYvsoy8yib9Fy4JYTb1PvqlJvN5kNPLqZmE+x/8+WYZ3UXABt0n80k
qw91sdpXg1318J73PlM0yzoYsoaPa+y0wKr2l0aTYWxYT3vceucWh+jQciHfkPrM4lquV71JmoW3
9CGac0YTcuov2JC7/BbFRakXy983bQrTRsKNwm71pOnQDZbCdBBRYeG8CumGi1Eqw+DpytITHUaI
vKi8FpZnfrbNdonaRD45tOG3tciRwGlpEll1aQH0tCtG8eD8+tJ5t8WEcXPO9uQw9M7KWh565l4Y
tyXN/ayJKG2m20TrztvmPjjdeJ9WQ1gRN29N3ivmrTyw1jerX456uS88uOsJI8c0FG6MZ3YtHuPV
1f2SUSTQd07XvCzwxbxUsmXp1DkpNt8Uy1Pc61uwCW+NRK1VRy/tyEgY20e6HfOS3zgcJkIUAqlW
LUvSQQFPzHMxJ4fRSWTI1HVdxNPbNkwfHMJLyYVVNj1tK3vTkKdgxoA5e2WjkZyydTGiteye3SJj
IsWelvbcPjP2XI0CTpA064t236FWWnis6bsDGrttENmMUfMtDHkPuj6vTHFwcvj/uwGC0zt3tffD
2OryWm0rUutLW+UnmvijEKqQ7O79mpih1qfZdV7G24FshE/LVG0Xu5kSg9aUfH+y/raP8oV2O/bJ
DSgewey0s9fi0DwhIJYWNLipaT5pcmjCvmGatYw06AZnDjf2m8FoN/tV0cmv2S68CxdkKNw6eZmS
8fRh7ftjZqTHqk3zYwFXFHd5nR3PtNzJFLs+c3+qpJyg86K9mCS3dNfNH/FlDtltNXDPxkIO1Mw6
e8Y6R/po3qV9Pz3ymS8ncie0aDH0q6aU/akkFg+TRgNOimhf7NwTvie76VEkgLJiIaVlFhbXx1j0
cCnh8vG3F0erGi4ax0gC2ZhHe6/l1VyZ75UpqoMc26uhTN+bZKwfhN48WRNbudlRsSYrvYaRzVd7
s7+sGTNTnq5OwHgHH5higSH9cLX2S0cmApEmVVpQx/p309zumUo7P0uHL8DSbHOd02Y735KxdEN3
kBd6bL7ujcOLdphoCBsByC7LMVpddwz1dcBZvVw4RMtFVl7V8SO8Yn+bxsfVgcjk8LR1XTj27q0r
X/P4wRXLxdp9SdryoS2rBOYfw1OP4w+10v0Se0AVVkJ2wlQ1kbP03I+5uxnwfRKbhdBWhcuCYy43
qB0NfIdiNlgfZsgPUrc1qcUqlga5rbo1ZcQqN0gS7aqxt7Ojdfwl9W2c12UQb057bjoNY0HHukTe
UYSG1lnHeOmRbuCyHOoTbtUwlsj09uCmsRyBjbslD3LK7NMCgZBvEjaRVURjLwJ39dAk2PUnoVXS
R85LfAr7pmDci+s+kfKANKqNMk2kJxRSl2Xqva69aJ7TFDIvZtK48UsNYxI7+7qgG1q7FQwnW+42
KYkuR0ADZ53lg3tstj2EFxaZ8+ZAtFKajuyGD8yOSmKeaVVieiZtmA9GCp6idZN7ICn+EXrSbUJA
kX4kDgX8JsvsyCNe4EBV6iLRLWsg5PRsp+X1TE/ywOrdQuPhfp0M7zQldnNos6mGYjWn2ATsHlWi
zcM5nYgzGCX8VEtcepTgUN+3a6eGEc1HOgVGWp5Ghwoz8wXU/TpctqujB2Ko9CPZLs17L4avKtc3
IFDZ8HUJ58ardDaLdfnQMT+c7UqTwE1pe4K5K8+VMaKG2fMBZGawffAkqlbTiaiUNLy11J+03T06
ueMGVVrJgCwHMhl6e/brbHwdHKqgDW+AiIJe911IeOBiVtAasDYSkipKCLX+DGHHt2Buc9GO6Hbm
oYoSY3T9rG7Hy7lZtAjHzR52lf1l8Kjb1VyhPzBol7UtfRYdvtFrAavUXtObtmOLgrMkhG47Jtm8
yj9iZ6+x6i3vRro2RpRhOnbpiuoRo390+bUfs9WMYZseBpO3N2asyDqW1b4V70vY1OMcNnpyyOfl
w8unG+QRjGjNYJIKtBhhQf0Bypn8kSCmKd6ASbLuYircK7KyOxogdkVsX75bu0VAz/hWFM5xHPeJ
ItGh/ipFUK1AgYbMn6pmvhf64oQ6bFhCD0brkLeQuVZiqv2Y2ULzoLo2BA2VcsMhpDO8w2LTqlvN
SPYQVHwLw0tvLb+X+vgMqX8MWWXRzhuExcxeqCVZKOvprFcfypAEdnAcNHtyWaXERakklGlz75q2
eeyTqTn0o/xicOAxH32NLT6Nkl60nw6919xb8/Y8FvUW7BkCK1B3WLY1ygdr021fF9PjvtNEjqjs
8ap7QwkfJWhztcmJdlzmGfIeu5gzBZ2QJVfpbYHRDufJhT8ZL3Z26CYLzpyujKrSbynMfD9hmwKk
qBOnM23zVauV3ae0K6J46PuwGFs0zLLO/NVU+5RkuR+g1Ab422+HxGnO44A+0J6cB57UUFRssoU0
YaNpzfXYFk96v7yUPVBvn1Tv3moq09DlJHVG8a7ZGROL5esaW2BOXkkIipXy827/fWmdNcKF5Ip1
ZhPtu2kGa17olw1tKe+dvf5fR6H+x+hs/wCdgFf+PVbFHuJvT2nzJ1gVP/Y7VmVaDiCwg0bKNRQm
9c89hPmLCzsNlQz0CQFu8xtaZei/YH1sApZJwgd4DFlR/HMPIX7xSDMSrsVP6q6ivf0FAS242B/g
IrWH0B322SauDwgDdPEzn0wRyvS1Y6uOBtVHohDtOo+0ptlfc309tNV4jp36m15n900tP+sD0WxN
U0SWU8URuO95itdnG00IBnSnzHEe3D3dD1Odv7dGc7X01kc1xc+FFY/hhhbklONvg1hzyU9LHaPI
WLuvOvQxmJfDUaSQgzMvP6zmWPvuUMzfpVdM75XFOqSLlyxI47iMtKlbrjtkmJf14pV3yQaaITLN
u7Raaz83qaZ9yoneAfzyrDOdb/Zo2cl43seZvaUzzBQrsaaDr23wVsqMqcyD2INUdZTRLIvVNxPb
De16cxfYJvSUDKPvXJDXeb1Vx6xSxByF/3YAwYg27rN4uQO8JzLoV6xYocbyVwBZV1jyplDlQuHL
sxEjQmuTa13UYM8KhR4UHt3Na3UnkPMGrA+PEOoU+0dNiLnXHyaFaVd/R7fBuXuFeFPyjCD2hiFy
3ZkEUaGd3LqpI89sslCzXeUybtXMW929KWf3lKMejZhYP5Ututdaz5jq9bKJmkrPL1p97FAOJc8o
hKK+WpiRik9sYT76JX0x2jiEAmuH8VaOZyeVC5qcGd75sLZHfEW9g2NrD6TNZsE8lfG1N68RipQo
sWKc0BG2ITV9xMo2tKpE+Pmazf5W6g+kq2zHYcsZvjyIChDeUgOBmCuDUbOeasd8yTUuhX2FxZMR
T3YY6xvXI9yobUuubw8xG42YX5rDSpyY1fokEBY+NvBXZu6eBw0mFhk2U1AoOdimhGFp3X4d5vxu
RTE2xfU56YcrvQKbQVHmLP+PvTNZjtvI2vat9A1AkQASQ26rCjWwWCyS4rxBUKSEeZ5x9d8DtdUt
yW4pHP/uD29t0zUByHPe0TxNRpcydmM2oyuw2iT0e1AcZD22iyWNGeKkLya1brGrZfhy1iYOtoDz
y8HRZi3Otsl+VBmiP2sxvUV1fW3PIBiNn91Ln+HDwSGnlVjlksT8HCfq7JTZiz+XWLbxrRu469QQ
X2Jf5nvEdodnxkvw4fkz/wBfHmCR1w6RXGEfu4VkwVZjQtyIegCrm1w2P5HuhlFPt9Zi+nM45zfl
YgTMFkugFPmtDPRPFl5BhWeQ3Q3LBC7CLvHdLV1KX3Al9asMpyE67G5tInzr8CD2ixkxWmyJtEbf
hJ2jWFMXy+LASriYGKUZX9WLrXHC3zgsRkeJ45F9KvKmmkNpWOyQuGNgbyou+ZwSARbFj5CfPGoW
G2WbUMfm4qzMR2OT4bTseiWhhjBfUtZ3Oy52THTkLT1RSbvFyqPtysW2Sd4lo35cOMuqjgBwsXeC
EZ6GxfDJJcmbwQIaTtQ/SQEO2anlbHcFlb6Z3cC187ug9zZXEpE9u67ueJXDxZ04YXgprfqNNstD
bdAOhXGFEr9B19bADYw6vnWMVJihlJfVNUKYGM8hG3oJNgMmFxh7U4NKTUZRrEs93sYixHE2mp+c
qGm9oczdPej1IZNVjH2qoMNp+GyA7NEyriTEoXr2XRucrqruHKGjHyzSc1DKyxJr1Lqu2nM+0sBo
adNGTxvs2TxoV7JxwNab9ynqjNXIdqUhr6M3qEeDJ6v3wi2oUmNN2eL5LjcF/tdgbhde0izWqRHK
nZqprKmWngeKk6LdqCrAgmzYYSK9EGF/m5uFZzWjvDUa1/baHFdXYDBoB310Fkkd7yykGmwtZP3a
XAVrCWktw+5WahnVjl1wGlz4W5ec5j0WrXYFCQ3QCyu3kTpSIZ8a2K0t608NSx03SPIkoaD/rcz7
WzzZ/5cTyiJf+N8Tyk1HxMe/7urozzPK8offZhTnA9ME1BwRGoskgn/zbUZBZK/bizoPnYxloXr4
ppXQnQ+IJEzU9440SGJecpL+mFF0+wMU2KJeI3JVggn+Ta3ETyOKgysdfT8GSMOwUXT8xGjVhoOK
vOMsT0NIhu7gysLTok9Zz3lQGR+hftZVVpyoG7nuC2dn1wOC3OomztpNk3enuW0OZBHsUwdGPO9o
ErUDT2fAGIM/BDe4M4LPxV+wb8hBfniv+N8hH0lagNOAm3S/finfyzOVXeqhP1P9NiFku61cf/Q0
MZAUotWeZk4fi7C3NwQ60tVrh9NqiAK5ia34FDfqSGch0itKPeuMhdGhQUUkmrywHEipXDOv8X7L
LW6Zl9Rl6G/SjaBJwLcJ5ajHnLSq8sqcInsleoIwZjtkR7UfZmFFl/1kHBQnYVzyqe0mNMBE9VUU
Fe+GrPt1pFnTrnWdDG+zFVFOGLyM1qidCHd4AqUQW6fscH/LYtsO4Zmrxb+IQ9kcp4GTt3JlvHUa
88YZUAaHCe+1K9sDnu6nZvavIzVpu07G92pE+VT0wGZdrAavN4ZPbrf0Beq+hYvYsbAOzWzqQfAI
soM1ujdu2qyrEU0Dn7qNcF7iRr/wdRHvhNTJVDHwgAE2znu9M9+NUrfXZTtla6hA9va8ec/wK67N
Ody7M61eMjWwJ6KjWNV1iYK4mg5C0V1BQ6y81sI83pcjI1yb9YjPeMJ7dRP7u7JA/j1T6Iop8YhG
/UkLrPqoh8Gt3mJF0jjobEOsqJm5ETWWIWnP+7h2xDqocLC3OcUtQJjbmAySFVoL6ZnUpoBS2Om+
CYOHLCEnwy76j/g7byaGtngVN6N17o2pDI9TA2t0g+qj9aeqWhVtZKLdQezckhJSm9T5Okl6zBRg
hVG0N7Mbml5T1g3zCqh/w3iGZIf02SGq6L0ZzdfR8euLBE9E6IGudw1QVfnijny8IExjzqk5Kh/o
VwRRd1xTPmFKfU3SONv0Ni73zELwH2OMm/3u2Jfg94hNaX+2GhjWuL6PnOC9yQEZtLo5knNvn/zY
vXaH/CFunQeqLzcTdhi6PDFiD+iNNtLNo8uYX75gX18bZKZsJfoJ9B1luBuh12nxNKutMQGpBNMI
IokXXRS4GJqg6daiN+f16CPGV7l4jEofJ20jobCrqiI7x34rWgzeIsegWGGSuRgGk9LcXsS3Q+YW
XpwydwZcB8sCL7fdZLzOWPR2cghmD9ifMSRtovVcal4+4mbXUHEgENPXLQnS1Ew2qyAIxxMQGl3V
NJGsRC1eYLHtctNaTbUReutCkNXnfp4A8eRVs7DZ1mdMmV7ksn344amJ2PSn+ZaSzAu6sFG8PIog
3IbYhiVj5MiXgdZhZ/ZBsA6s6rWzCaSIMhdYuZxvA4dieYCldR97Rcu8uyJ7uvZxlGe3eZzaqyqm
K3NaKACJhpvUzfsgd4FbgWoBhQYU+OmoHSXNGCEm8r7E9xaVhBTwu9yNJtF64/1UH0Ukce6BGvfB
l1Lz77rEObsqWpsk24DM8n6sOypny1UnQglzroMDxuYdo7KXpV8ilq6s0b8IhlGDrrhwLJ+6GeGx
pJ6le8kq/6iibMOiAfunVmm1vFHpg3dXWyey1kN6cCLimKgSdgxzM1hPc6soju0OqLCucYevFd5m
W2+z3WhChrSZJ1L/Pe/jvewfYMmxTAQZqqRcKx6HpLB3ThPufLKLcDV0VAWP01MVusEWayreGbVE
4xgMb9lQfBlLoW39ObxIUwbWAbpAx+S/rrv6pXeiYM3/bfA0CMepMCGRg3RJHUHQAN6c70Kfmmo3
HT9GIWNk6qdczgK0tkkwsziT/hjqPeXSKZlMxF2cKSmsPeyp9k6zONBURdJIVDfdPu4qB6QoPnDa
brqSTCGp4i+x7V4lbuU1qfEl9ZuDk9xWgfMcZCTnatmpGyg/bbC/uOFrGBeXfVyJdV8YqM6iCBgq
Mcz72IXUke1AA63ue04anJX/nLfDMaWLeMVY/U7IEp8x3GHWum2pd9a0stpQBSbX1K5m4JKkB8yo
57Bp0M4aSLHRYuJ+rOHeZJLzgMtutJlKpdkUsUfwTLB1TfGYReY1yCCW3cnCAsPkWLKcCTN5M6h9
WkxNOFNd87FekrrN4oAZihgSkyrqQHnW3LusoDYeqg7Gxin8905nYfL7kvLOsrWOvjvPF1oyXoAp
q20JhXRLtazv5Sxk5AW5/TosxaWl9Ifatc51gEqt4dxtyvzSkcEjwPrNP9jYVx2X9Uts7C58jf7F
jBH+xeT5HTpmf0CAazN3kiIERPb94KkLwyFSiEKxfyNg30S64oNDNxQxRPyBYdEE/Z/B0xAfDPrC
JAIvkDW5DLJ/AxzTHdTD38nnF3AM86gwEIpbOpKuZWL+fpqjzNcaR/jni5haXQzo85Te6bNb3URG
cczLBEZGigoVp9kLoodKHCtZjgqgi4oX+lvFqXNj+yTQnaxVXvXnWA/Uzm9DCsed4FGbwIPqIjsp
SQil9N3Yg4Yk43DOcvvszClLcAiU4deSZJsoaA7EyWunxC0TYthgs3ub1s8EVnzTumzBiTWrHVZy
dWwlBkxkzPEaoCbfhAN51LYWDQcfrnLUtIvawBJJKyAPM2U3W1KMo3PcRWrlq/7GIceEqDx3E6X4
8dCw6h5YleVFegOBwgF8WYqEHvdKOJdllR2SjJgEhMrDyXdQ5bbdfBOFiXuyup4Dd+5Pkex3k6i3
ml+4TLv9J6OKH20CN14YabQ1vK/adghamRz0z5oP+NaiZF7YOp3e+85+DAYUt4FGNnGO9IFckfQq
KW1sSR32yai1L+bGh36OaXGPZINz2yfI2CRGzCgTctUyFeyGeropg+BhMIPk1BaIhOZmbrfogpJd
lZn2jkCZjVWal53qtIuJhxycB9xVPAcHpFDWOhPsGzrOmJuoQvZsaXFMlTbBRK3bvmXD3FwnKt5a
aZs/mD6ajzKIioMc9NdemPzELiRQEVCEKUszPlp9Fbxlcdmhs2iSreaa0SYfsmg3dOQMOD2BKDVP
tJWfEctDjot80WZglsQug11ty/wy7XDG9tVsbcNOkcjBi2wyJBkrs6QFzWm/1jinplrNSQZINyFu
mRyaIOeAw0VUYbiTjjPla91HhtLSi42BLj8n0GkPqTu1G45stUnZ3XeCYIfrdiq0W8Ca8HEm4ZDv
wkqOsWydiz4d2g0Vte6OwD2uuUQXWz9kGkJ1toTP5elFIIIHHYfyH8UE/2z0ixnof2/0C+dAnNuf
n6rLn33b59UHXDT4fnDXCZdn6H8fqxjgeXou3XqYugH//7vPmx9sZfFgJwQfizx29v88VnXjg0PA
p614EuJk4Hn8tx6rvMYPT1VQAd4DaeMEueFuEz/t8zkSWBc/53gQzHl1Nq1TezjWqftOlNhdLvvH
Btx3VRMnOdtBsjEM+fjdF/YXa/ry2P6vKwoAYXkDECwGKaVLltzyBr/zUCZlnFdyQBSbsXy0cGMV
ijtKxdOxPvz6lX5mV76+kkIMjGUfvdvPBsdoDLKkUuN4wAuKkmVSd3mb/eY1/vxpgG2WCAROKk7M
r4fYd5+mqVDhizkeAWnvYXhQQMA5F6iBUMn/+tP81StxMaGadKje1Rcw6PvvDV+r1bvCHQ4NK9Jk
qFdW/kM9NMdGq37zE/35i1uQFD6MA/+FipnB4IeXyiEonFAhhyvci661TmZe/+bT/Ntk9+N1IA2d
cm/JR8KBqi9gznffnN6lbt6HbXtwK324CmP9vhfDAe30W53P/prW92lvzxJ745hDes9dvApr6zJi
XCf2i7PGRmESOuMnTp7cS7Gb8DKMsyNx2FUjFlXf5K77VofQAa3d2721lXr3GVl0sAL+TOE+OM8L
XmGIDTaZLC/OGupLpzTG63JC4xjrJIBmSXtpJyRlpYHzhr6U8KzIOdZReZmlJrKgMbtFdMfylrPm
DUQ0bbUsAeWtUckGWvBFlNqxGPgPAAEtr20LC1tLgn9GJ4RHBZNBwbyAKjLu2hCb9ZKYotT0mdie
W8d2njqx2Fma8sllqxiy7rIrg3GnNKUzjs/a2q3HlMZRtzpPc0TUGUh4bMpyTXYgYbgTI4dflphR
ZjbLJEKKDDZlgEKsXURbPRrP1FeIiVhbV42bzKDgyIpknZasQkwvrLIBoWdhspr88pHSdm0V1E7l
mZlN3Ncod+Go4BbaplqZRrWVBmShS3MYNIa+jZT+sZbZUTTxsAWvQ6iiafDtcXxfDM0z1Pom7LWP
5I9eMw+AF+S2xZapG8nItz1qD2bfUuXugJytCYWXL0ZoWvshwTspiuYqsmYNi3wG6phiiolt7ZSZ
3SM6PLFCKntfh8lubKNoFzbao5a7t6lR4m7hfL9LiJO4glbVnvRIzJ7djjVWWSAwCzieTLDKXQ+z
eGHyQcvbxg/GHNwNAzSX2cafVI4ESowZ8FhvX09MpKHj842HzeCZiW54pSCEMHeQ084kXaVD/lLU
ZDCMLjLKQJu3ZYyQT2JC2xQoWMmIqOgkzT5X5P82Wat7lWu+lj0XZk22so5oD7RUR8zq4k7CBhT5
/GBSfxZtthclbEPS6Geriq4pyyMyM6fLQ1IJWAAu7Ri4It5mtWaTve5Cy/bscrw0qY+HGj3Isd3H
KOy2VsWUVsxgDt2kXWBaLj1NgQa4PXE+XJ8nNF0bJwAIs6sFPUV4x/MQCXWHfNaIrQctFITtWbCF
89R9qlPtYVKkMdtCttiSk5twVh6paHtLzl6IB7pJGU8zN9npQWyuSMe4N3TSPiz5qermY25nd1Nl
lJAZ6U4FobmtZgayznQeEg1sRYaWXNdzdwn8zEeT+rve6Ecumb3JhrzqXO3LZKnPUVZt8qm9zyv0
HA4/ZUNxIbEJnbkewy7bE+M2eI4OKDjWEN+ihle20qYglc2lojve9kqzT0YXfEx9TaHI9XeM7T0x
KT2mAeSKSVMcO+AYCqKRhTl481bIqmYIs343ZOlFgSgTNS77gKUG/RNGt+TdsSvnWlUBPFMCQjRr
Naiuq3uGJJ4lNLthxWAZ7wMVg1nYAgehMaGZ1h7yGbSJBDbJckGmsRh14NxhDJFCVo9DDI1fTgK+
NMJSi/QfJbGRzhtSajSOWDp5ievVz3SbmhtigJ+dqep5SKFGGyx7C9b7HEfgw6Hf7x2fuBkCHjIA
vvEQS0oAhJ7JDdJqRPJ9A7ltJe26FJJpPM0fErx+q3IE1fJVm3si4ZrRNPRTqHtRKPN8JpVOo6E7
S1fjGD7N1ICtYxdTwkQa1lpLpv44jsm96OsZ/ji8H+32IpLadh6Uc5k5xqVN2uWW8JfrNGyQk8cI
u2Yayy6Ra97yAI/XTt6mm7ybXwPgxQta2ckYk26wM+aQ57UbFl4QD+25UxSed828qbv0Lm7SPafq
55iyl03NDL8iGAZJV4iJsCjgER3FYy8f/Kc2DARoon+jBr4B1F/z2s7TQ6oDurvWKPZNoq6cHmUY
ygYTuMlyd22j3xsz6mt3gjSu5mZtOoPwxnGYVlWWuZsqsZBexzTXh4D7wMdij2txG3S9sY5YOBcP
o85jhhh5s91Xkw1XEIg318gAcMqTM/mfcwF+Yza6QIvZzii9gsvZ4Xngy0ty2QP2DfGaJRLkuG3J
nauJ0sn17NKJ5XWpjRdOLndII0JvdqSXDUmwbvvKOVl00n89XsHAOvs9q8nzsWOhw2Dq3dFtMcpw
+mRcQdzgc1P1KFrT66bnHNDL6ZkUkzvHqK8yySJCGgEx8DZ/AsS2RWNwD95TsBdF4XqaqUSdkXfw
HGCpVrH7rCkiZDqbpHejQpNm66hzo6DYJXpK1meEJixA855bwyZftAhzWiBJr+ejnY33hLs+Oja9
JEnCnVk02vPsZtDQqiDYwsyerTG4r2Sdr0fXwsFYxZoHhBBA9sCraqvOd0vCzjAVuhlZxGyLX4LA
fArL9ORHfug1hngPBFcwGdsPWREHmAIMiASRQX1UpLjjIupWqXIPPH891aXnXiMDOUT2WehQsx1W
pAzXqkhyiygmTE+IS0q0A5a2mSwcMZixXqfImbyMhqh1FgX9YRgJXS1pmsfPE7GK5gGIaBeARPSH
trT2hUBO0zcNdjAOIyqY32w/2bEJA1h38WcTdSsiiPlUlljdZDhXHskmzXrMtHAfz6TeIkqathTE
1RskFQQ5y5TYi56PFSfleTSJHYlUfUPyTYzEcL4JF5YApHFgvIUga4nJt6m9q1v/FR6qCYZjDBQq
bEQVCSWFQxaeyUy6UVZ/2+n55dDaUNTZsUhx3adTqLwmc4TX2vKdJ868SYmhJRa0V9wIRe61mfmb
YX2ZW38aOU2L6Zm5c5k57QVx+m7k1NwyQ37ojIdozM421iPQ/Kdy3H8d1P9ZjZcUsv+9Gu9f/3X3
l4Dj8mffVuOF0BYkMAh6KH6OBdAF+4ZDRAO7wFJE+i1PziVPDvTPXRZk+6vm7j9Ut4Mcjx8SqJAu
H0FU2t9ajX9ee8AZIXSIXCNV3SCz46cNK0KYEmiqRlWnTY9c3HduRrVFW1lY1pgk/MF9z53xnOT6
ib+vuHcj7mlUE45FSYC0fltO/bV67/sL9us7khSdCxg/VoCfduXRcjSbIgD7YAfDC7M8R4cMr+uE
nH7fsLtV10K3WhFWCCuuLivIjlVfj7dDMRKSXndP3/2ef7G5/3z7fH03UIcs1IrGQ/On24ecKqHn
g20dNNrKekvfdsmwKZlafv0yf/4ZDFKWeBlBNItBrNmPd6ldmCVnamsfWsyfUAxN8PLrF0Ab8cNj
gA8gFugDuQsXDx/lxxeI63QY8YNYh0HPcdEkm8h8nNKtY18p87Y2+vWvX+7PXxtANvEC4D2gHWg2
fnw56XfcCj7RwW2rUEpL/dZ2c7lN/Ltfv85fXC1SEvkPRkSAjvNV0vr94400b1u0DeETwUI/WldE
vR5J0MTrF8jrboTXJ8avdtrXGlmyWYEbJy07qz8Xv/vE6kewgp0ecQoEAPcloleL0KYfPzOWScsA
sZQHdHPZ1vLp+DBzBO+tr78NhWxYc2vE8oObrOqJqylKpmIn5SgOVpTKCxKQEU7ihrnW/fy+yxmQ
psRt0F+g30fHDmhUNYHXYmNa552V7TBFVOgOdBZcu0w3Q4Qpw8YpxeZt6x4ePTSu40g4BDvuUxe2
hA5PeJAmUsyL6BaNF9nLOZEk1UorcuOQWNZTQugkdsemOMf29ORGDnMzeahCape6NBBLiGnxNXHz
w5IVJQytmV6MWUr+mTI76qBCsaO5BSK3fpLMVSugPVY1CuxWRNFcgqUbEr8TrcW7gXKFu5rFbEVM
9SooAePjVPnrpFVEVduVhRxxujYomiJtsdA26WJVoJIh8HzqrKeMJ0Ege2Pjj2gYLIVoMotYjTPI
4nWfuniPppks9HYmT9wz0kLJDcR5XG3cScX3JMpmfKnFxyFzbpBeXpaOLi+VXMyIM6t35jmhHRQb
FVd0vTtWe9O5UJDrKDaHaV8E4WmIi3MwNcciqclzzxFIsqe/TTIjGTcgtpA2mZNcjOUoFeZzt5jN
2eRHjzWCgL7C6i7kYkpvlfPMUiP5JRIarvL4jQBX0JK6zLZisbWX+NtVNWB0t8UzaRi37WKBJyLz
NlO1sw+r0b1O40qRJF/t4rp4kYb4OEw2e+hiqleLvR5TmbNNUKMC7FC1UGXP+Oj2fjotQp70Nbem
twq3fkxBwkFZrHZRND11i2h/cZXirkXILxZJP6Btsc1R+Y+L3F9H94+tzEDsiBUAfBcvVdu+V6IX
UN28pRTnwEi2GBnvqLORP+4trX3scBmIPD/Bp80rF5EESmuYaBwJRESOa80uDvFiVmg0GjQ7/AvT
YmQgwTtapYu5QVtsDhF+h2oxPjSLBaICOcOWhS2iJSlg5TT+e2AU2yjW67VPiDOpTrG66JzqkAuc
s/RhAPcuposG94VAqRn0DkOesSpxZ/jlC/uIse71MUIo232M+db1yEkQL4hDTKzgQcbGVowlO7A9
sjFoU7UeHRXvHTxmRMveVZpxHbNjIy5Ho1OMltomlYW5KzYQd2fpXYedwtc0oh8TRRZd8+D6ggR/
ViTDTfcJmycABvLIZXUZ+vHSJ7tyHRUm6Ex1NRZas+H+fpOiEytj7ue16klVtAS2Fx20zusz6wUp
l1rncY8gox7ZtEckysZMsNt4tojz3uSGOsPsQPWLDH9Hwj6WDB9LM3yIBJa+ArCfDHo5H8IyUqgl
xx2e0GrlRkAgoVXUh4rCkKzBs27bZL3MGJf2jeFH6JhIhKFNG+zC0pALlal2KPOWI4dwvySlAh2S
adOZ+0yQHUCcJRxSh3Y3d32vdcigVx/L6rW3mvvYso+FBb5Zpjs5GeeCoq2qUtomZzcnPr19IFD/
MqWQKogE+JelnnqzNjxuL546TnnHdHPgcvtEMOdFkNZXo+o+WtHHuXvpuifdYPnKLcy8RfN5nprr
ic10VWv+NhzlBZI7EKde8UXZ2pdGVBeosqC9iJ0lrj95aMMKGVatr5uK7AEbE6LpYB0jbIhcBIsE
52LbYMsPnlPhr0urx7avmfbK7sglbzx6qTxlvnUOkuWhfbcq/VLVTzkJf8r+PGd4queYdIQ2vwjM
8rIMzXcSR9mLfP9jv1iCqGVyygSQnwSYBKMfaZwaSUxJSb53Ua70XH/QY9I9EbjX5LYSr/hUFkXK
LY7SAtT3dgz5rxLS+86j87GvH7VRXaRSu14w0aRt700q/cbwdcYI5iKZn7mKQakjETL9DDc1DfNW
GwI69/apKK9EMB0IHLpnzx8onZ5GltyouSBslmKwlLx3C7WOnuIVKqacR/nIU5iUz6n3n/ChnzoD
W6ZbpfS8TLvMf7MrxKLQxKuEXbBt6l2XhRuswReacD/JMHuuM/QywFoYyM1Vjpapjt6d8rWTb3Y8
POdFc7HADUgay8dmeqHWhJt7/txH6VMlo1syQUP21hjv5xSFGzl1Dz5wLyo29apR8gJb+RoNwbow
c4xXJKvilkSbX8F0VPEtBWF3U/Jx+LSIFLdDLS9Nykjwju7qrD+V/UvAspu1dxy9PB/keOgVUuWY
jX+xN/T9SW8DQmrd/Fgz5Gb2yzQXJEQ18XUUfLJT7oMJW8OYPNgZmif0/Bu7OjuJdd1k1mNBeAPj
zdZoRuQ11lUr0dSF1mPT6bugpUVXGw2eMkigOOsIE1aHPK+e+gyGptVupb9Ji7Ta4fpo6Ooib1+v
cGmtqeDa1QSJbOPODnaT1s6e0xjq4FRpu3EJUaQ1IQ8OdVvbnCVW7xmxq3loUWkXiAR5xil1JmQe
1x6R7CEWdiAaLS7zrZXI+2mM871eUIkGx47gAHnOVHfs4UV5HmTC2W/Zw7opzWdj1Lr9AJL93MwB
aFzaY/DxcScPgB5EFIR7IDXTG+MqWU8qGEioR4yeV8lVoRPhG1b4ncEkJw+hEd9oa+iH0QyQfM2J
w1mQ9rusGS9HDTyMoNH5aKnkrhXMC3rbY1mpvKoySbcaJSgpcRVTRCbh4NvRFQkDdC9NLaKDFqHm
2BrlzjDy8qIfxLZSaodskilpcJwXzLCpN2eEKyIELlsHV94cR4CKS0oX5kuvA1bfh65/qGHkV1Uf
IXafXkhKXsVCeZwnu7Kax7Nfz++9CpCwLdh4UqDKcv7go/5Z2n9dRLl6ffvXZfS5+zOhvfzdt62d
Eko2JamgoBepOVvoN4G69cEwDQx0INQ45kz+zR9buyLqHfU5fjI2/WVtZ0P4Q6CuPrDgs6ewZ9us
KQbM39/QCRGv9NM6hzIdma9agjyRH5FT8+OugYF0sMY674jKbo5OmEkXszsjrt9phrNmeIQOciiU
IoVozufdBFd26UajfUOzBKULNJ+dyQnJubnNq8pOGnyjjV0AC2q7zKRKxJoauMBclARBt66702Dv
HrL0KekmfKDYrz6GyXQiL4DOaDeWD13akyhXcmpt6OmS7w4tFWs5l8fATB4I7rkpG5uhc3wpEEXq
MUHCQ+sVIj+h66YdMth3kjaJQMdQE8grkRibXkcfXGb+uUQTG5BE44SJp2nJhVawMxhl9rlNLEIH
RuB/K2+vCRx/Ncv4E/gmGnGLKdzhgS2C/ouvF8PKEkvcus/GpBr30UqrzsNLv1UZ3YwhwRCRTdyT
Fo2rvMa/VNfqZia5oglBVUseKw2EAqVRT6kDb+LoZ06ry0Y3b0rTIa5HI2h9cTQrko7Q3KZ5dm4j
+0UPqnsd6V8x9Zzlzh6uE9vedNcE1RNFO+ssLe6Lsb83hvaqsEIN/NwgMFsQ2YR3/rWoM+QybZwc
kbF9guVD1j4/Wuj2jZ4nRoYO0omy5zQUBD/gKE80FNA5jmiaiGryS336GvvSo8P86AfFTdI1nMHx
shnFWbJ3g1pwtnc8WrSy2ckWxVJcU5CE+MwNofaKyBn6jXRIJxpjPcE+NdjbvIz2VA6RFEShaRBJ
Av2oOC2b+CCoPHXnciBtiiQr33SuKmagDavYsZkCNoM4vO80ZE06fUar2KJQsSGqqGj3wuc7hXez
e6AVVGszicHEeijUVPXSzkjB0nOhaso4Wng9rDvnRjNC9vrwM0CyZ7va53hyDrDu136fHzOrdGHE
lypItLoYmJNVaZD9T8fMI4zCPXlia12DD1dOf9HQJ8RPbt8qwoRXEUZ7BvDsVTP1bS9wbKIYIMBd
8Bxu3OxUFv5b2dXMlt1wrpVJAWX2sR+67piMWr6L+vI+b8i+MGcbsKis9kA9+a7g/tpAdLFZ5Lp9
5VONc6V8/Nx6P60zxdFiDBUMuua++4MoiZoBudYJ5MGsZr6JurhsyMRZlVF2N2rl0+x20lNWfK+N
1TmafblSyykqCQ8h1VHuYnIVm3h6xSR2YKv+jIyjPWLY9k9WL5lohcW67BI9ZgxkoFedw//aqgH7
WVeStn+EZeAeM4sruniU8oqIhJja8l+mAbF1CWsijeyqC/z4isTOfm2RL/Na2lpxbeVJekBFXW1t
l7uBJ0j94CwNX2amM27UxQSDy2/fo31RRPxcKS1+YV8+6wkIeyRO1CqKmecUofDXXdCeTJWy2QTm
p8nSbghrP6B+0zcj9MmWjxFiF6HjC5+Ov3VjxNdjmDIWaCV8NikTThG8GM4s19oQh7SKTiAWaDyI
KfPvar1vjtD35MlgrrC7TLvQpNOuk3nWd+RX7KOhecULam1G4vtWsjK/mAPbM1pgfRMix2d2tOH8
2fi9pChf8j5zt6ob6RyS8BZc6V9Rrn8OauuX6DqCXqJ398Xrn0/q5Q+/ndT2B+EQN41058doRvmB
56KS0O20U+tLjfR/9bzEJKLjXfRYEqMXx/43I5n6wAHIwU6a3tKywrn/N87pP6OgYOIm2jZ4F0Xe
60+IIL0NETx1T+4UWpvaOrt0QS1dP7/GQH/EHdEMWz++yk9Ya15wJgf2oA5D91r3TyJ7BXPlcfH+
65fRf/NpForje6i19/XIpjVZHRCQxpshwV8xpayJZdiRVTZEXkBjKQGOGJn9vt9Vfvpcq/LNJ4OW
HDQH0T4QBJam8Tcx13/9+YHOdR2FIfHGP74vgyhfA9O8OgTG89eeOfYausSOQ1v9P77ST1MXQIjs
Oovfsx4NtEnGbYAPnRRjzKUl8qLf/K4/z3hff1dUk8yaQPdUPfz0uaoYEBYl1EElGjau9DOSrifR
59dJMbwigbn8ze+L3PIniuDH6+in10uXRLj/Y+/MluNGsi37K/cHkIZ5eI0REZxJUaT4AiMpEfPg
ABzT1/eCqlRJhqKCrezHvmb1UGnKlAcAh8P9nL3XBpLo7cgYUB7kJd+c4k6/Iw9bfFP2BovzH8U+
/HvivrvAg4mLBcwg5IwH17NnMgDNufSXkk86BEdnx9+DHALe4QM0blIyiDrtCB5cGSghPAPlN2e+
0zfw6PvB4yIFyLLoIh+0iqqO6aHwwdtRbyRfmjRDvwZLeHqQ3xtFM0bcRGBJQ5F+x8GSAjKtw2vN
Qxpt80fksU0rldc/HoIThca6OfckjfmA8/4998JgoqmG205RQYTJb7L/ZKYduVEfBpgn4ruWNJCK
OutCBmjqDcHcA9hqOAWnL8I9WK5oxyDlVEmbxaSH+Jep/XGUouEk0dSqu7MrXVJh1PN140z1WqDe
h7K5bapx06CH96bmFnNxsbJNBVs92pElbLRdWXCwEFl37kQJ6UT6vT3Wi046fkY2HBWhFZTwR80M
g5UZ1uEioIjBRhO121ej7q/cISd2jlJnxQluKUZYX1Wtk+w3GeEKBNODa5CEqnb2dEm2bmUgjCBc
YlHZ1Butqn/GOhyup9n2H1SSlgdXeiWkykEGU0L/QCaWfcdNa8/mT5+vs6WindTu7CGZlkHPniug
ZQCDzXFv+5FdN2Ah3JdKmRLvLDAtRKRmmAllZEE9nFSlof0eBdwro+yzx6Buk21WCPJBQ7CWLbFV
jhlDzTRLQa+QvWAFS2STqkQ5iC5S6KbREKV0vq17szwfg9Sj4kiEA8Kthe4oFhSVluy+vO8AQAzx
pdnEMbQwp8U2DEczrrX5w1HZFbw+iZgl1tGaGfFVW+Ix6Gvb70g9XVtR3K1VbbwTHSCCdhikLzvk
h1YV+KI1MNaCQdMduU3yXHtQSuuHPSaCqNj6baB551daMZ63hBtRLR9yIqWgabBnNTdlp4nLxkgl
B7Caltrk+SpZsa9IEgmShpGGi++Bl/JbZ7gbgtdwNTRx0i4DpXxRcu27rtTEBVa4+eo0/9phIcNV
OHBWTLdYQtI3WQUlRl0LG8uA9hd4z2Vt1+LS5SRFfYco8CrrszVuyHrhhuNZPiMLvADXW0XsFQqm
BDOxWa/IWKQcmlX4cNEiLczMiNbwjM3F0CALprxanAV9lb1wDGPpzkS5iNLYQyTEIUq0SNhSqyXC
2q3Dy0zhbwdfSFQvTTB3ZGMSGv23YYg3hkJrveeLBCuWT3wEsGHhZmQ+xcpXs8r9tojcF1fpX7S4
KlYYSctNlfaEhaYRB8528ImEvLHCUtK04JAygbgtQbreydK8LnWlW+UxabGgUQHDmOq9GpfDTmuN
t3yYxGZQyOhVM0UFpdEAm4o1nf4pCB6riV7ENJfLXbwwbkc6QBE0IQUPwzprMvKSm6zcRq1CPk5X
b4eB00YCJIKdeoN7WfEUyBuQmbUQsaGlEgkuQu1e0iig0kAJPXbcEbQH8i08uFBH7JYYOgw/RhQZ
25Rk9bJylfMExZ7XUqsrJvuJrmC4MGBMby29+4KGDZtKwzkJ41I0k/a9du4g2MnLIBtlkUsvvOJh
5TvHjLqLqG7y2yq1zXVWsEyUoxnsu2Zq0Epl8TaNhoBmnmr5VttAIjLE9UB3h54VAbZudC4n1oB8
oCuD/zzW5sh0R/s6FpEfxsobF+WnSU7fT5pvWjTpa2kAnhbqdVh6JDGr2BfH3HkIRIU4KSl5hTIv
vE7S3Fyncy27dTfgPeIlBSP4MbMd0h77neu0u4bsb6KqozsOfPbSGWCLx13vLZKk/Vr37dnoqs1a
90bcPVEoUKYqW5qHGYw2B8mdEFdJOUKu7Hkz1My6nCDi7GVCtlEdmnSj3dhdZq71OCjG69TKL7Zi
3HY2AfIsriyeUn/MjOm7HEwPCDB5uaDZbEKlqwjNtgvVRimyzTDyfgLSZUYm4IUljB4MqeQl611w
ps/FXzmQ/dmVxrQwPRGf9xkMA0Dg0XVvOBe2Hd1g2N+TeV1vZAgjiShf1km+M7Qxs2w5aXJluNKl
LeqSOiTIKMvY1O/H0PQJUp2X301Qz/iHFnswajtU9DGCXYxbcQQNYOrN/RBwcu679r6vW8RvhQlU
Wlr7CUzDotbiczSJs+/VRm4ffXWV0Vqrk8T5q6P8tXh/fSrxgE8lVxWD6qQNNay02nrAHnFJnxYi
t128eMQzoIel9FF7QUz3Gwft1GbTLsZTvJkaaBAuFfe1kN51H3uPVlN/gYLUrgr4tWWDaI7oBroa
lq3um4wSQ9M2D1OF3x4xJWBUSVRc6AYEhQ91PkPuUspJHaDMsYkuY5OwdQu0H4IHga5TyC+W2hIk
Ikxl3dKiDpPupnUNv2wSrLVx/aqPcw2EBGPq+1dTNqHDg8Ng6d5tGYD6y4wZ2tczJ4T2UlnIKXqA
24AIvWc0/n6c588T+CBUsQ5FC619rJ0OCbFFrMlM2bbrcisc6zIVRNGW6Q0ReT8UQOirCbZT5sEE
pBBWjySjFEaSYCpvL6Oqpb6Y9t69Q02Ab4Pd+NoczSjaCkjfFL55mRxWUV3RWHSsizoJH/kJV6Yl
iWcOBA+/AgOvj+GwitP02ZvSJ0MlJWLI96aB0r1rqHpZVnftltG+HCk3lsNjU6fAniyYonz8rBj8
EJ+4Lj6LgWlHwbxQkVhtsI+tnpQeDpPjUQZUKr8NYUdb6lcj8egewiazjWQvAu9azUYUHt26T52L
FvgX2ne6/tF3Q93IYrxxc20Fg61KXRU2Vb9SDOUisoJ95bqXShtsC6ygnFD8gdsuSaZw6/7cnnZp
+XUKoh4XhKUvxjYrfRvTvDPBGwckpmbaN1eW2UKvjWtcp/ek+fUBYZ7KXEztxFuLagsBWbfNWGFa
si5CRwMRQWqww86sgNuqVMhc8JuPlbodscWCL+jVGx3tQVAUZ8jCfexPETAMbA9Mjpxf6TU7bbwS
DWYO3tEweVbc0a+CRyW4JPwA+yBUsMra5EXAxqa/M0b5oxJMmZIpzh4GDluvequEXlk3VQ+D5rtI
o0juLUtzonE9KCtiN5AHED0aDM6FSKw3Ir0WRj3tQS5/j0Esso6ot13PbJmR1eyCw303WjZeRe97
4gK21iFcj6a+TaLq3GryZunNEOy81r4lMxbbUsCEQwmr8fsup5mcPc0M7QiYNtF1sHJTGKMJrW7Z
30LQ+hbN/G1F1aHM4jBZ5MC5iz40FmLmdbdmcGf0ELy1MrklztGjTQ3du67Gy37mfY8RN2wmgLsz
CzycqeD2zAfnH/c5cvLZaw0cAU7AciRDmR0aLlOKxF8FqhDAadVzXmjTpgwN+pRAJ5ZKPb72VvuU
zaxyvUIInusvxFSjfkD9Ae6Lv25gaeZDW36Ht55tUoIMFkOHWTQCia7ObPRypqQHCYl7IsKurM4M
daHJ2zTrCenT4s3wk7OuwXAwICEkPyHstcM+0qEpsh5mRrupzip2sO2jacSLsNdngzIYlcG8KbD/
uDPrfZqp724JooMK6bREN/GSzWx4xBFbyX407XUsC0azDsHIC3DydeNdo7R6DSNNRWnvgGgNUR3Y
M4Ve18VFDZbelCbf1plUP4GsB+2ir4yZYt+GbCGQnTwNM+FeuDPrPvIQomSXfR3uHGD46LquYuD4
tYq+UQmc77REHpwmfpicFteNsK4UwPq2rXzRAO3r5Mjod4p75SBv4TtWXnpJtnVA8xczo98OtKtp
pvbTnaw2kQsgvQXpb4D259sDwWum/TP1SBhNh+96ipQlmTMB9J/xAHrVUeMmMkBpKzbZ6Mf8PqPE
T6yAUlC0twgaUKvuTLgkD7QEhi+VQG/93CpB5M0JBU4j+5WuajdDXLJQy6DxCSr/npjlE8nY3/Q5
6WBInV03Zx/Y8/qs/gxESJo1srlopc9xCV6uEuA7RygkmKYXmZSX/JUeEoL2q0neQmG11jqZIxiw
S4+7MrWfaKLwV5HTEJvuRToHN1iSCIdoDnPoE++8SbJ+pzTjg4i5porkh2hE8KAg6PLDkVgIiWHb
TQmKqLXcF11ir0YyJICUYXWS7t6Fo9wQ140Aj5qPPkdPdGRQJIUlF/EcSxGSTwFu45tFgtBN3+UD
viZCLE6fbfUjRQCqDJQa/l0ZOigCJIGcCtuhMhR1SzVZEaoBEiNdl/fBKiLN4xYVxoK8lRWFxwu4
QjfxJt6Axdtpa+ffxcf/LU17VC3+u/B7Xvr+ZyXLIvy9Nj3/l3/XpilAUGsmcU0HO0Gl41cXGWKZ
gROZ3jIy758l6F/ab+0v+ir8z6DBCxt+po/9qk6rNKUNGGCoyVmULN34k+o0luCDih9tan4cv8Pi
9Ekc0UHFz8tGJZOx6vgygZ8niIyQ8bjLGuPWbOVVPgQ/XJvJnlg5oiGceGHeZmdmiqyyj5GaNQ7o
iNrTHuJAZdsnc33RqeWtNOoGZrXma2oDaDOvb2U/JWvSQe/gu6waMT5Igj9AhIeL3HIQyVnFNxQW
P6aQQoPo0JzGfO+B2d8RzcmuHhbAwgg7j8AN61at7Et7qFGsifu2za8ifVgbjaPD9eJHeKmBK8Wl
c8eZGE27cWnDcCD4Z1wMQJUWo51vnDz2VpMOfDSzSb5zW3lhan0ALz+/VFzLl2lSbYpYPw9tV/pd
UKnL1iudRTAmzjoxdHtbJfXtIIkQ6UbvHAgiTfJKc29DE26UxM3mI8DVrwiLX8uol9eV7NoNoUUJ
KdQyW6sqy0JCPDmuLC3fpIV3pWMtXTk6Bht7HDS6YCTgOZEaLVkBzjOFWGxHzw1shmA78oI9AmHc
b8LOVppHG73Smnusfk+KyWlodNONg5R40XsRS6D+VUc9vQpQFPJf4kdq8q5awVm8E7ITPv38HwRT
3HFUQNqHdAwZcXOTzDDSKILVHTcEnuuQmVjKtqHCtpTP3XkYFDdeZl6F+bgtppaVME7eHLAeSmBs
oHRcxmp+pmXqbaVYWyTAKw90Z1+138Y2vnTbcNPzAalnPkcmz2xOnKkybKayoONpK9/HTPhmE1xW
bbTyLPcr+xlmg0okJxeSTNGuD5T7IC98kG8+3Ry2Is30LUD9ECnNMyeI2960bxPRrUO61Z3d7cra
3KYDB+lkggLeVbvICl9cE44KZHxl1aFm3AYBGHox9g+Iz25iCiKrVs/bOb2AvrumA28TvUbcWmBv
JnwQGODTldkiBmomvnJYnc0RAlGhcJYMnXyje+5DWwmqat0zYdOPaY5Lyx3rR4G2MhTdhduJfex6
fGRQmsGivIPtf+0qEwfYPLjp0/gqonDFSfq7k1hIjtVKbnRGX8dtlSEgGk30FSgFHKYlB8cyWXFi
z0kyLDq2iBjnsk4jw3YQOCbwUK31Sn9Iqmqgv80kgi8aLcKmuAQWh6oOXXmlxQNCS8i5gcVGMHQx
71LFCDZaRsCBWdi0r9uazmeEHH3i7Vv0LUWKIqu+ZGOwQojW4lUvHjOwGwjVItNdVBLtKVXUvt3n
VLrqKFfxrSLjZaV8zc3qahqULcsOiUtxf1WJ4IdtcvYbY2vXGta1OmeTEGculvk49Bcc1pCQulNx
BYCkWHO6DZaxUVxYKiZxdK7FpiRlcllhztsa+KKXqTHE656wLKpevBbobCmZEDU2IdVUy3PLUJqN
Y7CvTWW3A4Is7pDgc1siqca7VM1ecJsal0GViytbIdnAbIAp9x0fVtd8zrCkCna1i6xT+k2rBM1N
4eARJxL3oiZHexk3CpnJiqNucm3SXmUY1/tYg/YOzY46n+3WDgK0pCPduM2I/ir6+InMmeA2SeV9
0tB1cSLxis1sC3cKBN5QnUGqzdD3TgkOEesC2fKLZdU3SZmjDQ9uRTNeUxvaSQhwWhsV+7IXOK4D
+9wp9C8ahyAA2iuZefet0oOGMKgZNy4SGqITzieMKeuoIfbCjvuHwS4w3BTuypjYOJW9QXrEHMpV
egLemtdzFxGUKLN9LoUTFkY5zfBRkuk4+6NVvYypcTN/ZFZ/kcSnNCVRAl3UZWgeRLWukOwvNS+5
BogXzKoOl9qc8aIowzfMJE/ge7GmNI+jpV0RxmatBHHq7KBrdMJJQWdTymlV1FOHRp+qEKBz6wKe
MREYGvoWbU8/UluPXkzQS2ihKmE+6F1GGPHIE0Z9so4wahDzVjvnY4FFuwYNBgp4JDUpI/gnVc1u
06vtRAgR5UChlxROs+KO8OYLTyPFAJWgxsQp7hxDklxGTvyFrMyCQDcFBjO1dqq8N6TypTvu87g0
nThZCvAKeUOfdM6bX0SljH0x1LVvlqa2cuFFrnUBE02zh4curuN7AMr5PhEjVTnUssthonLRl5ck
JIwLq2OPYfEq2ik1gTow3tCN70032GuFOpJuOk1bo3fPi1B+TQv1hRPAs5T5rd7z2GPK2CxiM2Xt
vmDHjOQnWYaBvP25G/rfbeEMO/nv28Kz+EfxP1vcyUe2hfN/+WtbaP1lsYlzDNv2/q0/+LUtNGaO
Dk4wzWV3aJns/X5tC9W/sHDN0BBwOZqOl/M/20I0Cw4aewKYLA7WGqiZP9oWHm4KNYsYY8/W2YRq
DHXQ/stySoq5PXa+FaZP7D3YTWRn727K/4Wpjmad8y9dhKexlXUOWnN05VJSc0TnB0Rf1ZIyqoMv
QrGgX/2Tgea9LbBhamoHA2V93+hdESPoqccv8z6m6h02JV74T8bhSTqY3hwN4+LHXqPSEckj1Kzz
UwLvNwFasDGd7DXfj09EGIcnv593jt4vKZvwkTwOAB9ap3JIPWG3Zedjs18LNbmvPHF3+p79fMDv
DZj/GoPTJQhmgzl1cNOqFmVDhJjaN/LiWmDDAHCyVJvpVTU6bDOx84NgwmeISRHZmihNBNyU0z/h
sGfPL3BVrs6hfGbwfw6uEvlnHQTSkT5abcD3ZOfmN1Va3GXjJyfpzwY6OADpRo0KUoSd35sUEJ0Z
HO7QBCVPdFEVYn36qnhBP+grfl6VMZs7MdUhMjp4sRxV5HSidekb4MxLdZ8ZhP2JT3rrR6/IIGae
dUB1uHcfJ4iSTmiNCqPzyVek1nauIX7TG5JiEPH/k8v5z0jGgRzISGoQ9BhqfA/m7KrOh8ep79B5
iuzm9ECseUfuGzt9TeNTbhzSuC1ofXVU9sx59qWOVNZVF3MgYdNAWIBVbE6PdvQp/SROof5CQDb/
+TtxAmkFcG05sfmK9C71kIxoeuWPql7dnx7n6FW9G2d+kO/GcQoanyJKWWapdHrtg9Wb286hZmx2
Ozv/ZJ4fvyiPRRC2pGoe8scSUXdZIcHzK5a4hMry2HBuLJz6+vQ1/T6Mg/Zl9m5j3UYEc3Dv+nqo
KtvIO1qncjUoj1JHFiCsTybe/FJ+XJ8c8mNUZO/WTJabbfPv79yElb13dV5aCBArTc3Wiga92D4P
aNdqiF/j7Or0Zf3+qD4OOC/K7x6V2sIjFjFfERF35mb0YITXdfKaUAmBQqlctWSHr04P+fs677gq
6htbNdzZN3BwjaXbaFarBdKPdZpgau0RzcvJ8k8H4W92+M5bIOm4pQcLUhbk+QD1lxtZOq+lSTZJ
A+rl9Bi/r0fzGN5P+t9sz57v7bt7Z066kjRxhL9GA4rd3ujpS0X0YhV+Joz6bKCDpZzakTmFXdH5
tfGq0AHGE8uZ5K40nk9f0O9znLlH4Q5cwmzpONy72AkCfCxH3LRc35UqKh58wQ/dID+ZAcfHYV+H
pJFar37wLgVd7UkzwBDFPmClScJhALkq4Ser3ZG7xtX8Pcr85+8ejyhKT+d01vlq3HMkexIxR26O
giE4mH9w3ywwCi41Q9IKDmZ0bWClRrrCRCih3pdFco+84Tmr5fr0OL+/rDwfBvEQ4ME9OcRHtKTo
TSSpdX43orJ5swtqRvQRREV0qv7H+1jPpHzLBLd0LuxQeWrTMy4trDJ+CKCf5ttsnifrUAmD4M9n
A9lcUA4AKjDnDsGBQF7TruvpJBhT9sqFPGSa9tbq7svpm/f7soO9++9h9INvOlw5kbpm1PhDRy9T
CMqmcWK5fz4VPoxysO6kQ+WiW4kbOrjsHmf/HQj7vp62py/myNxmGGCkGLFYeg6/RqUaxgPRYg3C
L8oEyMex73nWZeiYNxUIntODzfuqjx+l+c79PdjBi4TAL4bVrNQ+Nu9ljxxJmLTCo+cE96qQxdqw
iT2Sn9zIo1cI2JTugk3O2yG8RRstb05zavzUIiQ8jOl1ZsI4n9TkLKHe98kc/Gy0gxWWMHElCRsi
yVXKmrj79eZbmfX02b1PvhlHlj4cKBjbeGFw2R3CUEh3zjqBbgtaAE3j2tgpCpIbw/hkU8Tx7NhD
+3sg7WC681YXQ22wltt9QPvYA1254E0GWjy7ZEqFXFKtUZawJeVMQpBnrYzfPHw1rqY+k2exx7hD
aDXOG6jvI2kWmHEm2VwFuHOQrpnrEb8Obqkv9WzgaSJxLnH0RAbtung2+eiNXa3D0CMVBaCAHqPY
c0BsLAPcQRD0mkvHbOwLN6KyTk55s4qtuNw6Krnds8Eon61GcVHcJ7P5CD2dPAuc6kKq+pmn1vdZ
j467DYjIUMsLERMM0qLHWfTjhASFCpYuq+doNjxVoUBGPObnkYeYJ0wVrCzFtZ3q7VKa9NEbCXrE
jG7zirTdbrAfQvA8K4tuAkCcyN1j6bvThGtxsyZC6CdAasBm2jV6GKINGvGEOr+j9N6tDama/qSA
aS5N2A5OFt03SFIWTO5pn1uE3OoGSTlTa55nQ+o+2U5i+3VYaBC7q35r6CCH+hS4xpToP5RKe3O0
vIJ0OiACYb2SSnDjOPDLs5JoC1mTRt2h54xU+Wa14sWLxnUwkCGRWXiuwIpeB3G1szJ53RTOfafk
vuwJ5rYImR2Dcw9gh03kH+KXUduropH3g6PUO4ij6IErDxs54chvZoxcRC/iLFuFYIuUs9qNyKPA
E982XpPcpjJx9j3/fgcFZwaKBKXDI9cVMHhwuTGFt4RMoFF3lm5IZybNJRXOBt3bBM915+WdeRGy
v6zX1JOXpTb+IFTEoy6aB2tq9Lp9VWr2BRFgk/m1Q5Z7ZfRVEywUopgReCUY7klKPo8mMpUlyrJd
2iJgAg+EYkNm2NI4giPusCid5p1dPdAs9NAc6yTMavZo3GRVQLyFiRygi+1pE5eRtbUTFAfVJNxn
4mHIN5PY2JFaarRQTHWdu42xsclD71Cfmn4IaQ2vXupZG2NIqtspdsqtNRImXCUwOcM0It6rP1dG
dZU27OfHCj3bqHh3SFLcxZR0W2sq34LchKHqpDXOEuJVx7D7YuTM2i6uzmSmr1A9rlLKxWmVYVud
nIHuAbDNx7SmQo+A+2yCwbEOsz7ftInc01o0VslIDmoBxmHdNQADnD4qvjta860yYEQkwMf5l+1q
BC0/1HtRerDY6Vo2tndPZdzvyX4q9e7MNIo1W/UzO+0f6Dd8YyXe6LV3BksKcJb6VBjxCxSK29xC
xtJ7/Zd4/ocWvCXeAHMla7GZRu1JN7Gj9+IsDdqbXLEJT+VsSkgKwYfVuLbaQVuyjuUkx7jRCrf7
XSrLx1CDtOhO8Pmj4THKmmKFZTFEhOc0t42ItUVj4WUD5ZkS3DckZyYtHgTG3Xine4PbcWaCGDTY
jbUPrcwO1lHUGdeiiaJHAYBvN6DX2QhRkFLnUg7fAzUJfQyKt/xwTbswovF+opou8v4HkmFk61m4
odN6XVA9PCOcY99P0TZRG/e609wzqpeXfY88t6nabuW4w0MUDgin3PBLKai75I6GVM4pr0fbbfHr
0SOdyHm+MYexH5e2xWFvPaaRtS5lO91R/WhWk1Mamx7k3SbnVdvVk0gfwJ5a27aoO4uSfhemPnwq
42srhSGXwqOLlKR0v2iyE2/Te2cT+V1Y+2tlLLYhbXw6rsJis13XIeBZDaBfGk8P+CGssww1Wns3
5Th+nKCs7xKZ6va307uI34+27CLefZAOdkYBXq6pM7rG99zxyehxy6Z29ZwGrHJ2o972TYcAUIXC
cnpY8/i4HmcajeIWQPaPx4COeJPQdTPpE5p4M2J57XN43nmHUsiTdr7QyFKKFWwFdm5cThmCLEPf
jcZXnWjkIk53mZ5uJrS3YdrfeEjigiDeWsiwVeJyyCqSm8Z89SZyxDLT1wb6jI13Uw/5kwF51Rj7
Td5ldGXQCKJ/jSWaYz5AHZhUpMNLtzPOx/Y5CcctgUGLCMEssil74WoIWsJmPQRIuIJUbCxYy6fv
y9EdD+fvX7flYMfT9UERZERYIQkguGYw/IAMrCkknMuLPtlcHd/z/D3UQd1uNBqrHwer8bs8/E48
5K4vmlcNa/Qnj/rolofa+5y8O59Y5t/x7sA3sKGJxMSWEc0U391q1cXfCAOhv46lopo+Ge3oVb0b
7WBXHADD6CJ1avy6QjBwnxfnDSiw0w/p6Jnl3RgHc9fLx9rsc5NtPjEencgvejhqp4c4Og/eDXEw
DwB1wlYztMYHyI2/F6kjQpdpTSysuqwkBOHTwx2/Ips2MmUGzKgHR2WZBJ3RBxxcAit6VNt+Z9TK
9vQQRx6MTZdphg5axtxU+jgNWBNdqx15MKm+k3RqVe0SkfOfX8eHQfSPg+RSI4gWcQGrWbfqMbb0
EJ5OX8eRW/VhiINbFbaVVhUTZ5LIEReBYBMWiovTQ3x2q+af8O6N6ULFtdOWIcoA8m5iqMvRxO6C
N/2T2/WzNHFwhuRi0HVhWMXMfNitSjzpqoYuOX2jQFwQVAXTJgjlHbStq9oMrq1sIk/SU67MaNSW
ZSJXFgoKv2/HJ9MV+zKS0cruXVCVurY2M5ISovKlhFe0bBoEoKHSfFL/OH73//ODrYPzkx5zttFx
FvmYiFaVJe8BiX7Szzh+9/8e4mCiwvQWYyyGxp8ymE9k0l7q0eD30os+OUsfWRjf3/yfWrl3j1nU
8LTslkNnxVGwA6/NTgflClYgEs4GSAn/YFaBb3Hmao7L4vFxVqlg67DUpY3fCm/lxvY2t6MrU+iP
p4c5UpaAN6PPfQyV1eQQ+6liB7NI5az9oC2/xc1zrli7GjWF4pI/LEHwkek5pZ9c25Hl8v2gh5bb
Nm/z3m64NiV/mkxZorVwbwERv02kDJ2+vqPTg3Y1EBxLc+h+f7yNshNl0wrKLtLp64USktGtZcn3
1rXeTg80L/GH76bGW8laSYcDTefHgZIgTd1gVAs/VZVLFplHkZkPeL4IbQxFAGQ/fczd1v3EcP6z
AnE4LH0OqvToQGESHGwLdLsWyEpYp9U+ONf1GiBha954qONXlgGs0e4vCg6dwA7vBhuT6emLPnJ3
vRlQjBBVR2z6W80WJIhayqqgC2Hfi6BcJpq8QhK/Oz3Mb/NFx7Xv6ja6BxY41zp4F6I21BKgIhxV
0E+6aNrc8FULMMb+cWGJgXDSE4ujIQlA+/rxIZbdILxGS+gRUGnREAeNNXhW7/vpy/ntrs2j0OVl
RqKtNA+rwnkQesrU0laxaoFN1TzX2ubMBDR3ephjd81xuHHk2Dl0iw4+faqoR6EWaA68MrtTAjx0
sVvv+zBQl0Yu/8EjYqHiy8SGxCOl7uOdG9DdJV5J9T6DoKSNMF2sm655nbWAp6/q6M2b1c8oY5gN
h+oT1L04Iwt0t0HP4aNJlCev0r1lmzbKJ/fvt48Xj8ll96Oarq0bgG0/XpIeKsIgyIV2PM6SlRGp
D0pn/XGFdh6E4wN9UbKY6Hx8HKT3WoyIJZeji3hdsfedQOjZrcAS+MkCdezGvR9J/zgSAHh9oM9D
v6gl7YYeCBsEIMMg5Nann5A2P+sPa9LPayLciGRsXttDiUEQOAiYE63zo8IkXEECrpLJyMkMxzxm
u/KaJmy2BJQM5kl1LrsuukiwoqwsMRoUxqirnf5Bvy3NH3/PoRDBDg0Z5WSfInnwlkGi1auWu7FU
q/Kq89RxLRx3n6l8zU8Pe+T9YyFBw6XbBrSBWY/1fl8IqHuK7OznYnIT4UDFzjJAIe6n1/+3cebf
8W5j4jn92CHgRWcxXJNimPU/HICjwvlkm/vb/kdHOqZSYKWRhejrcEPihQlRej+H8eqXbLLuDDwB
ZHmcF2BkLVl9sq878vZ9GO5guiIM5y2vZmVWDmAYo4Hz/fRtOzIrGIDVHrHUTzvFx9vWxE5AZd2Q
fm2mHvudOfDGEaUPSRdbvfFQuEm1rDyZfLInPjYt/h7XUg/2xOTeip7iFceF9it0tc0gXG+hJOkI
/jH+8yWMrHtkMQi1DHgqB9+zOA+tLlZ6TnGqBIvZ61h0E3t5+kb+ayU8eOEZxrRQhHFD9cNWtNdC
D7RLznF2QLsbO/JdPuR+3LL5KaF4ZH2j+nmbWCulKs8CPdlXJvzd3MlG+MVxvpSVtsuQ/i/DAfBK
W7DpNIupWpjIYFcmHjb6tfE6wAe/qQ360EGCrS73xmzVJN1TaefFtqkTEqsongP7i4YHirvmurYS
fO9FExPeORY3WQ8YgUNssNLakfZv68SXgYjTV2AZwyoN4FQokUQ1V5gxXYSswHdiZOfYdm6LCiRG
1yH7hbdDK6G3906tPUlFmnjDTDTVqbC+sgmqNwaK2o0KLHzjtA2eqsisdgF18FWV6UDKK3PZRJ64
6HSiPr04lCu1CAwEHA1u876w6EY0lHGLOK9W2oAUvmzFHDM2PAQjNt0GVfwiDUayWBzrLjDxCnhx
Xa3VMVVxsuAdrZuQSpvA6xANe4q/z/QpdGwJhgGxw3xmIS7I3VSNpdc0wX4cyx5OSN6uBzYS+7Aj
qwU69nCfFI3pkafSt7BApmRXSatc0tahC8ZGd+WgT+4nJi7GOmLJXPlgZNOdzKuN0zc4VAlAXnqx
Ha/T0ImXPb6MuKqfh0jTN6cn39FViS0h2yjd5HN98P10O9WtEy7FJzftKo0KBO2Kcd14Ot3O7LVO
rU9iEvQjHzdEtHyq0T/OR/GDDfeU4xPVKHr7naXYBLKR7cRBvF1MOINtpb/Vp7rBK2ri/wl2iinu
w0n120bSfZLmjUWBaFkJkLpx0xE85TlvGXuxPuqcVT456qog3B6RunqPmeDH6VulzUvmx9dUZ+Jx
DJr3GRzADlaDJMkjwlALXtMKoEWeWDRPcTQsuhG4SOfRZys788kcmzt67iH+oOwGJokkbMfJ/3Vu
+f9Z/q1wUgemgySaFf2/K8BXz+n/XB7YAj/8p78k4O5fiDkIezbhOTHXeJi/JODOX9jyDFSvVAdI
yeBPfknA9b/Y4aHX4jSIJOynvu6XM1D7a84Vnf8MXZwNtfZPJOAoyg/mEvMILh5fFF4FOGTeweam
r8d0AKQa47Xysn1TgpZOUhgwADn2ce9g3o9o/RBsV22LsSKrOKr5Mvwf9s6sR3Ij+69fRfA7B9zJ
APw34CRzz6zK2pcXorq7msF9X4Kf3ic1I0hqaUYW/GIDHs1Lq1VdS2cybtz7u+cUxMesys3vo0Z/
SPrkjL89sEBMkNfZlz2D4Si1uqPVwO9pJjkH45R8Z1j3OHS5cfYdHMmTZbvrytRPgye0s9YXzzHD
rQ4lGKNnVn2zZaqhX4/IA7EnFUb73QdBtDbUwm7RXD6psXmlRVatimI5k4F1Vxrv1pV0ASO5XSOD
yUu+OG3ymLoOuP4MlvVQvRW2NW58xlqrWo1PRu9lNwksgHWss9xYGc+xlp28THxEU8L0x6wAFzGA
A9pdfBhds834X9AMjnFI3O44uu20TkoBpd6eVoMxDSvH6EJd4/aeoHugXycDg17fsUvMPDDd6/aH
KqpwKtJvRSS+LW0C4DrXTixoDSt5RfizuyI39DdvOlV5QV8lPTt3mR0u+dwdMy6AhV8xKqk5Poyy
YOZp2mXYkUAgAY8oY/C+9p5bbSejekgSrVk7Vuqxmhkf/Br2rPR26K7WkXVMu9nfeEa6azvY5AZ5
3t6ez1bVH2V23Qkcp1tftHviDszIYjxnIL2fM8N9IfzkBpHeHhbNu7h4LmalPpyueraEfi/kiKQZ
nIqS59KQt0bhb33U3Rul97xAYM6thIieq6vJDL8A86eZJSBwm/5nh0UmaDu7P3CCnuU8dveV1Qa+
OXlBltWHZeqHQGquBTWo/DowxD7A0t55i79bDLb6VHlfwXxC1zaoFZT376k2AV3ytG0nqsNYGafr
7iobYOdMY0dtQSEyRWCiJBACgFsbzarWtZW8Lz1LA4Sj1sPQ0Mee9w0mNF7xy1mVCEdkvjb8JjBj
IP2pw1C6Mqwwc0twLlF0iziJLdpp/EJ2f+1VXreqLLlT+Dsble2yJSqCkuXCkgYtuf6jZebFiktN
CGmdFaqgaDrWiCrAVfWob6s6eeuT/GBNNLv8stgWcrlNZ+MxytQBTsM2S911rbKtbw9bP78e3/5D
O6UhmV9Jmt4KI+WEAEy/EX9/oeuzjVUZoXRwbjMV3xNg22pWdDf6kbny3eGO2zOKC88r1pL5pyu0
79KIHhNLfE1n+zi54027LPg4zO/uOB4NC/qimLXbqNKeB6f+GH1rTR4TFvr8mDr9QZQYgxvXe/AW
1pBo7n4xMuhv8KK3rd6jMjHP0dhZNNnjdYpSY9TrLdjed+aWb3HHet5cO/AR5j6GkqKPIC2MHvZZ
FMwDUb9aa1/Grt52Ws/CqXXIHEStGdYOGZ/xdp4tdC9la9yi1/ED008+GZGU29Fe8rU/2tvY6OEE
oiXpVRPSIdiyiPCt8qwvMAd4E1b+WQyohiZ23pDHrRKbYXASoYzlzf3EquKHhXAZ7gmGnEb2K03r
37VG490+VvFKVyYjTMy+KzOC3cyf8r3RcJaaU9pgwoMiUSp/OpTZiDdnGRv4RVAQGgOIGoWa2LqV
c2+7pcIqhCbFGSJWCQWwakJBy7bNUiIQENv4ZDrI6LjGblBYXr2KDPyz5mj5e6P0NSwbXbeyABWt
pFHbu0oUV0BG9ijsytsgob1dnPkwJPO9F2PqlNb4vUfUSRvliMF1uc6EgYmNagQdPtWQix21VWmP
HDeFgK98oOFFe6N3imU9fTh1ZVdQ8lqvi5M/kTxY9a366LspW0dEZAC1ARmitl5ryWJttSFnQU1Z
fqCx2b2yRqjTo25/J72+t8FkhJU/DkGLicSsxFOqT4dWTnCceaKFVtF+TmBFgqiP6weEejdskreh
EU03jkbfIfG9i1yuz04zikPb1pIHNIZvqmYpfGqNdNtgvwS7Aqlp7MlKdU3vB+gP2PZUDkvNZX+q
WjPZuJF4z1LL3Az1cspd93PQp/VkNhU/+QEMKk1BdDbzS11XAzgemIHRHJ18Qjr0ZKxTHetvcq68
HVuD5X5SNsaCPI4f/HJYJwqSMcx2vDX1OLBZCW1H+ARLh4UVQMZFPNnK/kbMBCFYzwmmXrcAMGHd
KSPiQ6PV9melITohXhZ34qSl6bBC/shflRP30GGlCFvFwpVdtWsj1b7Jrn52W3HCiIX5wb8aMZrs
NtEN7SVrQBNVipuzXVQkhGZRlzxsqsti4FQWJp7DZjhlI5KPxjOexLTRUkSwolHsbFvYMtrK401I
s4tdaBAbZ3usriuP1kfk6PMuIi0Z1goPSmcBJ9L17/Yysq+ymNOxlfEFHkq+spH2bCoRmbthFhhG
eT+zPsxCelM3B6uv0Z2oJfTaT/vcTmg85uTixuqm5w0mdf3DMYggza0Jb/EqaNbk9J0gzoXr2Ecr
8kc8GN/YCCPSx9/jXMJ9y77ncb7Rq5ukKU9Jb14I/mz1iQRDFsfXRc/ohnYeoSPdgq01Y9RY3Kc6
y/ktVqcJA3NLNXjn60V/rOckTAhZVbxoASd4kz4Q+GKPP2pjmEfNAHgkfyHPbQfG7L8VNbg4rvJw
RbD4iuRicZfIL4Cm1u21MmB/lopGVlzeTPfRwwsc9qzQZxaASMdbbpLFf60GC0qdZd75w0Iqx7KH
lR8lzChoC3AvffH76CEqIv8oCTdFJkB7t9a+xA0AoTlm15f9e9CLnX5LxvPDyOabJHVh8/TLY06X
C/HlgEe6RF6mcZ4YkWPdOFLj29NAoU3D9NRX3mmaI3JeTZmuY6uC53Z9UVlD/FSNGpw2MFt8/10S
ArU1kRTjPaUtngQWLOHTTBb9OJbDsI6Jy1GyANX0aZw3OTKycnj42TEieidibmVnqzhGMuT6qodZ
HoHbKuW8nrysCgYzU2ueYaziQq4y3AjPl21pEOaX7VKpYa3J4hg3/n3dCC9MzDLduf68Wxy+on4+
xbO5VpPOY73g3SLrJ02ZR+rNTeS0a6HKTYpSvS6sDahEJ1xq+7T4yw2D7YPuzJvcjjdNauz9sn91
o/aScsnWRXTQDPvrwBvd2jqagTYt1Y1jumT6fVbORx4HmMkNE1mwuB/1BlNMCzAdjFi6zn1EDknO
dRtF8xsseHWJUk5r1DFpMPSDxkHT7pOUoCyG8J2byTx0nWJvinw3LComCjlUK4BOczCZ/Dwq/HAk
bJClIrAI1ThssXhTx1BfDbKBtUcqBPcVeL+R56/2LBy8puxB8FrSFSnS+c5qa9b1o3o1Vx3vUQFm
1Fr6vcp72IVzjeGpx67LabKlf9CF5VzJi1Ml3xrPgsEv50s3eveIiddEQIOi8DblVYXkeE9mw7s6
7Q+6CRtem7Y60m2/ai4qGzdsU0Opr/0jVDIkMLxbhQ9QCoLw22KAEmvyeVPYyN89D4jWUsxsocdp
e/SnIdDQZYVlJl5KW/ShEMAbFgMy3uSMh/xVQs70OSUFGPyCZdWgH6pmU3GTmHQCdVaRUwfm1he3
hU6hNKdYJboPWCJ9jKX6yKzmlGU9Gth0t7TWI5yCR5CCKJO0c9kXF9pDO+U4NygRQk+5+9mW73YL
96gAwJ/XBJ8iTkwDR2wM6ispMPF61bC2+/SgjEJbz46H9jfhrfDznfRv3c8fq4L///frx3ytatXi
5+r/x+9/2f3z1/FnFX70H7/7BfrkpFd3w2er7j+JivKh/EH/+i//d3/zp8+f/5RHVX/+13/7+FYk
ZZgwU0y+9n+k6rhcUf/9tfvmo/gp/FMT6/XjfrlzY2L1Pfb0mf9hF732dn65czv/YJdW+PRPTHbk
3F/v3KZ+pfHQQrZ1kx0Cn9/55cot/vHzPt114c3gEYLt5ZefweWfbRl+fP/8mfzr1z+VQ3GpkrLv
/uu//cza+W33hpkam8O0WfmjwDr/GMzqpqX04JhmhwTp2BpaCDb6ArCa7K9AYhkbQWymL/rU3Nhj
mYOc4nVsOhVCIcdsNnaWf89sf1mDleDFLIZxky0QyccMECnWufFEFH3CQGjq+556KrTE8tSJ4ujz
rhOFtc4t/0GUyJt+87fwZ9+W9WMfnu+LH5OBXpYRpcsw7Pd9eMuaUIaTHD2MkZuFrdcUr3MnE+b0
VzU6ud5qXVr4SBJ2xwhGg9dIfIQzjoF/mYGRj0Qwjs5mqk5YMo9O3YFE8JJoi88JAwVuqaCgtWuA
kNEK/dmr9G2SIBoEs0BMklYsYxPPD+w064htNgae2MQKYmPWbwRHY7gMib8pCskxUQgeG2qu0NhP
/sEz2wxhlrXzJHeIaDCqddR79XZ04oJ7AuQFwiHiPpss4uzalRTh9twXRROpTVOUQMEiILOal3mH
UneyI5PIOBgyJV8GVWn3Ri/aS6EN+KY6ADnF9SSDLJ0+w+a8nXMDgGqeJJg6rUdUGzR1uw41V1k6
Hl551tt8SrJAzzik7MTjjuPOAHyWKopWheL+b1KkhMkgrrsoi7ORoyuPrAuUlKx1TNIVfIvOAPw9
Ala87sa6INVGOGMeZkRvU5FsGZ0kYc4E8GBkFMxdZQr4IMtROszoJ731gwQ7aTDWw1ObxUUQI8Aq
mQHw+CcvOtBa3+AGKFa6n3+b9TzZKEMrtoZSoDidNt80Eb1wUr1ndym/xZO+ZZ2cU1CzI1CUscXT
MjLXI7n3lZFMzaoy444mCPVWnMShOyIg13UApnJSXwq922uOeDVS66vyMK03Jfs+y8SX0UyraKJ4
lq7irI7wyU1B7MerFFcwr4E3k6NBoB+nE3emmX5fttour5aQfl1A+Jgqxt+O2bJ1pfbhdWJVtcj1
6sUcgjKaT72voGhSMsbOYzpCXVW2dQHfkILmq7/p3Dp07iJ1ax4crhWdUTVh03K3kFW9gOmgNTsn
3X6Ox6AszqLsYHxquDLb+k1U8j1V83M5uMTTpaOvZKLtdW6Q8F8kPDoGrJ0zT5vURzMYTXjSr/ds
vaNMTFV3XmIxpbA+9PKjhOe+ihIO3pw5zN2gyL+nfUoLxdaLTaQzUals90MmVNyKkA58IJ3Ky+8q
mDRJfPTqUYTQY6pQ7+fmfOXsngjEeavK6y8FVxep5jtTdvKDb3rHSqu69VQ1HDplnYskukRxcYW9
9MmOCHdAxJ/KX/lFf7BaP7vUiBq+tYnoAjfj9W3MrlzLeqa3wyG+T5uqPkY8OA5Zmi0XBPLOOo8j
sQGTKVZTI/VXR08TIrlaygq/8c+O+t86Jc/J1xbj6vf+9yfjz0/2X4/N/8fOUo+H9L8/S3cfyU8X
SQ/7p4Aj/o8n8fWjfzlRPdrOdMRdnwe7zXL+ryeq+w+bEpKBMlMb2/2tfcX4wYX265HKYUtkxr3G
Pgh0kTX5W27zH0fMnDzAFtj7I8PEl/JjjHZeGIYirqoPetp/m1vvJl4Yvf3mJ/Mn59uPfXI+B1Fq
ignB9p3xh+jSIJwmqZmLHfLBeGHuuK+ldyuX4dEgpvWfP9Ufvh2KDz4RZYvvEyr6Me8TzeyC9d5c
M5rMWQYaLyoWm/+zT3H9En4bNdBqMencsw+DqW0zvf/sNe/lP3+K6+Dgd2XO9bsgP8fwgsGC7f1Q
Dox9H/VK8F2w5RV0JZc/Pd2Kv1JxGH+oOq6fhuG7gDRDpOzHfdkY3i7tUbs61ED0pio9Mbl+yI2I
m7b1Es31y2SVX1KoVPOofZ0KYLuGPXx2raTDADhjbPEDJMU+40y5RGra/ucfwh/0fddCEoIL/zD+
obL8YVRn5Y3begYCSRGXXGN166Yb4o5BarH1new9Fno4AjQDj7eJcvMuR06nzB7a/ChuZsM+xnYT
ou/Yg+D+q8TSn/4FXdeaKYh/hkX8/jVQWA3kLjYCDxWbpHNdBKOvP5TaXzEVgEL8ySvBYfZCrIAN
Xery33+iknooLROa8GQO7mfdvu1y7dDZ9RHi6mH0lrusiL+npkk7HAth0YoHRhHlKqq4kS2ip3ec
RtvekDtHGWupQ1pNlruYag6CYbj45p1JFKcovbVYhhtPZIDWEtKuFJg+g1yw9u1ugascaGW8iYxm
K7OS5STHDhtpa3RVnGCJ6ScU/VBvAGzRnVLqmYW3KrxmTlZlKmAIp5CAc3i7SdufHOmdlql6WSwQ
68J/VtCn41k9enMUMNM4Lu5yTCPn6EbyztLVVmuWe9Mf71gJ+lrF/oNkSGZ0Pui5+clNunUyLAet
5O7nyfmjh43kJsa6i62nGhdr0nrPiFp3UznRh+92CV1GuJcbhWZgVU7DM/XieWb2nNXdhfzbbQVT
24iu06d2a43jQz/nl9kD/Y8PHis1Rz4+4TqHDYiw+JBHuO8qcRoTwIzQ/Kd02HsGdZ7VW0wD/OnO
NaMnP66PeO5Z/dp2QOs12Js2t3wnjS6zrsI0wmfAGt+uiJigp7V1Bw+ZqmkKM7713IBzLqItbcs1
e7Vb9jmPEbxkgNctsM6r9Q0W4hzfSyNlNlAOx9rJb3x3eUxy6uw4+hS08BzHvKkbdWeT5hQN/dDZ
CAvXORuLpl011bflMl/AI+9Se3jIUx/nhPtIXXj9zujZcSCkfX8u3JItcefeAc8pvensDy3ZFizV
WlmeojbLMXuU54y+LhX4diqsrS/UZnJpCREcDOfSpnc/b0cc1VpWbGB7PfME3MywMtm4eop6PYSf
ulWG8zp1xdlLqPVkub9qNyp1cMUtd54wWejOEyBRSc4PQHiHlB/AUJaY7ViZjPLb1hQHv6XjlaQb
t5QPKu6D2PPOrezA3ps3yu+2k0q3hcEXXKTVdUV4em6YRooJpEMPRx7NNqGUs7Qp0mMz3lBld6si
Ao9ZLpu86c6JQIJD5jf0OwzZaBUbseyElNTi1nbxiieJsG90u3WJuqJjrNlWzPWk+ZBXpBtUgo1w
7E56zASUJCcdPDqAiU/PfzGPhuy3S9YEuW3fQiF4K4voAkbouaz9l6o0b4u43sMI+YxZlG6Hnhde
dFwWeycl61CyWsfQ1xuHewNr0VzXrBoqFYkcr5tWxsiNEg6MXNld/BKN+UMdZfoKZjtxmHJ57Z36
PHv2vVVrXdD5dsjEjx9eXh8ns+9XlqcOmiNhtSNWEv6X2uhuWpuIkoshwM/8y5J7T2MnX3Qc2mVe
vFS01IF018/lkh/8xtw0Ujs2uv2G4uFudJajW7ZftJhXeB/vx74+iam9KVPGHkO+nWPnjpTNqS2x
UJO3Ij+iv6PJuNfn4T0i+LSxVfkRmflXGi93nT2CFMybO+EOa5qNRGB07awvE1vQSFrqJvdh39J8
0+y1aURH15zOva6O0lLrjnUVBjLDtV1pvVW6fcir+m6K61AT9kNeo8FZbHCyC5MN3BG3Sh+/2JHx
hd7esDJYxqwkpyGb7htLLhebC12gT/l+jJJ7nhk8XybUqNhGFuk/DUm+zxiZZcZyj9X0lYxQOFwd
Npn5XGogL9sJPKar3daxg4JBvtVm8VAWrCibPGScesRXlBW0UV2uY2T0WO1NFvGSe8aJinHd5sNZ
Qent+vqhNF3vKjfZ6Mq+6dB584hdL8p7KbCMdD4GUellXyapkEtHfbBE9Q5py5PP3x4gzfQha9KL
JsTrnMoDwcBbegnmvrEqsKrwLm2fHfEsMs9MEXb0G+6mdNlVZfTMK+orfLA20IlHtZ5JqCwBG149
poM40qY8KU9+9bTkRAinCrxabnyz2JGbLlacqYGS05HGwYGL7iGHP8zNdrwrLePQ2/yClOcum4e3
jD3ZPudsMo2bZPZBniMoKpxx603lB3qcMhDRcGHhMhRuirGgce/NmcxD6p5FYr8OtXPJE3tjqvH7
lfklE2xBZr628c0wlXF2hjUe5eI8JYYPqF6uB6Zk2IDAuZryRdAGWinPfTX95m1azBfLtE6OwdhM
cDH3NPvTL/mBRlF5mnpAp1oNA8Cra84MHijJPNchYN5TnPrsK8fxjUr8oye6T01aG6umH879flXJ
eJMNw95h5K35yyMpQJzozJsGFwKuFDc12vJa+Q8YRf5qWfDPqpvfFh3cPX5b4c6ECjt/XspD1KXb
UvNWbcODoZz/Ii7/J7U6bEeCwWR7uAP9iCwry5KXWtXVB9lcF4nkV2b9+V9cPX7YDSFyzOq8YEOQ
Qo8FEftHfJNJAsFQpAMPXMDAfhrTsWjoq1NW3cdzn3xUjHpBTKAL0bKZLEb9/T9XsebPJdqvxTxf
gQe8mRueRcCd9NGPlCqlnCRteE4dyrYQ7Kb3yW0jgFVYksduY0ZlOGnaQaRsmpbttEe9la3H0SxD
ElFpQAJx2cAXiI7wFwSTkSGFElFO4eD2Pk8Kle5TipKgrTLtzKplaq0kzZR92fS0yBRZU1uxB1zB
NMtRKmjNa6F7n7XvPPVZD/02uvXN+hQPPVDu1niMGz0Jysz/TqKQR80yZ6umm2+Gvtm33vC9XqI3
XDnpeonLV+V7B2tm8X2ys3vpFxunxNxjqLS9sxH8FXP1mo4Ibuy5j9B1lZTriacfR/JOGz/WNiwD
7CMjpmvHMtRmZoVfJGmy9qVzoLEFewCcNeImVejM9wFKZ363RiFNkcDILW1L6k8VL9s558DQIMdU
7hMUuigU3USeb3TDqo2pdZu1VHWQ9tOBAfPKqbTTbFpLaDHPDqwOb5deMmQZ6C9Wunc9ICh9i4OJ
IEYtPqz0cp8XI11YPkrfjX7lMzOaFf6fqgTq25WHUUzaRZqucfC1ON5Lo/PWnaNd45ixtYkxGAVJ
k4FrTlR1iTLSqDYGj4R1+9XUeYSAqkZtZazklntydC/touApNE1vil21wGjTdmXWCCWsJp5pUk7m
um+YQiopP2eZdqFR4BeNO3IcDXahpTeDsSLMg7oc1xpfF9nGyFjpk6pCW7cYsc7COMpqPES5n4bj
4FtBRm2HKanz78h7XoAX86hdonLdRN2TTJyWsIp9qVPfxe8tFCaiCVNp7vRbm87VSrMIwZvpF91O
yrVpDm8d54Beee9LUhyZaGEQo8NHRsdvp28TL1lKjuJ7Ndubkuc/fBT1wOWUMZK/m309ZPAUB44L
b1I1J1HXN7nt7JUBGb6bvDN471eFP3xRKXWhCajAH71t5pmYuBq9CjsSBpu8jTCNA00qUTE7RHKw
RLfrcSGQ1bQ8jg1lf8siUQajYJ7aul/9iO1b0XOOi25JVq1d7ghEPLhZ4gVTreWMuOd0M8cgzFNv
XNYmhR3CJaQiqht2Uox3boPrWxsbQtyuHRoOjc12yurQIiBiJQTIsrmfw4LmZeDE0b1mL5cmbnE7
tv4nDnOPZi5TVSH9t45ive7em8xOgYzIA9PzZmvFUCFEbX/FAlivBr0D+T8473TNL56TMjjkfhfp
8ohjiS6qjniZtXK5TvQ6hYgzfoGWw1E2Aue2sc56/dkeRt7bPj1dQkd3JCZxtBrLdE4LY17ldrk3
Gt07VXpm0H2oslNz9eXpvBjWnlNxl8ypLoCN+6FbTsxSxn82cv5/W/G6f/Dv24qna0fxf5Z/7Cde
P+yXfqJLP9Ek7+27LBtc7cu/mdDRzvHoKbJV59JG/jUVSz8RABaHocG2nX5dTftlQqf/g38Dng0j
q+8Rjv47Azr2r39oWPjg165IWsNyBbumP2KpyqJuOsds7Z0XO9tKMv1e8hT7HqkJvT/Yk88Yu73e
QugOMGnaWI56VWbz2MvsHlVWtU1jtJoqvzrH7L2ekmUzYupOKTdt4T43HYKCTqFzbCYn308LE8Bp
yTa2lz8X6WSs0ADty7SN8CKZO8dBYeSI+YW5SXkiaJiBRwUfqiMPsHK9DKTIkhuT53Jg1pEIG+Zz
t0ODacv1WEUQFvReNbTlY6WbBut1hBmhDXYQfZMIsSUEGa6jeBf6vvH4qszoVrHEyfEeEabTinzr
mt6rM3l76aSvjpkdezc9sdBwzlwMewUtt5XWibfSMx9kUz2YRfPom8dizm6I5ewdt7gjdPKc4eNb
CWe4m7X0gfnnu0UmkmqGnGLXH5SZPZci2tW+eCuGKgEbQoCtn81jI5SFw2D4alyTCJ1DWsxp6g/H
7Oawmc0vja8Q5ansJc8aLtV9ejRbzE4VCxeZTey46d4rNd0Lv+bao4jA94TpqmIoQq1Cs0j+4l7V
2XHGMBkYkrjhMmFfnt6npXr0RjNacYpngZt3d0NjF2suUhG7sZxctpPikzdOQ5SfWIcbw9bNH3US
dwnmBmHWT67TndOJaGXayLtiiL+U6CjmLrlkafJKJwsF19C73PPiTdqK91xmfYj39BaBNrK7eJjp
foxNgImrCEy5PODg9DY6t6hNWdjQiaIRcli/TQj23y8uTK46iXdcVFmmWWJEjnkq2jAzahKWzpyi
DGNgeWGlXgQzc+eZw7qSdYj6kligLxv5jX1ojzqHDDUeP0ArnkliQsUMxbzeCIpxfNaHLizq+rbH
LZbZ2ZGs4xAseYI1zDYlk7JyPgtku5PvdqvGGcfQ0Rlj8rIcN20n9lUUnyvfZgPImsdLg4xtK/Tl
PBbRNeo4kd2lsRVSNr22i85tRGN4pgOoEgDaSMlBramQ1KUrt8bgYS2xsdbmRYZoLs1LrktnZ0Jx
oh8yQx+JO+2jahfBWoaOrYnIY23pwHdr6EyYIss0FFM935VGVzZbnUJUgSUf3e+ZKz+dyUy2iZGP
K0Jl8FlEFdQOWkTLXL7ZDRSqZUAawqJjNCkISu2eg3kJVIYsEPXhdphoj806bz4HzkuyGmQ+QPRK
y9uxnHiYRKUn0Ryabk0WjXfUu6fXax58+utY9+wn8XzY0bgsHsg2IHjTNS+EKuZtcdu4t46NC8VT
vHazqejvpGWQn66WfIDyFA3FuZBM3Lh0NW8pSXJKQUKiGF4KDT9Zr6FUUSXFl9uO/obg1sziD+U4
tIlq8MVjU0+sTOc54e4ZXGiwtGpZNrHhYQ1Jx/Yl1nshH/p4nk6Ksd8dFFbu5BFf0xOCUN8G5KSn
oO1GZKuFT6CL/i0S18nR937uHWnJbI2lRRI680aTRzX3aVAj+IOCuybc1a4hW2AGKioZED+GAgFY
bOUw3AlmexzWNbbYIoEexMrLXe/lGMLs/G42WUuIZ33alqb+zpDeXXGZee28iWg/iCIGQ1RiWrQq
sd6s8simmBbJ3tGmd3MYWRaIx4OA7gZjTCfcH6Ubpk0yNJD9WWaCX6ifXpU3WOHYROdOUPWOzodH
kzMY8vg0V61Gn8u6Leuh3TTW7PIEyK6uwulrDnKMLNJj3nb/Ii/8rdLiz2eRv0v5bD8rAjOf3Y8z
zd9lgf5vCv9c0zD/vrJ4qL7+9Nj+qXTh+oG/1hbX9RjU6Q4TKIgYv6stWODl4POhaJr8xr8WbsQ/
BGuVLG5zuXbYufl1Uolywf55H81CxOC6fPDfqS1M649rZ0i42DYD02ExeLmuA/22LyHqPEVO7k27
qMqaV132JY9a6RCgqHuYkaGs7IOvDGttenG788aZHK3IBPHeIvreExQ6LhbRvba3eduMFAvIPuD5
tCmJssoqnO1ij/GGp9S7v8hhk+skGtkNuD6Aa/YPZ1y8vudX71yLmw3PDqzLCtHQqtFwoMZW21yi
qjPfUncCVAJmNNX74XNspzns4xQB9OD0r0lrU+5brIkQhmjrs+FFkIWyfly+gWaLX1JD4LDpY//L
0vfzNQrAUKUrBHc5z03FEw24PuycUeIKTL2XlEHhupnidM9djgxskWP3MUbfDbVUT9ctE1805tU+
svv32Wz4unIMNTmxwLqen/Ebf3G09qABvlwbojq5dAJXWqG+eU22lpn21CzyBOXMO+lts/WqvuV+
xc13VcUG2fXc+WZpfXtfGiPXLL9HFWXN8xfN7YqJaQ7LgKiK+mMpTW7kMQLXgGgHmjLictYyXvML
cDwTpzNW0ZVB6BDOFD6xfcny0yrvlwtwWlZpiFo41nwZwRPSkiqfysblGhPvGg9RrLTydVbQLqja
7LWdszSkEdqs8liS69bard1pL0bNNXGIvPdSuWhP1eRuJobedLQxK06F4LTtbKcOYj07TJSZ14b0
dpHt1hsQ3vJigvuVGX2201PO+cwYSY/h9olL71iJsV7Pc/RueO2BdDedBk0HR6q1BuoZcBOp2yAr
ZZXBjI13uxPHoWOPVUO34zlfHMTVR/pCJfbh6YNvx191ncn6SlVr6Gn6G9uZn/K8QgBuBy1AldbS
H7nhXgSrO8jSNnVsMkdonpzFf/fr+uyl5ETFyDCHGtEuNfZdozffdO6m/8XemS03bqxZ91X6BeAA
kAASuCUITqIoah5uECpJhXme8+l70cc+Lle7fcJ3f3T8N3aEXSpUkQDyG/Ze26WX5lWbydav+vCl
R9pMSiW3HkzSxSyuyl67LVqcEqj+CTWNdH9Sk7l2C80PpbWxCCdGaRk+1yFzC0vHyVbk7BTAiX+P
f00wLsZzLji9Uy//NrT6O6nVZ33WsVtntKRmXH+1dscsVsU3eqmCyq4f8fQgRM0QFZvqGvjiTW9V
WbDkya4cTRRh5XUy9UFcNjdIu5/NZX4bMvuV6MhbLLlPtuJJcXrbT/XR+jQwWa37fMxT7rTUekJg
Sz3Dn9CazNu6iMz7X9+e/+gU+T+me/ndgnlpAv/mJDldYh0f4uH9T23qn37499OEE0BgzhTy17Cc
i77ldy2p+wsOYslOW9Cwcp78+zgxzF8MzJRk6wA2BjZ1EaD+3qoavwhkp1BB8XaCMUKB+pN49O/E
pD+rUiQOUKIDdJpogTjb4UT78TRpmGdqk1M3eyW3VcsmN7uuLkj8/j+4pX9WWVyuI13T4T0F44Qh
8J+v42JkLIeM65RtvJEpm2DDjE9xx15CZz0QL00LFiz5T6IbUmB+asUlmqPLZ+sSfGTq7s9/QWkX
bj2RTbRvZB2x+ySAJIeBHE0FU7qsVhRjjr6qM6zijf5VTKz4ckP4JUmThO+JY7Zkr46jrhmdcs42
0RXtOTPkiMmqkxBBblrFNZ5NPjxGpzRXOFeQZfPsmT4p8t5apo1Hv00i2ZCgggwhme5RM8wn1s7T
nWwxAUVFXu5DejGIs+oxMTnWGqDtICcuS1W9Z0IYVg+ZVZs7i+EwWdeFtUG8i3kHw5ZO6Uo9PmUk
PJIpX/X6doykWhkdue9j2HyWS8/vbEWffTVf9qDNsus95xuRt4gi6wUXhk6SttTHJRCic7Y4svYC
FnBQqXJezYbGezyl08XJkBqVWHmti8EJHagVE4aHFQ4h032OeJQSIzxafV3vppDPmvDJx0nTcYHY
6TVud/x4SZT5cykTtKWY1jJZ3pZ60a1nPbmDftT7eT69d1H9TVDWrLRaauyLNb93vWETq/rA6GHc
LHkF90EvbtqWnQ+ZPHSQUYIPM5VtuhJicPfuMB8oHK4n1ajL0IRCe0gI5+7CBbVnHus3HdprNIPS
uorNJto45lzf2Hj0NopsX0x34nau071R9dckHrxmURtuGrdvVtBEP2a3SgIC1YBye/GVtKpTMRrF
qppMMDeEkHpW/Gyi8lgtAD6IzAtvolRWgVs395FVvZdpnGyzcNRJRo2iFfNXi9n0lG2NXPvQOsdZ
EWX0PmDQP8Z1/eJcdqOe6tesJq90EZ9zr56v6GHGq8Hpen9p7CRgO7DnG8E4GDdw/9o0yLLm0LjD
lxpjb+tiZs1mx12XZXib6toHT8sZ+8PZnp0bwj1LRM/EhhhVsgVWDLXBW5oXYbF3YBizLevZWllK
7WABwMGqYhcpAQUU56B95bkqgpYiv4d5eidJ05NObW6mMTmkKUtcbYIh7SyDHjSd8+rpTNMvNrJq
SQj7bGzsZnX+3GbxSdbt9YSXtJ7K+6KvGSR5EygFkX4nQLIlIFqW28Z1XD8n+y+ga7yEjZoae5IO
EnTYbqeQqB+Vls61XHiS2pjpl+NF3+cR11UbLjJQfLhrzyQ+LHSsR0mPzm1EsmaUWrcjI7A1z2G8
Fo2uBw587O0g6hf0nje10bDprIatvpB93aaMnMjNvtdrhhrT0Dl+Wr53AEiENZ0MCAkAHbqTM8jS
N1XX3JcQSDaFWRdfdl6qY0Erz5aG2R0r5fLQSz3dK82A4t5TKBVL9tKzoXkhDTbD8sQGIWypY6Jl
J9LuTXoJFYdjj/5gYuJ2LKzeUaXrvlL085o+MECX0JyjKFq4O8sHrR3jl9FtolWNLue5ChPdWgEm
ifzQWJCRuRcHKzs7pv1L1fRPrCNfE9EdtCHbNQCMd2MXxWfeICFvKZd83LRqgaCHlgh6z/3Qwig5
iD40udnDZFrb1jI8lUXyPdYu4uohLah1MVxr04S4uWaTXqMGnvNrIS4/4oqHwWuATQxNukK2sbFH
89VtBPIQlkArs6Dln2aWNXkz3iMLA8W+dMr/4dg+/2sH+aOd4nLC/bGZlPzYnw+Iywn5g5KxZH6W
jQxs9yVVcbXIVVYNu6VW/xJM/qNK6a/77f93W2lm6v97K/0QI/494YX/+lMFxMiakCCbH/29/HEo
fwCNIGIkbExc3Cy/lz/2L9DvEDU6nmta5kV5+Vs3bZq/6Mh6UclSjaNptP9op03KHxOfDerWi1wX
l80/qH4s69It//jt04+7WGgoz369D+xL+fDDt8+erhyXrCsOJBoHXp19yHxhqUUyZgABkNvXW2ia
vBgngSpvo4K46HGRBBwwelNFGd4TrwlNsnP4h4vKVi8xOuJmw686Zh9OVT+45b1lT0E0f4XqtcJq
jIGGI280zpGV3QpjGEkgNRDVWNmDW4BjiZdk3y72cKUtkPml7uHkRK3UZQLtw8SePrdelQpPdPGY
wZSoVlhwvyJL+c3sHRCSWSszo8+Raj9Ew3syUtEsAia9sB7jtsCC2dlnpyrtTdG4EmhEMq1qMz8y
Bnirs2mP8/Gm7ti6t6IPwnG5w+/hrJjDbkNZsng28SDreU4r2ZhboLPAnEAbMR238RLGnIHp2erE
nitlGz2+cdNDM9CGpi1g2aLOWZh59WPlVc+kwuYrx9IAp1IXgMxnWCCaU5W2CDyATR4WmZINYaSw
7mfLl2N+SLKJN5FCwTfN9TtJihpNs2Vc21Lel9n0oJjR4BR2ah/Vagy9qyUsIQz7NUG6SDb1bDmR
rHfbtWG+US6EiLJgdGnlObEPM8NqRZ02JrBBZJcRpKx/zfa0w+ijVnoG1oDud4+Bp/TtgVCKQugj
m2Pnyp0Hb08YL9brbrhSVn8qY/5qck5H3xstkgSSeQrqonhEvNfhaciHreWy8zaTt0LXIh/vT+fX
YfQcz/ETowUPqaOO2k60tzHpzytnnD9zSc6zo79rMZOACFviKpmw6nJRfu0udBgoG255My3Fvp8u
kXdRvakn5MqlN5zsyDhKzSQTSHt1RP1QR/JQ2V3hzwA5GPbyV+e2C/Dhn+nGb4RA6mk26UfmFnbQ
ZEC2ugEkIUbGgX1L4XJwhM9yjOe1MYnviVjObmNcYfZxVlZCskUuxq2BMmw36BewRZKXBwPTq7nE
VwxKN4ywEFg47oND14rpn7u1hM8Ox/2cCM0JohDhj2BaWnXNaw0Z3I9VQQa4TNj6sgfWKXt3DFFe
HbMkJn6xGf+nmLUY57jrC51uq0ZLZivDys+qFtAwQHnyFc5frPgvIwlH2ydYf5BMGCZpzPBlsA2l
29pm2dG2scXafNLXeV+P1CD2YVTcL32eo4RAzLiOU5vxru2SAILeWNXpyxRrpy4F5mCZNTo0DOpJ
0n9KyHVra8pNn6FRQSb7AklFJghoixAsdAGArCgMDN5xd6xVzMq6rU/h4rarodLv+5jxt/Bm8twu
2HpOU2Kdl3Y94A1HrYc8Mw67dVeY7UqfO4AiaRMUhEVOVXeWHb5dBss7Q+/v5imxiZSpyPqota+h
SXJfNXW5nXvtmn28fKuX4oBV8FSUBeCW3rLWc4LjOrL1iLdgt6yIQV1DB7imlv6mdOeohzl5enkS
USAahwETG7MSDFhmMj0ClTH9eR51P5E3upHEV02ynFPTrdlmjAl4sQXAy4RQIWstfxzx8rVsCVdL
UZcbWadPaDnjK+Yhr1NNEgNvDAdHm6cj+YuoP4aeYd14KJnM4/xGszik5IdbYVODXx6qYzUl20p3
H+PBhqOX9PbOGiLBs0qdqOQALMFFvF03k7mtETnGbnTHduFbBUyGUTu8kCTMb60llTtWIHZQNJGx
I/qBdom4kHQQLLdSpCBEiRxji1ki2UQFTmDzoU7T12auQXJ3cbcVhpZuoZ14WIb5GjGXv8g+O5lI
jNZIGQAOmaNDNjb2Lgb9BGoUrEFRCsNDSs21UTNdFIVa7oaUmy6uiHAVybBsHCkxLIbe8jZqxqOr
7Gbbj3mxEWX+7l1ubZENX3mF4T0uqy26/FNROc0WuGW0bfkjXWUJIt3WrclBD7Vd4sYMRPX5Smjj
cezHOUAASibP2PYwZ5DsokElQjy1ZZCR8B4MTdsRNUIDbNIyrcGZeIHWlmvEEMQeLe4VyRAeFi4N
T1wZP+mRQnMrTD8NLyIuBfcPg8155E6eeLaCtOdNyrExFu1tCZgzSOfkOfU47Mp+RNQLRKZt9Du3
8ZCEpgkwMg3sUjadS4dPy0Q/61m8NtLMeSzgyOAdHHgx4YWuMOJfVIzkBx6zsig3pm4+Foml/X94
2e8TLLinf1f97d7/i73QjwqNP/3gH7UfsbyYHNBaADm+kEL/qP0kwyB2LGgSYZD9MfrC2UWliEiD
PQviCei+/x598b9gqNoEQv/GO7P/SfFHQPH/KP4ElSQjZpxZlKy/rlp+KP5aMYaiY5t+qE1zZfZV
6zsh0e7sP80sv60oLnJU3uTrUITItyqajpPRF36G3RItwxvjeg5TOrJKB7LDwAYwUTYRX4/3t2U/
SnIXj/cyJRVCtpspmm9bprNuFPs6YCimL2P5YGH3zD1xcKHxTPaD6SQ7CNurHKxTLbYIm1a1Eywm
VJtmule59ebKyKctXrGAfkmgu2aUF6S5kUDPVexpTe4ogSelfDCxm87K+KzcL808kfK+mSr4Lwlw
v8y7KS/2VIp1NATu+8CKXjPdrcLHOqHHtZKHFlxzPPPbx++jnIAobTikbsYQLTsOkKAoNQzL1qFj
s1IxMMBpg2HboemPjBVJoRu9u4uJLlrNF5ftaHNKWs1d5HgvJRbcfOpRaU6Bm8P9ZCYfiAEpooBL
3XvpizXGb+RW3/Xk3U8RZuyYnRC/jPMlajEsj7X5YdnJTd63aqVZ8zPBp3Ap1LKfh7zyNcBXNk7h
hDhjx0zW2Mh3DH5AyV3XSUsnTq/LIoHGumcsnt7bxB6s0RQfhZleifkyesBGn1SmD5d4F8PZnzk+
JfgUc1l2lh2eeFOl7JiLV9JewWQwMKpEcj8p7TAgIJTezKFUD4+LpSGH0IvnJY1e3Sk5y6q6ijBG
FzowsrJ91Nr0rUzChD4eLB4yhbjnPAOPSR2pcUDK3npyCvdqjFxjbQimW30mk6e5Ns8ii3SqVdSk
jVU+VtL8lttWw01AfzDkyevUFPcCEAUWC5OBxNCd7cl4b6KkwqiW32AzY2BBUCTkqgSrbSzOSvFJ
67X+mqS9vTLgn3KXcrLk89AecnSL696bcHiniAPpQvAUq0+VZW+qnT8hxDw1ShHe5XS8fb2Fmm6m
LwGlK3wjt++LsqwDZWzT/Cme3dtowFxcB2UJK1Abq7Pbv+dGBSdtOLbkawnC44oo9AWzRRZrj2Zi
oUps0Yt3weLI9eKNd8K8BP0VztoMvceLA6uxPYA6EW0Zsvpqhdl371xQy25/ckk09nVCE1TMzLdK
7pc2OpQa5JZm1PtVbIa3RapOqsXFRim56mPLCOYxPOY9WT4QNoJuxmY+fPV5c3Co6UsDYIDJw5JJ
Ga4dxrr4aZCOUlKuta4Ap2Tsmokyy4UAq6XN90yvd9LBoVCD6ars4d5L9BNVrPEgRL9v+16shmK+
5DWxT+KmC/eZKtNVZsxrqHXMc2f8Y8Drxuis2v7BDlOil6J+Jdmo2UOxjwCApI22bDrPOyyqeAxN
ScFWP1WYs2zYD76HojmZ4X7lvUE5F27GojvgrqFiaHEokAVWRO3rIlvCAG0/EVbQLE/6iFFJQELM
zfI+UgyXNHQIdZyf2A/upiq7HjtwThpPceukeJvMBqQTDoU8m/dxB0xMNOKjoszEwo5tWwNbmy/n
To+uQu+142FDPBJ9Mfj6win/MPMSJH2c75W1oeKBC0PupmlYqKG1awDb2zlufSBuN3kBB66/CDXG
Uj4zW3vOq35fYwtbUn3hZ5tiQ4YexIMyHRFFxeTq6Q8OHnPBCE4aOU654SFuzubM0tOmu3PmY+2O
xxi6UTSh8IoYrWbJN633XobFPTlIewIFQ0cztfvMM76Gwd5SePp6DAWw/27lEJxqzbsy8g5CGXNJ
dnqp7AMv/BzqNmgrZ0ftjpUQpbuGWlwT5fbX8/f/5oDp92LBvLDQ//cZ0zr5Kv9rxT/+qtD49Wd/
LzTEL5idmYUAuL6Yy38oNNikWRZvUMf7tZxg8fTHkIl4jouflAkT44ALBfe3HRuFBmQyNCAIQNB0
OAg4/8mU6acyA0HIJUydzZeBg1W3ftqxQQ7XNKnnCDl1mAuR3CZl8w+HmD9f4qchZjsVqh5kZuEI
XTZZhP2pYZf9H8LNmYld1nR/jMuwcWBgdzDosrFEymIbP9m+R7PQI8OqrX0XT+ph4NVW55O20rvi
qsfp5eoaGpBWO5UTq5VKOtdRll+ppYO51oXFlTGoF4wZaqUSE5YWZLpSA46aa9gYoac5rESmCJ+V
nTI7H7HBzncjUxPpzGsx6jtXq9KAifuTbDGfat60QyK2tr3qjZPm7Exi0ytEe3r80MBu8tHrHacc
HCw/ctJS68bqrHvEDt880jtXUd88JAVHu5Akm0JVuQqBTrK9iUQgx+SF0zrzJRqOQNgQY8uQnVqW
WN2K2NbHJVngmc7XOVSqpNA/KnBy63Fhq4R+XLt3uyXGcSYgNmbxAhIltY5gGz9rQG/YtfGFITqp
/W7g14sSbTxwdCha8Ms3SZRkT5bQDkkz4PtwxTOrl4bBjedsh4GuGm9YupGNi1xE19+KeQnXZmbg
k3P1z0qjHcJK/5nV5edIf7qC+3buEjEGzagy30Yt5C/pdDtPxc7p8+EWWPWmmBbvZLshsalpY5JW
ON3z+X1pDmIQRpzRW98v5ap1I2gneXia5MAbvm++3NlLWWuVOwXj9VAsCE7KGTgaTHY2i4haZkBy
lxteX0+MtApXueBBkofFkL5WF1hLOJ78zK1OC5sClk7h4qeL9b21UgQYFO37sNTv7T43grp1UOzE
E2zsCFVMF+ZXFL/V3h7LGiYP05Q2qSlkMilWoeWyI7XcbG9ouMD1InvKRrpozXFI3lYR7BgBrHEy
CwhviAwpZEkpFRSGgUqneZeBg2c90h+UU+3MdNxLS9s1/YC4sbrS1IVAa2avc80YsOqna7ZXlz2s
dW22PR29RMLTEhO6cmJweKFzY6Kg8r0Ukm6ozWxljOgmSardzPfZIXUd9ZGC2wVLZEgqCsFUBAZN
994MQONQWMOjROm+Z0qr+2YGdUmzmF/gtcwPdjQek6ma9pAfSwq1/GksylvGg/Nex1DhZ60sH4vG
OXICqaPVlBu37YIBVuOVGXcIuG0eO3sGfNxY4RP2DMiJplUjOwFd7PHwbYaC9d3g5NiJqlKuRFpc
z8TtrlwdsK5O7orvXthsOMlZls9KAMvvDibM91U/D90qq+27JO9OadKDD0WSjXiSYUgmgDECOVLX
gy4F2KF53C5mTteDr95Ps6Tb5FW+75oB6MLFJ7o0iJZJVtOCvKM+N1rqpY41rj8ZA8u91lt2A0us
gPxxzC6DAI+v+sLYNpEa1k5nMVxyq7sELuazEwsZ9G3K9FY3jt1CgvM4t92FX2T5XkFAAsss5adC
nMZ0iAM4lClKLOsjl14TLKFlbCcXS4qddtaGuXYVJAkwz1CSdZyp7+TmNiBr2wwuLF/UObOWZg/y
F9+pmxTPQwmfp0vKUyq863mBaNyFIAF6Q30Ib9iTH7Dp2q7bysgtnnInW649mDabQrWB6/I6Ehd6
NPOXbRPWnx6d4DIWr5Qi31stCTdG2PIuVdan2zm5P4eGucsK0qSduV7QHAwgSbNs00bti7qUOF5D
/qxRaz7EaOiNi32zuNCQ0rJ6JSS4hgk1QLCOlnxTiOqzA2riu7b2ijzqITEpbqeuiijq5mJTarxG
L0fcFnpRvsfO26Gsc67idui2UTQh+h61W+XOT+3S6dCg+apgdUEDRHxbYgawdInPd/FIRRjTjVH0
vMk6VgPnWe1cp7mQotgbJll+zgYLRfPUWhslnKxeuZ2O2xn+vhYb7yB102uVUNnh+FrhA4R/Gdfb
IZfpLrVt/LXuccCMtxFOQRM+oRVXXgE411MYqGpnFyoblQDVbMh9YeaMkTP9uteGU26i9EOUcDOj
uGNuHuQjxqF4EY96rLaNiG7ysth0jVzHVr8vTPxgvdI/Y7LTotYOHJd9uWWr3NeRMrj0lnNnkEDj
2huz52XA/jP3tYhVQmylACfmhhztLNnl41RuF0d8Ta3bbYgVI4R34O1WdMspdHOLGpjn2KCvYzQv
3k3NRqJgkIgxGE+6o7ZkXX5KCajCaz3uiBm9mt6SJg4O4DGewTj17oXxVYn71qFHaOkV03S8S6Xc
8o09abJ08ZNPNDJtBNTLRAVBFO6q5IW/IroqmBrLA53ACGLKKmMDi7FfS4V8puedTLvC7soBTt00
Zv7ilqW7SbrsWarRPNpRRxSvC825CR/aHIE8JJEBVMYUBaLmRIyQS4BwA+plLP0un3HYG0JrSTGP
9mF0sVvn8imdKcuZuaaBXAQey4YuDAJ4dQDst4V/cVsxc9z2sT1ASZg2chjP6Vi7K7iVMqCuRxhS
9fjfM2WthqkLTCKxjmkDaLEzxLLtnRk7c5zHPkLCp07r91bebllF3IE4WhOWrqC2hvtwBP0VsmkJ
8+WIK4YhZNEdhTLuI4OYd9q7rSIFRWtaX0QIJAfrm0zEK2lP11WqA/UGnUXsMZPZrbKHB7uJAt6v
BwnPU+Ivd0Dcrmc5P2GDO+opvXfoRmEACwUjTj3tCVwW24U7rpuhdjKRjWZuQzfdAzL5QKe4LusL
WqG5IMFqh58uOKKKRnf2hnM71Po6qonUzrHcrntCdkF6UGWNSxcGbqMbgNyt+NAufbzJE6PYwAZ0
Hu14cHgDJ3iU3BuOhpCdG3rIiSmA/U3lGYKEECtdHi0fWHvlJvOaMnB1czg0DNlq2zhyYAKPjxmp
a/Enb6vEQgcEBTgwHP3MZOe+9HQUw8xtgXLDIvDUeY67x8jQv7nJsB0H8zlu1Ekvh62aclQ9zVsj
vE2crdG0gsgOsfeZI9x65AWdW78aTbGdZuMZ3gbgCMwVnd/0oD6q/LmBd0ktpXYI+PgE6EH1OD92
VvLstXhl5zhydhDIjmh/jsj5tNVA0Dl29ieV1NcT0Gg1fPbxuAsbi76RyhlT0HSVaeKq15tXXCC7
eUQim2WfVCx+4eDoMevWpxN+VclyXTHRJ8ulDKC8khOuwCDAnvRtTIsHm8xViXVFBxZLUCEhI+G6
BoQCXkCtY+hmo0ZVGsnunjzDcmtphVxxJBR00WNKaM0M1E6FSSCn4slDCneKR6L5Gh6vDmkQT1Pe
fUwVTUky4aShpJQCYJqNJjjf67y2qnydpCGADrgSDQcBgwMf082u1uSGozUqqK9vGHTQ34Md+VBp
+iRZDpJsoJUzHmycnWM7cODKd1MdU5md5pSb1gVBKykZK8s7F8C3VlWoHsaqJWsmfNOT/qgsA22g
0oD1Ro0v0VodQODMCKHyV+KD1kD3VpWCw0or/k6Jjq4aoi/g4Qg2P1molYcoLKk4ivtz1T1XXQnE
pWeFbgWOzq5p6FJ9TwJAu24X8T4M5nB2edUs0WmeBJh9zWXYUjAHW6zmAagLK3gP/sHAHzWNpfJJ
yUiCiRGciUrp3HRbdgu8QC4WYVOEjNG2kZVa/PsgxGZA2RQmL0XWeb5jsv5wu2+ouj7w22+xGdjr
emRFUrrujakcfS/Sp0IJ1pCmvot4bhkd7Gs7hevXherYFXpQj83OuGz1L+ChdllZg+M86RYGPQ0x
Vu8xFCozSicnZ+nqMAObxOz3msdoMPMYSQ7FVzQZPtM7DoDUYcYTMhDp4SkPXrZiYHtnGlD7csM5
qLy5SnRW54hzHJaGHE0pEoPragxRUVXXLlba0ZoIBgLd57XyXurabq6roLe9r7hogV6n0IiU5w9T
ctko34tEJ5JMuTwqHp6yvE9PRR+iYhovz502EX4DnkK13+ZYfU+Ai5EqDmM9d+GmzF7QNAwHRWTD
yVDyPXPlU1G4QW2ma50Np5/lHgCepm3gTzeB0aldSNm5pTd6TAUhRYg4GOkZF5vOkvtWWG0MCvnV
2Kf51nDHb6VVmttKFfznnvmklvPELNel8J6YLEI0mRkViswIWgkkMxsvumo8gXMxv/L7nMso+Yzy
PECJXVAxRzgCVfxGwQzcCScgAzqiSQZZXYjcl+moI1E80kM1egSu+6JD78xAOeI8ExCRIDMJi4Yx
HkqCKKLOlF9hteuL9ECK2dMo42OVYxwP7c5ee0PUouRAcDHXV5pD4gHH0N4aiSFxiPjA/OC7uDPn
ajkq+0PC9Bw8ZraDCJAkftWWdttKcgzqQdzaY3qKRRvI8jWt3xyoRqBPvP4N7Sv73+E0xuFJpuuS
betKd5Ogde2tq4nrBrbs4Na3huL33FdspXugzp4SH7Pl3V7G6nr6UOu043gsvqG7qP1WTZzngLUW
FCTXuLRWPS08FHrHYb3MKpkyHeLGozVgGSnC51lG20mApaW9WhjvF8vy0rnD0wgQRpkFhexaztgI
xux5xKSlT+wFNOuUkW1IgxgLOFvJCS6a3X+JSlxTlL1YYKgFSxI8bshBA15ljYWINm9nvLM4YA1E
thwH6xLPO2E2T1WB3bVAcdcN3iYM2Vu4pf04CeKqY6Ng2eOeFvNxhKGgIshrkWfHuyQd7jWzOGhj
uzHj6QNqKWvo5M065pZ33VQhb2lhfKtz6+RGbLCTeGcsLDgnajLEsuFq7moWKv3eK9yzyb7btyDA
s96n2hlG73XM58eG3Pm1XtOZm/H8MLfDNzXz2CoDHITO8LYYw7XW1Efd3jZOuM6lE+5Sl7wIHYjp
CmvIBl6Fob0D37jrl0vWAtV8qRl0+xgf3XorUARd2rddmVbHSbLUKcOruGz7DYqcMV8oDBbejpdS
dDSAykcoc8KNm0AoEviJ0npcU/Pu+twBe8GhtTTyNgPWzXgab77z2Bs3UXzXAi9h32x+VuN4blN5
9DpgThFmCZvQE5NlHNS2vOTzi2q5XXD34XsY7ofhXtX9jsLxdazK17jKi0tOznMZeoZvat49U+Bs
oo0f7mV/dEbo+GY/nj3R464F32N74Joiv77M1JfF+IZp8YwhY2SZVbr3vd76WTredtq0Aw3im6La
VF1k+wZkGMd1XrWpmdbGqN1FubvVXBP8l/JnTsP9PGfXkZW/Nmm5Vpn17CjOvnrQbzMFF4ScCrvg
Xu4dGyEzjcpsPc2OPF/w5CTadpicUj4dJ1c+lAZHhx7M/qAU5irsvjNA8WMqFpejfsWwY46CfE5P
EdQszX3P82jd841NE6e5C5VIcROHqZz8aiigt8Zv41Ln0InfeZXv6r4ZmOLIZ6V/F+NuKfVvrUka
Qz19ZJX76QBTWnrEnMWAZ6h2QQj1Jyc1+bMw96S6MG6BP3C4Raulu3Fbs8XPxBJQoahMNE5P20Ga
FdlPZccvCZmEht4rkjzMy5X5kNf2ptLqc+xoh5qhz9IQsSIbBmJdMT6DB46v4PN112w+uTWqhwhu
i58mLDXMKs1W+NkRYLjDhdLAHMZeZ8V+LjumLf1ZizLGgsbN8n2eiO2A0UBw0N4sokeU1LdzbR9D
Ty8PnlvgIRteMtM+iQInHfjmbFV40zOMfbmaneiMAhUkyog2cAqrwLlsatoEvODUMsjnqmwj60uz
Q4Xgdt2Ix3x4IUE42zBfGdcoD7Bez1WIaA49dxwO+1x1Z5TsCXD86onPaAt39xqX6ZeZgUZi8xJe
pRh82WZFVx7wrcYt1x5rQURsIPZzAlAwt3FspE561SztpnYwTIGf6Zf+KxF95keJRpGUWa/jZRWd
hc0Xarg7GCztGtzacwUdhfNeXNvUgf9oGv2vKTHrfsbHBJdZxoWR/qOo0mr4qGcuvYdycKdjP0e1
s1r4mn7YBfyFcvfPlIX/eRnx58u0euUMmp5yNy0U5eZxSh///gJ/9o78dgHbBLTO0FtHrfDnCzSm
07TFkHCafbV5Q2W963RGGRsv/Rbe/f2l/mqwDsju35f6SYc64g4brJhLaQMI8c/QO8TjY9fyCf6H
NNVfY5F/HuH/eCXkFT9+OTmS8NqYuVIPsBxFIOWKCCb9iqUU+aFIuB7+/m/29x+ip/+UclouduQ2
Uyj23cUdnXozUlZR3Jv1a8Ktm1ZIUO2GQuDvr/qX94bE88N3x114WTP9+LccXVOUNEiCjCb6mGQ9
ufP676/wl9/YD1f4aeWSjPDe5oUr5GO3ihbd71tna/V20Na8F5v/4J/6s1Tlt1vxh6v9dCuO7Aeq
9L9JO7Mmu5HjbP8Vhe4hY18iLF2cHc2t2dx5g+CQHOz7jl//PaCkIU41fPCx6XDYHrcGebIqKysr
l/e1bM0t84eGZj99L7l5/Pq2SltCBCN0yK03HtNqbv+a7hRyYnp/5+X/7pn6P+kL1g2Qvh7NtClF
2Dq1uuXWOHU1T7dZmgsgQv6SyeH6tXRHwbbesPT1DfopR/BCsPgMUlrpmqtEoKqGzd1QgTzXBj5d
eNrH0C/Pt1fvMcoaxTFnoZjgj8xMD8AXY/nIYsfqW9pLZP0QaS7ok6Z1cc6NvmGC60b+U8P574v+
JaOPaRzuTVYyHl6Dcbyjq/yyodT8ox+5i4VSwkGyc4h0U9CxsAnjDa0zyuFIp9D9BhXylibCYVKB
RSkligGu3pRvdBtkXya1bmuyYg64AUNVmQSEhUMTThBPcGVyckNzVeVOqtya4B5qm3fTsAWLvHKK
FPJS5FMo90LnLtg3LZNNXQfoUgErGmUuF34lHeVgY/NXxZBOUJiUgOJT5Fbvpq5U2jjQ3aQ8hhad
vzvv2OQbN+DKvigqlDoU0BnVYITz2sLCLtVzP0TISHKIVrq9Kivu7X2ZDUgwMGBITNlg0sNRH/H2
qrCfwZrDfTToEzRQHrQFyQEGyY3lWtNkKUbwBiH1oE6mDstZAdnHBxUklTdErOyICrg9OOIMs8AA
IyyW3EaTlHo8fsfEOQ/5yVdPoUFL4X9Gif5PD7qiypUcwU2rQzSOnT7LSQ/kYVRr46Ss7MjV94UI
oc/LrI0GSXOtynpd1S5Ni6nkvP3lbUcIOV/Gj2c4LsFZBpkTjnJNWGBXz4dnVnkyv94WsL4bPwXM
q7hwjjR8OAC7cD/XzCGGcgS4xTezlvdFEp9+XZLBGBERL5PNpiwc+KoNoAOWOPC0yj1PjRcFD5Fm
bt8C3/K2pLWdWUoSjJiGiqZnmEpzI26yqPszSd2UJrnbQh6bFx25HEhaPAzDlmdkteXCqVWeSwy/
626lHvTyHgTFX7avawGCFgNL2XY+ArqPcveueQ5i4oaExzHntQTBuIAxCasowqdAM3yYgPSP77w7
k7GO5MtIEPp76yUYms28YtCqqDMcst1GsDS7jGvniCKQPwMqw6Qc83DXe1EBpB7CYaS7JsjATICB
TfUpYAzicFuFx3Z1LWY+S8uzQi3VSkOc4wwl0p+mZ1Xx8AQJ87UL0gGt5aJRRWOsRR1T8a7kfJJI
AKgRlMzeVkC0qgeIf3NnuWEQ+1/rkUOlOygtW5E5YLcx2/M+kdu3tvzHbWVWdkWVZVXVacWmU13c
FWidSjPHnFxQdjSQwtt9rH21KwYzNkzrsQ+jX2whSNyXSrIjmiJ114BOhznZ/g20k4r1/rY6q1KM
Gb4IblZAggUjIzKCjSksdfLFlyB0vfICFHEXbqIQz+daMGbmtJkEMBn64J4UTmWW5v7U+8gpdTAB
XowRGAg8ZmA6eJY2YNqTy6F9rA2KX/cGID/oFgwz2MYj7AmfTFnixLnuWtqxkO6oktbDiQLxeGJA
6vZSrhjglSjhapYSK6gNE/sOe2YHU2xvyMjERL8pRrBzc2j1uq4y3Y16CuQOEwHW/QwNe1uZlZca
5vdz4VTh6R57dRFA/qC7wPnuU0AUXNrv+2fKJ+Z7aNYAe/i2wLXVUxXaOHno6g4dm9fHV5cpog+Z
goGUkO8euje5cv8ECXRjKgZYJzowXtcSRkfSnJwWGXd4zswbdFwvb39/7SjRN/rX94W7ALjoIurV
YQ5mvfvON076BJhKaz0vLW9DlTUntBQlnNoxCkdaClElfwkJOhUrdV92d7B13dZoS4zggmDBhllv
6un4ZE4VTNFLrRrvFJAyrMqm5Ln1Gpi3WPQR0PEAwkrXroKDvd4g2ykdJiFbLJvhD9jzoj9K5U1E
Rw79lsXntt7Yr5VYR12I+/GkX1x8MShwMEB0umvr1X1fHQYS/7fXb9Wm5/cZaLAWPcbz+i4kZJ0U
k5ZXeXd0h3G88yQY5fKNc7OSeaDirTPINPc403si2AK9W31BqUd3W+A9DgxGDq+N9jsFGqUYD8Aw
1umL21qt2jkRNDVTkwZpW9BKiriYYPglRoTmFtwsIHV3lVEe6G1znyAJdHwcgkZjwIzmu1w/gERt
xqADhgRNaDDAcq3r4hK2vWs1n25LWnV3MxD/f0UJh1ejyBA6VWi4QF0G0zND+qLf+fdBVO3Agbkt
a/VULUQJGxYb5gh+sKS7cFm4sSM9822mILkEkcn/57awlWhYVU2TnifwEkCNEgP6qJO8DMZOF1pD
CndRdmrLBwUi9CDbW19uy5rP56Pzu5A1xwALc3eUXgLgLDFcpf1gUrtKqERUtfpVjicqrDOpBuBL
pXb8PamCkSSJnPJdNPS/GNHzUjpaxhFg/HJfBS8UZ8NnrO6dJavMDtCdQVngWkU98wzG4CvDJeWb
v5pxDdtjCTrobZV+REOPVvKnGEe4fIH7oX5t54ar3xXhQaXe5NDhCYrwM/lgWt/zttqQuLp1C4GC
mYQ26KgUo9DLPzneu5EWu5R5oXfM7N9WbUuQYCOjotIsqZaGS9NofKIxUTOOdfls5o2KB9pjN0xy
fb94EwCXxktKTMtIshPGTLcZbq3eDcVbJznSewag7G2ltqQIkZ9aaanElLPh0pzEmNxzu3gZZ+Ab
VRumvnpjWT+1EayvpYqSlHQ1uuY5V+/GcsMxrTvBuXBHnl8GB0rwTKkj06eR42/nIaq93AYDPQbj
+6CwgamSgoPUJPAF09/MAB2IXiCGuTMx71MW8+ePEIIOcxydEjwgww2mbD+k9blpPvjq/ag0RyvV
nxLhLDSed3bhsipnAKyoSg1qbUc/+K6A3FE33Uu5Lo560Ww86Fd98UKYYCa1QZp+JA3tpu3nuE9e
asYr7SiBszw42nmw7Q3d5t167ER+LqRgLXWUZlHi4xh1x3sJaR50bM86oJVub9eqTfJ6NGYCT56r
glJZZIB+HTtz189ZBxZ1yxeunq3F9wUtgBcx04Rr222Ph66+/NHWVFNuq7Aa0Njg/8uEaPgJwflV
dgjcXOZxITOPCwb6BQhtms7OeTRubMmPGalHe7IQJbi/LBjhM425+xnmCPRjM55G+UU8jzSAZDYV
R4OhFWW89LR5wxnw4baeqwZBGDoTh2vQmAg3JYgQsg8kOydrL/v7pHkWKR9vS1gzBob6TRlWIwDf
xUdc6vhl0Ji+4VbKPgZK7pereiBVWuYM5jg/EcSKRKDVoTIw2uRa7S7N7r1snzyjh6tSNgxiVY2F
HMGmpS4zIo15L3eaJuZwdjBfbzi5VQnUO+CSJ3P8CJnS1iKtcuaKhN5on+SxBmXdHjZO5tp2awsZ
giPV066osoFOjKCntWUChl4LXo7ZVuiwdno0gB7A8iJdqYpW1QWgSpYDFQkVOkdeHcofeukW8VZl
bX3FfoqZ/77w1L1c0yFrz4UPWz7FRJd2WR+eYL1kIEwIs0BfFXP5dUy3adVR+wjgUt/x0Af9SH3z
ezIEB+CNma9N9GS6Uz8xKQEyfrahxdq2034DhIZDJZJs6PVCBZWsMe9HfqgcW9rA7N2Xlsf0bS2s
lauFQVusy3bomBXDKq8pVDs0GQW16fEJv+Zx92Ikw86FM5NaPuGsLIUJpxFYRPB+mOxwLcCvVKe6
99Vp42ZeXTOemAode6ycGPjETPSEEzM1rsOMp+r86UOkkHfvby/a/DtF3z+j4P4oqELqO/+IhQWX
EXw2Q9aYDJKclerSJlBluEHxxjr3T+izgC53IUs4+xTdStu2K8Y8DrDKMdgF455+yOC/0h6K7N0g
b+VZ147nUuBsMQvlfGicrd5DYJ+fomZHL+3txVv9/vw8Nw2AYUgPXX8/aK3WqcvEdL3WBtjhEPbl
6fckCCezk6K2HvXIdI2WySe1IdzNg61GhFUbWKghXMFQPQSMBiKkae9Sa56C/T7RwAZdyobzX/PK
wC7OQfyPSp7gBQAaA+helubUCcNf2h95G+/V8evtJdsQImbQCrUuUpMRGReU172W0O1vqKULlBT7
47+7LWvtiNIKRasAYD0q//PaAAplTJhyZR7CGD/4xvDK9KwXOWAft6WsmhnlNsem548bQDBjUOor
0JRrw413kJscb398VYXFxwVH1sktWe6iM9wBaBQttA4abVYwke1/T4yw9YwralY0oYMtF51L0zoh
5TCD2YHRdVvSqjX/VEisERRNQxNp0hhu+EDaDHLoLya94bAYRRvbsnbfUGMHTEoD8xzMpuvNr6Hj
7saGrAGUS0c99k+d/mcUmLtGpRG76zc8wbxAjxz1QtpsJAtfBk1CyFRzwTPbOIGlw7yjTVNXx7ji
3n5CAZnwj/QcCUEwIsT8nGVBBhv3LGEB0X0M4PXgqxu7tK7OTxGCY1NAAIzBteVVr8R7wtEHQ2v2
1vRu8j+aqcQghXny4428y6qpL9QSNizvgSTtzPkcgXW4U9pTo25s0upJXUgQNqlIvNCUBw5Txciy
GezbIn+KBGuG7dBkEMnEQMqMgF40W9lwW9ClS51kCDopG4d1VQ2SzuDj/3h8Cg4ns0qtYHzXcMt5
MKRshjdjE59vH9PVvA5hx19CBMeTyKMhVTRtU1ipT1OW38FY+KZvgvDi2UEBzmEEBHQkvxoKuOUj
2XhWmgwT3/4R64rS8Ul0RVe4GGI5U9LR5zBgEX126AZtJ5MU/j0R83W1OLdjF2qxMfZ4iYfqm/Nr
WNFzFy4h1dyy+h8FhJ0C4rWTeomvB/Y8X8d4DgybobXVILPqUxdihL1yBsDcJChzXRlW2pQhrgr8
7sA7+9q3qgL4bBw33MPqxtjzI1T58ewRIqsM/w6495z6tRuKA/15zLWPtzdm1RssRAgeiKmT2vE9
smyN9acDuFIwvpOTbON2Xb0jFkIEl2O3US93Fumu0NH21qgzkgJjUEP6vNfPudIdnqKTban0FPAS
ElswBwn8V7XmSjJ9+37qvnn9y0Zt39wWsrY34CSa6lyzloESurZoneJhoyqt6SbQ2yWvjXzDTa8Z
2+L7mlBnMBifV2LoLFww/lKT6ZwdYM0W3TnhWTI37GzNCJayBDur/LjnzYsuL4DKDWFt3PCk698n
U4ijU+1HAxsdfcRtI/emO6rhq5bJqj6f4JLekDL7EDE2wI/+JUU4npXtNHJoTKwYPfInNQbL+XkF
gMPtfV+zZYhKSd5o1Jlokrze964BWy7vTHQ55uoLKKGBZwEgN9t6JazuPwMh9OTMOTWxL7pRaYrI
JPbfHI6JAqnJwaeyHzNUc7D897d1WpfF+1rTNN5w4vO36iJjGqyRF2Lodt4rWD+a592YHdSXSb/1
Gl3ZJaIplQ5sSu+Ahgq+2pjqRuI24NyY8e4+AJdFP7RbObyVTdJoYQU8TAHjFFnXm2SAF20B0Wi6
3TeQrshCMib/rAJB7/a6rfiAKzGCxQG5FajThBjDOHbzjG2qPNyWsHJyoKeDwFUFcR9nM/99cW8W
ltIPhe+Ybs04r8JYrw47aG08SYpmEkixLY9Y4MtOjeI+Qoo5jZfCeQmS1HE83dZkda1oAfyvjPnv
C01m9KYSf83zOgn+iAHYcmrl9e+JEBZL8qu26yPPdOPgzmJAus3Cja6RVeNdKDH/faHE1CoGLCLz
QjGQDUCDFD0kcATk5eG2Juvb/nOxBPuNZc3uoxA5cKAH7Z9fKfxtBGTrmli0kbHn8CELLr8d5cr3
TdV0gVU81XCuQBV8mkYGI4vPt3VZ3/ifkoQIY2zHRO0j3XSj8b4BgeEJ2ecfAwRUNWYIPPEiHjRm
QRXepm73djw8IfO0/Lh4Cwc8N/uqxmpffH6KI1TocgLq0NF5PGvXtiQrDKapY2m6g6rsHcft/I8d
/KK/vvhLIcKpG+zYiUCPIzf3zh6PY+Xe/vzKxYET/6mDcOK8QGmHsuHzEfgu743yjUndhzHj0jMh
RnrCg/xKmnD6Gs8qm6RGGrAJSbynWnZbm7XeDgQ4NBDT2Y3FCne76XmTBrIJxzt/XsmwicDP1YA7
uzPtOzgD+L++N93lttC1q4oYlcoZ/KHkzoSjrodRkTqawt0r3xVm7OaVO3rdIYI16ragtafmHA3/
JUm4rTq18ydjGIlckuYSWtMXxnQ/+rb03snubE1/XxiQJfjdKYvSc6tvNYytuTTmSahF08sFqYxg
7pZqJHCgEGNCAlJZdBwNylu9DP+8reSWFMHeQ3hjlKAeTNdJkru2yZj0Mc6t7b/5PTGC3beBZwFi
QUBb1XvGF3dJcLKt8PgEISQ6GdWGWJAS3rWDMKniBBJJT0CH6UWYQIcp4IGQQNP4PTmCg46tpizH
muKHpKUzss++U+4Yyb8tZD46QnCOEZMkZKJMo8YhmPkIrXLReQXKlMAO3CXx6wHQ9ObA5HwZb2VV
1q6cpTDB0smpVAmIj9haFb8Yw09hYJ1vq7N6ahfqCJ6iAtFayXM8hUfMfN/Jd6rbWlt916tq2HQ+
QF/sqDR0XhsAJL5aUuVY2bDbf3vC7ydrohiMSjAdK2xHoJuK15j4AhobQvs5I361eVduuLZ5mcU9
p4TOM/zHS0kcLhmauAbM1CKp7gHPlZfyG1Ufqp03IweZlXdWsv7PAlrB26qtrZo+d9xS+Sb4F2P/
OFdzzZ9Mw7Xqowy5yLQFt7vmY5YCBOsi/ouNNJ0MVwOfvcqchutB3hOpfwVHFoweSq99oLhc+f2B
4CEATMk70T39MvfguIcYENT8oH9/W+u1eE43CSSUeb6VibdrW0kGxQDYhKISzMvescisV7qjvAq7
HOQxvXQ2XNPqzjIuBPSaavAOFizT6pRQb6SQm9iyX+WJAxpeEYDdC7ROPRjvAYL64pnTp9sqrp05
/adQsfPSDuom0DTqjHWgFrteHS9OySu/84FtjmaAqbxLw40X3pqiM9a0TgTJw1isbTqD0fYNYC2u
Jjd7SFIukuHvOu1rWrybnBgcQ+1wW8nVGIQeARvaC/jM+a/rjfTbWM4pDtGFCbYXOBeuTVLYAHnZ
bK03ck9dEhgvAJ0vMpQF8Lvsu/xhLNqNtV47RBT2YXRj9Nd81LmeOF4CUhwp4VROgXYGZLB/e1vR
NYMlGGD2B3ANinrCFdpliq91Ee26dQdsH7BU1XQPLosXZr9entaWguYfsnizmZqRwrhANrBojYsN
MaLcnm6rshpZQYhDXgNXiokKhw+Oa/CQ5LnPOZtejIXspkyv95L1CdzTpqcfs/DYv3o6O0DZR8av
d0jMsh2KojxNia0EBccydNKcCLKGsko9AtRvbvV5rBy9KxFCiFDEwQRxF0kbGEPlF8VwbyevxmYP
DOPtlVRXrMKYmWns2bEopL2udWkq6j1AgXIvpd3DUNq5C16OeVZSQAWrEraG0d7DmhTsA9tm5glY
0n09DHAIydUZk71kYMRFra+eZbv7o53h40BeAzcRRDnTjPf5AH0nLCRwiM+wc8o0vnNmIDrO0uW2
JquKzE2XZAhpxBEdh933XZb5vEqrZw3M9tPBbzbWasU1GZTC/5Ig7MlgmENWATHIrIK5aytvP0Bx
aHSXVHnnjPXBz80NXzg7deE6vxIo7I2RSWNSMUbnNk4M4+cRKDEN/MkQCuI9vHDOhllvreDsohbn
tqilGGTdOW+gfUml6Fi1+THrg0sDNPhT9gqWAkZTTVMRXS4Q5QYujgNUSN6Hypcuo+wfJmn4ZHXJ
r3s91vCnqHlTF0qVdWN3TsdBqhlAiyCZnqA5LrrmkOfphlaPwxSTKViVSEghLHiUQC5DIzJDiZEP
lXamFhTJLvUO3fn20s2bcG0TCIGPCBBSoo5HoDG6VXmhM1ChmkdI7ozf/Lpg4mUINoWp8fVJOVh7
GKVv//jHXo0f70Boyr6DpCFykE9l0+tGSz1vcuCmfii7Hd3Y9lZryeNjcy1ltvPFlnOEi7rMCBed
3eSBiemc4UYCO1rx3owbTbgrW442jGjShsW2i4acll5WaB4Vaz16X3wu+sv07faKrTRJQ5xn2OZ8
VFh8cZJbVZo6bSrPAN0kOuo5l80LKbsAjdmGn4f+s2G+9eGbLM+R+uG25MfeAMEU4tHPJOMkJsJZ
P7mBy56Kv/KiCw+AHwCEZ/56wfVairBXfdtmTH0hxd29/r3fP9viwgpMX6uHuLfp/El8MOxmsgQ7
PSSyc2zMXy9NXmshOJkO3Pp68tkk44/wXShtnJqtnZjtfaFJnndZzYuClwY8S8+V4hyBOhq+v71c
K6OTsw4OhW+6veb/fS1FTqzeqgqkpAEcIgOYvvS0h8d4hvntZji/RgL6XNPH/CLrYJf5Htyht3/D
im+beVVs4hDe3zx1rn9C6I3B1HQ8cixvfIij+OUPxOHbMh5f4hREFjKErRoDmwpYEJgu7HYG8IEA
HI8z1HFZT6fWmqqT3Q8GzF5kPG8LVmbfKXhugntqiwAl2HMP77V2dFO2XRDOXYgzzHIN3nI3Ay93
MwRzLSecLwOkrKznfofZ1DmS1pX2AD7ewWw8bjyp11aazCC0PwqB7KMqVyYFktdMJAoKEKFj5QGP
fb6t7ooTxi3+lCAc7DpqpXhskZBQqu+BrQY1uxk+JxBX5Zp5Kgcwbu2tgvSKWtgOw+AUCRkmEJ1l
AqdBaoyz0Bn8ugUFGyz5raf4qhDQbYgzuYkdMfofnKJrG4+2VTmoiGNB7Um28lArRmqQWMDrkluw
H92TTWKEYHZgKkFC7NWpY3xXRTaw/knwvAgnf2c6CeQ9v378rqQKW8ZD2zayBC+mg/HbFvHBozH3
l62CFjKoMGdC87n8fX0GfHJIkaVywsvprVRi2Zc620/dobQ/qSEoBFstrGuHDiMEaAN+zRlOQfBq
ml4WzI6yWZa9y94Y8g58Yx3cz91Q7D0V1pYPPN0qf+Osr4QFPIBlhmIVQwYbRfDYqeEng6/5xLfe
rquOcnuQzDe3V3Jds58yxEJZ0mh9OPgsZX62tAvEKqkPi88zdThFH7R7HRToZtjYvQ21ZnKx5UVU
DmbMYCy+M+Ox3TbnsOgP8IZuPLPWztdi8TQhBm1CHQZnmcUD0PdF6vyZ8z64vXYrFyrbQx2QwIYD
LI5O6WEQBXkZI0E7qQnI+y7Mp8oWZs1KYsm8EiNcNQTCRRbU7NCrMdxLyalV74q3gfopzE75r/vz
K1GCwfUk6XTLx8xtRr4bovfPt1ds1dowZYazaFagfC1czbaTKiUE3ljbrnPO8N3DwlREJyZr4n2m
nkrpEDiHqHu4LXbNFJZShRV0fFJiVoDULNulb6TD7a+vmcHy68KiJbUT+s6AGUSD87ZVzrESfLHy
9IHezHe3Ja3kqxg8+Ll8utBblnbN0AcxiijRSXeOJ9nZy8dpgjXoU7QR966uGek9EKao+lDNuj6k
qe7R86XMQRRcFyrY2DCAbviBebOFSGYOE8HyoGSrkIa6FhF0WZIG8/UkgbqT5P5wDKHg8HRA4EtI
ORx/C85q3glRIICKXOnz/AbZ4WuBNP0Vqp4j0HAOfQ5mfHRPwBKP0c40fn356P76S5Q4xkGLo9QE
I5egOb7QuS/g1N0wu5XLHZxK2aTzl7FT4KaulXHMIlXzFP8WQWU0QOYB5WrQwdIH/8mQhqdos964
sl9ItGhtg5YFSlthv0inF4kDZTGABuZOcvZ00RrRxQufm1sgOWuviCtRs3Uu3ip1BsWGP/HqirRg
n+6G7FMHaUx+Ydy6L1/nxkPqbJyt9eX8qdx8aS0kdlEjJfaPd8tRUx664mX6PHDe3z6/WwsoREZ9
rWqJ72N/JfwgBWQpxdegOtWX21JWTu4MmGkw0kE+1haj1yIOkxwmGJp2ywSkmg9qutXFv3KBLyUY
ghvS/DodmlmPXLkA417Jl2g43lZibanoDQclde6uMMQqQ92kIEA0KEEbfWXWO+tF7J/hGoDx87ag
dV1+ChL2RM6aSPVSBPlAmDqH9KNtbriCVQkG71BFtvHdYphQyFEUOTrHxg/1vUIPfQffkex0Gyu2
cg2RYqHfgEcL0LLizLAV1x30jCgSyC+1rLhErf5cjrNjb2QbXccrbhSOM2pdsk5xm8rJ9VGpfEho
ghzP44C2nzz3sWW4cLTgrB8VyEZgk769RWtHcylv/vviaFpmlVTMF/PinbIPZhu/sBJrD2oHOdji
XUi9+NNteWsruZQnXBMS/IyFVc/3khQfKpuW5KI92MoA6P+X35FEy+u1Zo1Z2J1iYhqOZe5TLYJu
5Z2Wlsek3FjCNZ/AMTJANCcNyMV0LSiDDtoInVmlist16PdTtHEdrS7aQoJ6LUHN2oQSG0aRsk4w
GNkDPHHVPtsy81VjwMrprSVd+gh2mphb4WaYjUF/YTsPdQ9By1cdItB2p1Meur0/q/cQ03F/SRNM
r3cKn/TCfOUF++xDLl1qeMk+JcPbcqsWubp+C0mC0UHtptVtiqRk+m546UEuP+PfD2SGN3Rac0cL
lcQYciLJmJbW7CcgDoBOZuhekVF6ijUQ5dMADXY306XX1jBqYemRHyQLCNEcjaz7QbddRasPhrLx
gF2zbObLiUaYYyW3LawbSbdBHVKLRNxUvyeNfkyt/nzbClZF8MiDIheS3EegsX05SV7ZUvsJqTjq
5l3NfNdtCWtGPT8j/ythNo6FhxuA8fSsgaZe3vs7o+qOWfwsgWCt6u2N3V8zs6Uk0Xd7IF1nEbqk
oObp/d7R39TWXXu5rc9KOZhuxYVCwrnR9bwI5p4ylxGvfD+WKtQpxcyaSDZs3Hm2ecBAnhdmcCc3
xQUylXdWFcGOHLZuoLavtCxNz0wfwazpVcplips7T6nfdIVunDygDs+1Hj+rreCrGbb+LvT9Z5lX
P8AjFG7Y8VoYstRDsK7AroZC6dkYpRo+Qlr5h6F7dzobFM8bZegb7++1swm6hEETicqUpNhabElh
nZk9xgxv1bn4rAOWU08Pt/dmVQaZTUasuLsf5R15AMFoV/oWL5Ohgpoohs+6hyM1hUTq9ySp11Zd
qpJeSjmS1GSnHvNut/WAXD02C1UEL9PbWmMq8GG7pfw5vtPHHfyu7+NxfClJ9T6q0g191p7f4O+A
S87u0A4rdk/5AXztFhTObq8PbuzRuST9YA7tYL9M6+i5kSi0Nk3HwYgdOARg7W2y8d3tRV11Rj9/
g9hM5bSD56sJv0FjGivcbXjTVXtffF2IE/o5wQDogOUOcf0hmjVI2/FB8cf3UQa78oC13FZn1R8B
eGnTvG2bjzD+ww7mwqa0GQII0wtASvtKh4yqaWb6Qfe2qLWVY6CAyBicI7LiwllutMHrUoeMRggB
8tHU9k/4vKajBvCdvMgFz9pWcWnRSkpyod2NFfna0+3vr51bLrm/vi+4VM+imiPPWVPFaZ/X3Xji
eJ2UUP71UrRFdM9IxtyFSRh8fWirom7h8SObZfTvJaPYyd4hlLWNk7SqCw0bPFD5r0fo5aWdQqGt
M/GnG9Kl0l/mugVj7MZJWfMOsIX8JURwP1GfVo3V0h0S0B6d0aEPkg7o3zurLF9lzX0G+vsTdmgh
UHBHSq9YDMxyWZhcEjwn4+5DY9YPt4WshqRLtWYzX8QKaWi3kjegFuXcVyH6pNFJtj/0pXmhQvE2
9cO95VW7tNk4qWt5aN6VNKsxoDsXeAQDd/Imh8KUTXNy71kyqd/H2v5ml/GzqnOmUxn1QNT0+qs2
/gzFCUmBBsYGX1d2XjxmG2dhzWssf4pwFmoakL2oGkxXHT/HiRQwZdfAjekld14sbchadRsLtQW3
Ad5w2CoxsoqPWkMP6RYT1cb3RcCPDvZF2zf5ftDtQBju/I0s68ZaiaUru2/HNmnZNq1ojoravtPz
160mQ6yaH26b5vqp/stAVOHAGXIJZmE/slLzlGC+087Z1G6csdXV4rLgSWbSgyq2k0xO0kbewDRK
V0Oy9mc/bByv1dVafH/+++J0FVKvSGXI9+3kDGdvxIyIppyUfuOyWF2qhRjhLE1tZJU+/fTkN2HN
vX+xPTW0ulAzmPSPBPGjPoyx6jtn9GnI9OuvEm0XXbWF87nqXxcShO0eoPbNwhDD9Th3zXwApcYM
qUWYb4Fhel82TXqnjFnyFCtbiBW8bBoQlWhlyTSUcieb+dEA4CUwPj3BlBdC5tVdmsHcL+VlNa68
td62yfjeaezgDDv1Voy8tU2zoSwENWUcKtqEoFaNzmNmvA1s/Xhbl7WiG8P1GiBsvCgeY3H6cjU1
mcWVrijTqZZrp9ppsyaNbuGis+qu1MN73NwAdJYWHn3FfzZFyUXeOForNn/1MwR7sa1Rym34at0M
R+c/BylF2egYX4leryQIpuHleTHEWYYrdeM/O+NrZry34SmUfjGha6n0q1EXm9FZcULieEwUatLU
VqPldq5xkU/du9v7Ja6T+HlhnSQ5VQDe6Xk2ZWdLemXq38MtOKtHLxlRhrBSgVFXcqshQ6ou2XAC
qsBQD5gEz56d6p9/TyHhMJE9KSIjQFgUfWr9h1p9J/Ubl5zoi/6tD+UO+qpl9kS4pOmojNSuqyzX
KYNjUd311nhoqPYmsCD39mUcNsc95tTsspYoSBRrIJOSlVFtZ9aMxlQM0cewhjL+ZZHtRnBFstR8
UGm2los3T1nKv/Q0hPdZovSm5Esl7zND2tNwkKQxHMYbDmPdAH8KEQxQybsGfBeE1Pl4LqVw3w0X
W984q6LjE9dPsMC8aeNWLdkxg2GE0fpmxxunVHQGogDB6uTJqeKprHmsK58a+YMBw5cSviELEVYb
l8WG8Rnzei58OGy5WQGogOW203juJMg1jHMovWvi4GOt7lTP2NifH4HULdsTgpSqHK2+6QrLDbxd
+UX6WD7ocLK+SyGXPvyevQlxiq/6xPyzKTSp/mpMpg+hX38vu3HrbbF1moSAfupSuzImNOrswG3s
6thnz8zqPrqYfvtsDI2zpJ62QEDEUE80EMFntMrYlqnEtnXNW01/IaenLj5P+ga7wcZhMmfNF8ah
yGE9GRGaea13sKN7U9EOwYZBbJwlsec2zAM7r2dNZHsy91qQynvgp/a3TeHHQ0G0Osp9jIAz1sqg
omALCUTelJ05UGWqnLVyfgP6z3oYUh1Q87vR+NTpf1hKVN9NUU0zDzxNclbTABgcUqdroFVSy93U
9s9bfimDlBHdesm+9NOT1HUbFcq1RV/+VMGcwoAh4ibqLNcP0nOS04OcvUq8buPSWTOgpRTBgMpg
TMiWNZZrh+XF8K27WpXvQLu9lN0TjGghSXwjhpmWNuDMYaqv0vtkv+EpN/QQX4hqbceG0fF1Mqi1
DPpj3J4S48Hq3dsWtC5nZkF0wM54VNMPJEcbnGhCCyDaQc1+1ex1ecNKV3eenA8pRVjRHqMol8yP
1SnXcuV+2srwrf7+xbcFq2K20jJkKcXPJ7t4OKoj9NRHo9+4GLekCFYVkX0dqw4N6rumeGXIzJAe
pE8/duJ/rihP63/9L//8NYeGPvSDRvjHf73NU/77f+d/56//zL+u/5F/5T+fPHxpvlz9wzFrwmZ8
3X6vxofvNRS8P4T53/P5P/n/+8e/ff/xlbdj8f2ff//yLQ2zQ1g3Vfi1+ft//uR+++ffJWie6Hhn
IJwF/5+lnP/8h15+Sfn3L/nf9kH4txdQaf5tz2/7Pz/x/Uvd/PPvzCj+gyTwD0xv8JmoQf79b/33
f//F/AewM5gQBVYKMXN8n+VVE/AvKf+g24rwn6ksGi1Mg9Coztsff5L/oVkzThpcW3yXF8Lf//tT
7//tRf+9ASzRf/75b1mb3udh1tT//Pu1GdO1A3AU02azdCqooGFd3xrZ4Nl5VUnGpQkeOr981oza
bvS3OhcZuhKiWI0uOMp0/Nof1Is//r64nfRMygIf7ORLWYXeJaqi+wyemikp45RSnZ7dqWZov1BD
KzyU1jiBYqHk5g76iG9ZknwLKe7FuymQrL0ZMuFsp4w311NUnQa9D89GJJcfYQoMmdwEYyG2p+Do
1cAyZ1XkHLow6ndhLVcH6IbexqXdX8xyfstrY37gtZ3dD3X7hbkRMAec0tjXVWDvx1Fp976UvS4N
Oz57meZ8tOU2PMR1RbStJydHruqd0gUvbK91dlqTFoeyHaV9Lk/pPu+ndFcOUKTnfZS/NOzaP7VA
NTyoFc2NvTdUHwDZUg6FPUansPHCnRnUNkWcOvicF5HJRIVMZScokvFo4zX3ZdF9G0pdOpNoeSV3
XfA6yB1vlw0hrEn68KnMo29GUr6olMK/0Ej5wYTm4TJNJaAT8m5C+V2VUIf3gHU6YXnOh0Ix/E+t
PVpHZdK8w5BW3TnkOZtGB6fp3nh6w/hWWj0YRV7t9UIG8jypT738/5j7si07cWXbX7kfcNkD0fMK
rCZX9n3aL4x02Ub0IECAvv5OvPd2spRcGK46D2fUm10mVkgRoVAoYs7yoTRiDYijgwXx4hVod70H
rO3EM1PeezRvs0vqWkfwjOHZnwyZD1SXH9HQ3KaN/qCJHvg1LUCzh+FEw+4hZVbiC+J8zUr6POSu
n+jGF81uiMe7/IH2zXtWqN9Y3b8I07qyEiEOlcZHX3fCk2K4pzrUf452DvVMpnkG738wIKZ6SV/e
AK/7Bi2sg5/WY3RXFn1+6mMWP2vW8JpT8C+7joh3ZmkAOy8X7BiXXTy9DOFW1XS6x7ThzjBAKhIN
ZPRTzAVfZCO/r1uMtKaM3uONuEBzYjV4mXvHO/uY5JQGjt7ZfuFUj3Eckn1IaO3B76+dKHuseVr4
CU1Lb1Bb4WcqkNpGBpPOaxYdQA09MQOXR6vqPFFgCkRUzL7KQK3op6yNdpGoH8OM1r7Na35ozcSE
uab3bgqqAy0BNTrPYfVT87FOAX1eMsF3bVyJwEiKyusiBidIHCx21ZvIiMStyJo3ZuuvTiO+Mq5+
0YX+zRgiB91peeiTwnl0Ksyg5okwgrhg3wem2w8CaFHXQ9Ie8sR4cMPmFFL63hnTu66VozeGdqBC
cRWwkAL1zE5hGym8yCtTLFauJYCPCYFaYLN9VPfafV/VdmDTmn43ClbEXhSVtAp6lbvDgdDB9Z06
vCPmCEzqtOAMHHJZQfwyVKqd3YHgMhBVHB3R2YTCXNo9CKc7MCvke3s0jyJP9D0Ch70nVDyWNMr9
GC8yfhx1w5PBIwxAx/w2pWkbIEh/HZ1oH5eFtTNGAsPVlNe+ie+YCw+iyTfcwe/jPoTdU3btaNVz
TZ0daVDtjMqnXNV40IbZ1ZjpVwBiuIxJ0cIdtNBvayPfmVlzb40AuyqGEfMVonwCduPXUPQ/TIYE
NWwif3Syy4xhrinTqVeWAuvUhgA+zLXOc5xqX5Lxoaubr2rY+0aJlco7skOqdjlgbsnLwvx1zPXa
HzPzm6E1Q+A67F11+txT4xBIGH33V+VOFHyDdlk2Dv5FV8Z+6bhfkt49xm38ojXtKdU76gNA18vt
5muvJI+o3txnmpJ5rpa+tFZ6bw0GoEl09Tmqy8dEUx/Dxv2S9WXiqQrA7jIluW6s5MpNksusoW8G
SjFxFr4pXR8FWscY4jNL/D5uzJu2IM6e8BbTYyArHfZOVZdI251yVD0rLCwvSvHQHcGVAviMnxci
9uDZtW+Ydnp0gLGSeQj7Fvw0EQdTwS83kweea4CpKkX3TS2iaE8bPfGzRr9ULbT7dw1uBwV4uD3z
pbovdvShOY4tosX/VM5zlgEdfpRTPtGcZ0L/KxMj4H1iNG7qAPj/Z0X+e/l/vPcimmdDH//uv6mQ
9S9g2Zlg55mSDTJhHvw3FTL/NTXn2yirYfTJRpryn0xI0/+F/xW9KkBYMf49+fefREjTpuwJOT76
j5GzuQBa/YNEaMqpPy6dQEkGpBt6VQCNA1CV6TeeJ0JDXpuEWVl70rJHtzryUHisZR6apeCKl6pb
bdwczxOiz/KkHL+ntA0Nm7anfBwi3zWr3VBQDFjEzpGUzcZb+/TjP5Sbeo6Bo6oTqIeWBAutT+fK
NS7e2lUUYoEfl4D6jY4AZdDv3AFtzmqzt0Jto5qzLA/ZJUofAHFVpcVEAE9j3RDdKSu9Skm916Y7
Gcr11tiaXI74pRaAdyYub/S0yXMCQBsYupro3amuvWyXPM/sdyE1PreI/yza7OuT9FnKGmq1lmFk
BVwfeXUfE1A8dXYTNOMJ8427rBm/5J26NUh5bhWfZU7p+kxmhSxg6C1oZGj3JHy20Hn8UtoP64qd
5/yfhUw/YiYExCLoNDQhhFk/KC12uZoGRv60LuRT5V/eHMkGaFplzCGwgVgRj4pTIxuf1muw1S8j
ayygrxd3RQ1SzJzd5KJLPdhwu9Hm9rmHYTL82R5KXhbnCddoAVXbvxqbHzACfigUQGyFoZfQt5Ld
uyC9wAvmcV35RfuH1wE7bSLZlbFdCDN6LU/D7jTExYEREmDUJagLEwynJGjjLRavZT9wCPqUMamq
/VqF2YbysnN4rUX8VGY4D63xApgffxSu/mszHyKke6JdEY2DUoefKud7aDWY3LwGhtmuIvlGXWXR
AzBqhKE9nBOf0J95mxbgxza6U1fjlpCGQY5snwnHq6ItssotUZJxNHo/kCyFqBjgcyrJPZHSHdjc
ijreKLWQRZebaSUF4DjSSmsQEMUzHSlxmCI/NOyDSYZTWRPNa0bzMSLvgJb4UrH+YcgEXuT6+Ch4
jS5Qiju5mf9ct9FPvmGjKAFstgmcTccGy09Z4BgKzV5L+xNaNaL2W4JBuHaL31e2TEmG/HiFFj8A
fGVJf+oxozZ1GV9WLH1ZV0R2tl8yAFE8zZ2rE8DveTjDw7mhV2Hen5qquWiY8Gh8UMcMFQDFH3Uz
WJc27dT8KJWlSUZjKhpIafWiPyl1Emha6YXKi1oDO0dNPUr7K8XiXrVFC/epzVmWKtlPn6VJpQDp
8ZQTFvtNj8fmkiBnsDAQnpcmGNDrY63Rbq/HpEEejpF7p+y+8aQ/RKl2VWri0hJd7KMN8m5wxqAB
tvDBGY0nNc8eid2iuDI4X8jo+jqzn8OwMo5Wl2zEENkJzpXAeOn5Rplx6iQoMPcnWtyq1ms9eKay
hZm8aHC/jcGU50+olrROmGQ9vCYD70+UU99Ni43wviwExbwJdRUdjNIp3TRcDFpb9SdOlS9ORiIP
1LAbcXBLxhS8ZjHdjnlq8abuTwPd6a1zkZp0Iylc3o4PLSS/USoLr26U9ae08QbDp+QfrpLkKSid
EIum+L6Rh7sGrtn/KUnuZFDI2VGzNXGh+DQ6XBfF0I6c9CewMTyw7q12GfXQDbSxFdMPlV1+LkZ6
pu4rp+zJJMZkaepVmnvQo7dqtB46iCrAYtVZyeN6lNkSqZ/vfqTbLVFrtT+N4y1xrrvaCnD+BcnP
UvtOm/26sMmU1vSbTHFmanqEzncM8fYn1gwHtWvv6p6BQrHC6wP6Ebea25fCNWhmARuJnl93urWd
ScNMPjP0AWbh1MVjWlkBNfODpYtdrbJTmsQX68ptiLOloENsWpip0fQnkCiwg8mqqU90OGR6ulcb
/S7K+fd1gWR5OX8rKJfUB71hTtrz/tT9bPpnGn67CHXit+9b8CfLNgJYCJDquc6nPvAxZxPAF+TU
HbmrNWA2VAjzuP5dxegO9s2xuqqAXfLv6sbZg878wWApLmE2G2OQ000evDbn22dHJhPIQQfEpSDk
u3wrY/h0b5ic2gCTmY1nGFwf5dyZhywfRd4MuDdEINpkwCwMc+Nd09Nno4k9mj3ZtaBHN4kNDLun
zS4K9ZeNLZzcS/aI+W+QPF6UbiRILYaTqgwvzIjiXW72YNgpr3sMmnhE++rY/EJxmlPB0Xgcs/oi
yp5Mwe/Xf8jSYs9/hxQG0opaZsZQKrdL+i3k8XPT/endQV5uyfm1vh+aBrfOU22yC5E6xKMK3+ru
WNSDGA4e2FDjATjTudHgHthmTgqjGfOXUL3StpAut74/ueQsgkWWpRRRh+/Hg88NbwsGcMmjUX36
/fOlkxIvMFlstfh8L574YwN0j0ed/I3kaC5DOi1z0yhtANgNOGSCzNn/qKKNQLi1RlLcHTpMv+Qc
SqhJ0D6T7+uWupRMGEBExRA9SEs/Qcw2dctytCYNp29pdWDv2Z/SbPwyU5D5WXj4dNEMKf16o4jS
CgX54dRyPA2NV3H0pw2ykgR53ik1u7Z0MwobtfXIC8M0ALPw3foqLYVswzAdsEeASUmVi4xqA968
lGfDiTv6VxHb39UeDBIcc9gcDX1Jh4q0swVQvbjvM5mSYRlO344xcBROo9HvdM0jyRbl5pYEaW8G
IzOYsCABr83XGLH0jXTrFF88VGcrJ3c3dXjy1LIUu6MWQMbKLcI85bW0ym+F3fxIteypYw3AX5OH
WjgPAHwJMjPDK2Fd/QgtPKSMGgdpYb+RQW8oLrdDlZ0CBsgaivej13rDz39kLJZ0CJVdpDR0gMkD
T+9r3SAlixpyDxqmpxI6G3n+LXpbl7isD1DiAEdsgypRCqO1WpqdXpjIlarW6wosYvS6LmGx6IBS
w28RUihNu1zRqszoTxmgbdG8c2CuwJuMtlOt2nNrdtAHlHrsblc4arAueykTnIuWHaGkMWgGtP5U
hv3OaMkBPLG+kg54mXL8ynSP6+K2FlPyivL3Yl7+2Pjy1iLKUGof+5RHr2pqBJUKlE17Lwzim4MA
8rJ+z2jp2xikXNdp8SD82D0ZUE3VManAGQzEAtukdRMGtnGvKhsn4cY+yXhqxsc+pXG1o317yRwR
+Ylp58EYOe+EVFsLurFXMqRJmdiOQia91KJ60SvrZSiUzk9Tw7mMzeFpFMMOo5jDwdXji14Aea0m
JrBP9Aceqn7HtqLd4s8xwcMD7EGgnshMOPpIzbilLu7+QRf8nZRy9u1J9ixVGtOEm3VvYQt7+wZQ
we8a1Fi3kq2fL2V7jRAhA78EHI1boV/V9EI3UGBYF7LsBJY23Xz+Pat6rgjlegdOSjT4gyfhrVFT
zR9tdkn6K+A47zlxr+zqpgDOuaexrbeNRQudiZZcux0Bk+dU0XAq1Jt+kjRJLKnfq/mxLpStK9en
uZpfqclvea5cOFPTDBPokz2oCdBOBKyRt7QPKt3d61AuKbUGM6CG8Hu8Vpl4+QY2l/FjoFvEKYt6
T4+3YGYEwIt8dbdBNlEh+AwndKI/R1YUo91VaF6F1lyu6JHfNs1GLFhW/UOkfH13BqtpYbDDye3c
G7PXFY+mFt5UcksA7tOKAqsy6yPFFTDU/qKU+qkm9nlK/s5JP/sZ0vMH141OFQYbToR+RUtBR583
rHnRZ2YCpMPedJSi5kOB9L9nO3ck1xT96P20qMTWjva0zI6K+q1ojqmj7kWS+0pY4qrj1PctK/9W
uu2qyALgPaisS/pWrcacqMWtMFHvFBaEyIjXFV7UdyZA0ndUqRtycIqe6pekRXPPxucXryNongRG
lQP0FxmZudGynOQUgKLVYB6EGu9KMNCoW9faz/MRU61iJkZKKYSrgvdiULFMXXdyURKg2Xs0xJXn
5t291oy7auSYEqoCUpEU7XLltVO2D7ao/jLLsTioGCTyq9L9pmfDX2VnPZRcHa/siKBvkCJJwV1h
i8l78QSf/WIpdNVhHDmM9sMpv74AI9XReFjf18UQ8fF9Ryq35YNqtNGA7w967Jle0wad82xt7O60
rJ/KMzMhknWCvo3mQmB348z6gb54BvqUpwZNv4qLSf88u0iK7PWf6SXZq24paC1NJoOyj2idsk1P
iGMW+szerQuaNmBNN6nk87GAkfXG2mAgLwUubZoaeYXVeU2UBdZWxXJLpJQSkDqtFbvocCsNrO6q
oLmHsXoUZRW+Ndqx5PWgHkDrMm4A4GOXMoMk6ZNsMDjCqHOrJOpfLHXf1pdvsXyImRFcYQCAB2gb
af3sBrim1QhlKrTXGcU+vMN4AamvWvbM0EZYJId1gUu2OJcnLR4XuqFgxmw46QSNciUMA0wYvsGb
gJW2z6PMd9vhaV3m0obNZUrLSKgFXIYcy2gCktUtjgO7RDugYXxN3JfY2hg++cToMGUfc2nSrRBE
s7VhRDD9sKZvra2Pe72matDVrQt6gm7fMm4e2lRND7Gwa3RNtTrIvtAjgEJ/E0zkW4c23nqCWwrw
oL3XLMxgLvCL0bxBU2OJZRcgItR6PzSeqb1RrVm01g8ZckWIao7NiALFNYIGTP/vhMqZCtNcwDwT
B1CZAVApqDBgmP0J/Us7UQKBdKulaEsLKXLhFXGsmmESg9Eh74851f9tHb83Qr6rZClnIuL4vGX6
HB27Oq282s5BxrA1Lbp0dAEvBkUkC2Cjn9AgqdF1Q4de/lP8MmR7Pd2y8ykyyJF3/n3pME9UfD7i
FH0EOiu+2ThOevDJAfW/vWA23yWs8y01B5hZTkEYXmfqYeD0wXTBvIx3znDjjFv08Zm209/P7mm0
VxtbBQvgiQzJA01AEQaU/RZ9zqpHu8RHh8hV54aBMYlfjy6LBvNb8iesyDgejSyt4/4U2YmvV0i2
w/7veBZAIsHnAMRn3ODOlVPAaRRjl/mJW9pd3GQBQJ+O61osBoiZiEnL2fq5gpNQYRjFUzrnaIWv
SEtsD/PcW5nmolXO5Eix2AjxmukMCj+17vCotvyg6OOxq+sLFLU2hvMWRQFwFXCo9gLVYIjxiI5q
Bj9pqXNKKua1JcNQtjhqbn7xN1ZvJkoKGlWdlyqmbfjJNYcgSy0f7zf70N3qE/3UF/UreszkSIaA
lnbACIHx6hSnAy4zxL6JK6Q4TVzfYQh4esgEoCN/LLGWLq1ugPGNIZ0SGYoO0D4PLMG4ANrWj3Xl
f10qP0WC2a+SbAfzwSgsxGaHeZEMrVfowdJ7Iz726MrSOu2ibaqfSHOfC9SmPKPshFfrBITMrTN6
1qgMFwpXuWf2pb0vAXDkIXW85MK+7YbqXjXoDaXhYcS0hQcoaGMnuO34SUGBMmPdZFl/aYYAXa+q
XsUEURJirhWsHan13cy7t95uHqskubVCAcYuTb82lQdckTGxEQOlaQxImndeTobBi8YSMxwkM7yx
LcWeCJvsyJiIvUjBNNgNmE6vHWByxjWYcRQDvft5zQND68OdqjXojnQANRdFREeV1Kz8NiU+08w3
zDRc2FpHv7hgqroAGXZ6rwotwmiHxQ6RXqcYYSH3g6NuZFmL3jzbEdnLxvY/dmIOdRAqu8rUD6Tc
arNajHyOrqGehOLbJ2ZNtSk0NP3CweJd89xuXb0WM8XZ16XzJR1YMyoY+jm5Y5CND5V2dLvvOXlv
BuGvG/CWHtLZEaak65oMkqpvUaBslEIWt+JDjU83PFKMdWng4xcJCATHCdCRBOu/f+kSObHSEUwC
4NFHBnVlkZ1bQ4luNwB6GEdbdZ+5Y4aewACcF7XOK0bf/pQ5fgpEFjpndSBiAldPhnuKzKIs1A5a
8Yvua70FJrV0mM+/LqXQmLsK46rF1x0nUMlbpeOmgOeVHveseIyvdcAYu/RxfRGXjACQTBNBFoiE
iQwTWLZOxTBWwE9dpXm5+pjkG4f44lULOOAYQcV6qZibPT9iOyFIr1eMn5LWz+L3itwJ50J1vSb7
atT3aIK0tkiallxoLlE6lsxIw7AaabGOKcYhFZCrl3sa5qekxMQk2CZNYM3+jVWc6SgdUIqejT1e
UPlJ9d3yLa7e1j+/aBizz0+bOMtSogbk0N1Y85MwMGLI/ORdkGNe38YYm9zK65Ycd754UgzNY4uq
DWagTkZ3HHwnP35f12XR4Ga6SEbejBgS7IHwjBqpuq/d3lfdr+sSljUwbTycA8gTU6rnq5WriQ6m
qQG5Vt7ctrlyxPD0NdPzjZvAUp5lWdN4EiAjMYI9hafZpjRFrBW5EyN8lre4ZfsgOr52QWWIP9tw
ocUlm0YU0BNjYYpJ2hLgsmHiM82xZGH2BXHupqlEvXEYLGrjYuPByLhA/8UA9KuDFhuHWmw0mHwo
L0c1POW0PoRRvpUNL+7QTJjkoFXaF6SehPFKHMqk8ADqarZd8DfsYCZFcspQE1EHuk5+qt38BLjV
wStKgUJgdlyXs7g9MznT388MYdBEqA7U5HjviE5q51y1+cO6hKWTDhiu6FM2CQHFimRqWYm3cExn
8+klSX0Batr4DFgfUOxthLGlfZnLkXKPKtaGxiCQk4MBel9/qZMNK1uIzHglICAEx3/gSpUs2XIw
Y507U9eeG+4xdQOMr2TvYhwlrbxEuzCjH+sLt6DQmTwp2NS5XRqKjtoMNTHzW/iW+1Mxt2qxS9eT
MynS9rRoR/p3BaixS4BL8+YSNELEB1qkN5jPhdKAL6QX+MO09oAHcoEnt+LaUeonraxBG0jFCXDr
f26UZ79J2soEEwB52k5VqTG76M3nSMl362u7EDHOJEhhdiSKguIt9pKHF9BwsC0PQ/6oDQ8bfrxw
+kEQCFsdMCtrn8oAhctrR4tRx8Tkvd8K8RCyMdAKduzJq91mHk6rvaNszeJM0UG63Z1Jlbwaxwsu
1yOk6uAldZT+dtDrF2Wof/SNeihYtEuL+piWyXE0+8Rz2uSoWv0BmAzrq7zg+mc/Q/IY4YwmGwr8
jE4gU0KrNYS4ECYmqR0r/pQ3AxnumTzZY1QkuHoJu8G0dRrYwL8CzEAcUNvCrVWUb+vaLfvnx9ZK
nlM4dcLHqUTtKidqVZ6ISQCO7ot1KQsBGtisBIMYYIjB+SZZKmkoBfovLJXy/jvr80sQTm6MEC5u
04cI+QE6LJkd2xoUyWARTlnediBCBd9WkMALvaYmP9ZVWvSJmTwpqa4p0VIlxTblQ+HhnAsEAmmo
PVZ20BnaUeGuT7INh9+SKZ3aRpQlhIx43XZ1dqxpcltjKbNcfR5LM/EqJwMMkVLcoDXrHy6udJCX
JkGFU0PxmOD9M8fzTNKSY6sX11oIgrvmn1mLLTm+zlwHdzxI08OnmPJjH7dbsWXDIKc59nnGkFRV
7AhQOGBuw3MBeqpwr82vc8yTx9et/rRuKos+hkgMmLTp0JXTYccY1U510E1qR9mpFu3Ozh7jL+sy
Fs3/Q8avLpxZCtQKsO4SMnWP2kECFBmX3JUP5KebiQ0bXFy5mSDJ7ht7xBOSCmUY9/htvMWvsXim
AcYZaGCgcv1U2sE8RkbLFK0raGA78LQLGnQDWE64U7Z4gxYVmUmSzmdMI8eWHVWIs+pwgwLZ0QGD
x/qmLG78TMTkz7NNMUC0nCYjROhhfcO6+DBSDpCOLU2mX/rpoPwQI1d6GDEFYAthzMBmOfSgUgHY
yIGP8R5h4gDwEb/UlId1zTa2SUa8BUpUaYcO2mBi9Zpnt9HgR91jrv95CQsDr7+NwZHiHWF1gt4W
SDHi18E50KHz1P26Iot+A+hwGyw+ePCVb3ZCgQnWTYpjwwRMFKlBoHBhJt3eqJ6A2rIua9niPmRJ
JzuA+kvShAls+zm/vV//trb1cekgN4tc4aA0RY5WgYVNG3rbp3nC/B6ld1wrWxwP9DYBW2w+jBel
1l5YRX/ZOK+YUz0MTX00cGiA5uygZ8oVS3KgNykPeV3qXi6yxLPzNnBM/tRX5RY74eKhNtsByQ9D
5oZlrGBValTIfTy27qKu+snq0scLyzWp3QdWix9uEj2tr9iy13zshuScoItjXDMgN0nLU2t+dfBM
HmfFsTXia1M8uAkmidYlbmgqD1kD2GqIOYOtldpTVvG9WQMo0j1Uwj2OOd4gOuI15kYpZtm+kSij
DxDwdHKJFn3UidGgeRp0SfUhwnMC8Ph3JVofianc6Wy4WFdxOS58iJusdBbxOrvnYTItqh7bgZEB
HonnR1S5d2pENlZzS5R0hLc1zxI3hWY8rnzVTDPPdMYHYXbXegOMo3W9lr3rQy/JdaMBZa7xl+vC
FjXYJFWZsnE139oqyYObKnLAYg+FKCDdIhCY/6wSIC2p+amjW6a4ZPymZmA6UMOUy6cKnVGkXLEm
pzMBNE/JruYoeIcaoN4fFFEFvHMPf76AM4FyfsLDKi1A6Q075HFAmnjXhVsNFIs6oUSjYiIRuECy
qdeuPgJAESLwdOZrtYF3NRpHnmYnP6cZc9EUAsO5yvg3ts00CNI7PE1gzFyKIwAbqwDqAbFpWPhK
+5O6xa02DigRDh5HAWJ9HZdSipk0OYagxZgQxhDmrWqvVztVfdiiSV/yq7kEKcEbUkGqGEC26ArP
DjSjO6dv9piazLut1gmyFBDnorTzaEGsJO7MyQrtpg6Myt1ZkfOUsbBDYyC/BUzEHTqHLkDpddCx
oC4goNt6CJwRjQJK/gDmmXdUmpMdLZixb5L8qPFmY7mXfBLjz5iWAygTOKklnyRCSbsuQlrNiz7o
Ijzc7upuq/K7vKcfQqQTUAXSnV2WWHEKCsssHA1PmJejobyvm85SDJvrcm6o69/65a9yzjn7mAxA
rABA1EJDCEaqVPcaR8+dTrJHxbAxU9bcYTxSR8Et2ltufGSa821duDaZ4JpwyUSdxoxZAWaWU5T/
zIoy9cso/K60+rEWmhKMuvWsxFfptJA6fg0AhXyVg37JibTY14vxi20J1etL60g79ABXQxx6fZ0d
HEP3Mudl/ccurxQordQJUhZ8SdKPtaIkGTUDQwEaOiF0x4u86Km8yq/u8upNazdSzEVTmgmTPKpq
osrsY6xM1jCvuxrtkyg3kvJFl5iJkGoBrCW9I0zow+piZ+rvlvOsoWk6RNbZjVv18MWYPhMm5RPW
yOyGkRDdVe6pEUdluHQb3SOj8DV0NIwP63u11CeOJvSPvZJyCk1NKz1JsXwunrHDMY79TMvvw76+
wuPITds1t05udf7YGc9j2CtB1OlHzAN/p0kKI9R+5M6L5oDiKKqVyO96gqKv9QYYLwBugt27x6DS
RnzatC45MXHtSlQFfnEP/FQUumDc32N+NzaP60uzEDwAumwDR8A1dLxVSzGq6p2stSNsBMPzLeF5
QFi4XxexYFhnIs7j0/816hIVPBWGBezRn8kwvRRfqc5+cLeu5QsnHLAIDdzs4JEWKFzPjx2jTsu+
ZHp/EhbxI7TCTk/SWZ54UbiRG/yagZMi1ZkoyX7DLI7x2geduvwHR/5BCrDXt7QGsGv74pLR8ezS
vU1oc8ia4krFyEoExtPc1F0/1NhVRJJyjxaqQGTanWa1N5iu9UOn32UkrfeqET7EtRn5oaldKjRs
gP9pXplV4msCSHtGBKRgFwifrYGejKo+rG/XQqg5U03yFc4NZyQVVjEp8ao/WvG9PeSPDUgH1uUs
hIAzOZKFmz2usbi3o8nEuegtD6CpQJ2+ofnJUP+8bw+AGQ56qAH7+Lm3JKbwejsCBIkF/Dt0mAbW
k5mDh2mru37R/mZyJI2cVE2GoYKcorfvHau/bxTtkdNqz8qttHtLlJS/ODQTCVofcVKyOOBjCJ5c
/VYX5eibvboF87M0BDb18iP5ttEtCi7uc8eqYovh9XLsT20Za74AIVLas0cVz9q7FnZRCCf2kkrP
MYnW1d4w6DcojF7HmtFs+N2ibc5+iOR2EcCik6TDDzEV4aOFLgRmLt0IvYtLO5Mh2b89hJZwVMhg
V0B0uQzjQ7KFNbEYdGciJEMhpWMkQh2AX9UCMpdWd/awsVBbEmT74Gon6AglunS81O9DJ9rIFrZ2
Qjo32oaZcSYgoPrm63ff10PDEtrAmcFJR8YwgFcc+F6Axiro4CkYIPNaKKJkwsOYcIk+I+WHq+cA
HShAjaq5X3Re/WUPGIhss+YVz4VvkQFs5WKrj2wxZv3eOLx6nTsCB9R7mA/4XaJrH1kvghRngGd2
33Ubk4D3XVo+rq/E+jJrMpxa1yh9rk/76N5U8d76ZrnBuoBla8e5o2NYzzLlLLYyMz2zc2Br6QDL
JwI2H987EXmq7A1Nli0SwwMuIGgwwi5taU8SxUKvLoJj7Kk7Zev+vJQwwWR+f1+eyVeSLhpspQW4
3ZVznZc39q17G+a7IY88oz1sGOjyqn0Ik3L/CjPocexCmJYfDGD3X5CfPNmt78yyrX3IkFL+giPY
ujZkYFd2tuu5wvXCujmYrfJmADGB4XD5ZxL1c+tOQstWyxpbhKaL6650Eo/Ci/Au/maa1Ssx02uU
2jei7aJZIDdXyWR84IU+l+mCWDLm05XP3N01G31kW9+WwiyoQzIRZ/g2I0F26WwVKhd9c/bTpRib
ZhiiNXBdOKkoIWj80jDY1WaXwpYOcpwFNYhTNS78EwSipPlLZPbGDiza2UwNyTGHMgH2v4CESNge
x6CxMEaMGzT7pr5GDQfzo/t1M9tQSX7RH1HaIVo7qZT5JX2xkvv17y/tiwOaEwdY4u7nni6lSww9
dQBB6ZDbgYkDB7R3VG69NE+hXr4BzKVIG1PpkVbnBqREinoHlGNME4DdxTNxZR678GdqqcYe814t
BhJBUr+xZ0uNUdDvQ0dp05qqwOSGCulVhFvVa0QulPCVvjdvZeYXx+oY8WPxTfHTPddf11d3+vKK
3jIQUD8SnI9ZjtAXXTMj9owD5seHcOe4t0K9WJe1paZ8OoEcIkeBFsJy2+4wO0dsv8t0UCC4/V1C
ox2FZ9dMzTzg3OIZ0fqqDKpvYAv0ArBwuj7qnibsjdRnqe96vvgyMJAbd0LvQix+7oX39M5if43j
vtDvx2Bd/SVHAUgjGmwAse6qck+8w4FabLpI8oEEm+4b/bj++Sk+fd7Jj89L4ZGBlqNKHHze6tyd
2pZ3RR8DLR6Vdcu4QU1gw+2XDedDnBQuS7cOh6gHaCt12LFJyX4aWx1btOI3rPaJWh6pbrYeB4Dd
hrdMinxS1J7wSUFqBxYk6YzRLNWMCjsCmGcMchObnYz+FS1ngEJ6X1/RLUHSio59KHLLxixaaAUg
LR4CnntW/LwuZNEqZtpI61jnVZyjZAPX3xdH+8s/+7gU1QYO4MfEgAYsaPYv699eNIDZD5/+fvaG
SB2iinrEt9WvNn/s+sprB1Bocu7R6/Ky3tr1DXHyMZPi3VeN+bROLCn8xo7uFJpe6cn43BkUSRUK
DX0XWHV3WFfzV8lsxdxk/FG9503XaZNgPEBzyGKN+gwWnkubtfexgi5Vp7yoW/WrQvmTOYQPRhKm
HhuNt1K4h67ll1TV3x0jvNXxA9d/3Ibx2Nr5HmBsa8RzfIyiCyAE9yRruz0axf+ZDDmNhA25Sjt5
ge71l8bD+tcXE33nw4zkLjJDy3OajlChtDJ7pyn/j7Qva7bURrr9Kx1+py+TAN34uh8Y9nTmsYYX
okYkRoGYxK+/i+r+XPtQxOa6HLbLPt77kEhKZaZSmWup3M8T69bJkqOCm+9L7VOTDMbOHqZ9ilm/
LH5jiy8LzKrKVHU3bxBdBOl1fDPu1O+ErecDXFiRHCVUDoOpBMNkfAfQ1YJvBEhrER/AH0AQgX5N
ZHQWp5eUdgZhCVpz0fiJdih0vWRpkIKEwqhNv+7d0AIV1uVp+1WkBTBccJPr6LZAC/lCpGQW51mL
vgQtBaMaKLpI2d/H2i5Jkv0kk8id/npp6luJC02fQOtCVIvegUkrXjwtedp0aL/upbcSFnqeJVxj
VTJLsELyqm1dAfwaxs6PR04erTAUF9ALc9lOtsDlpYP+sQ7xYzX1Q0C9nvko7d3q7F+BmJhlzeQ/
4N7BOWzhU3ptpHHBDGi1Jw9kfLJT8aIa9Z4OOvpaT07agT+8Dmp1cjIvIKkZuGIIC+cvK+bb11h4
H6UpyQHAgoY2xwItSD58Ko00ADb2DQVHjx13PnHsjRLY9Wn+OfTFNCd2ZtZGDJlW0l2biR1maB3Q
2BYTyrqy/Clmea9qVq1VxDrEVMW+VNfU2zDsv9qlN1P342r1zLlSNRlFRvD8QruGC39BEZRfJikA
xO0NSSu3tG9FLXaWCw7DrJBQFsobtQNOfhaMqYl6AgcuDgCr16MmdlqHXu0+aYOqdW7ttBmCIvVA
11aLUzaKp5abr0NdkZPV1Z8GXiVB7aKHo21J0Drau98wPhRknTgROuSX3lJVg0k0tdC2ZqD32i/B
PeebUt42HAcFm8QsmBrA41lJteErVlXrTO7CkFsgOnS7asCusv0sdN59vzysrccvNq0aJBCySzze
rtu7/M4mn5pYO16WsapWZ0NY7Eh0rGUeF5CR9DfdVfriPII78rKIlUMe9OlMxmIHZmOtC72HDMAi
hkl5AjbFSZj5Ky2EG4AOEojYndjZ6pXqbgjmFuV7Zo4LtjSLwN3yhJKFDQ1f3as/X2iZSmzNUnhD
hxdKuT9ZH7Xy5fKIt56/cIYjqDEcsEDC5Dy6oRNdfviGVizRO9PYaxMORqVT3YbyQK+37tJXcvNv
lmuJHWIBeGVILVgaED36TQc61KIx94Wqb1MqE9Auouzexl4yCxkM8ZGPJLQHwLJV1NgNGXkySH4n
ub3V3b81qfPn5wawAvYRmydVvTw6ny/P6douMHUAWunoajR/SZLXhqdonnVoe5bXY3bNr1K1hX69
FiCdi1gY1ZrHddHPr99meURn/UYTivJHw0HbjnsQsnw0ZF2Hlwe2EkxbOBL/HNkihonBFpvICu3V
6czN8Fia79BwclnGmkKei1gsTN1T5U4uRCTA6OkLsOE6r+aUbuTj1pb/XMr8FmfLX6aAwKY1pDg0
ahz74CX27vI4tlZoVpIzCQLAFKpuIcEbAR6A9pK41f0qvkHNtQ92zH0NqZclbqndwsBbdmPRZO62
11DLbbfUzw0ZZYNfAmnksqQfYARvz6zQAw+KYCA4RxZ+IYpwQcuxQ296Loivp6CHiw31ymmDtGba
St/ReoJWPK/xLQfQJ2md3OD7H6Q7XHE+8kDp+REMLTddQ0O717Sgwzl34pb00cHgO4BRUQZYRkzn
bjRsFoi0QqrZebUG8okZaG8yR++QGAgtqf6+map7oevCz6j1nAzZFcfUhgRlrRuauaozZ4NeODdA
krva1GLQQ/mJlyA83Qhn13fXmYCFZ9OIJWOHYwGbLyCaFQd+k+Y3ILsryJ7t6+TD5UXcErdMzeIE
LEQ7YDxM0p2AWtKcBh1/HRJnn0xW0MUi9Mp0p1DqdFn0+kyCjBEFFjMUxWL31aB+TesGksvCPODi
KIon/v6yiFUzAsqT/xWx2H4AKzEadwDYxUjbm3TWiMJG4pcYaRddlrQ6GMQSgCFBcegvhX2AGBN6
QyEpSdGFBx30NHeryGBLxsLcU70eDMAlzzLkBxBEH2tAbV8exqr1OBvGwrRT5bCWORDhmLsm6F/M
d2rDPs3q+4vRoOjjIUgm6LhmX1jELqMjZXCLCWfgzE69TwP2dIu+SVjiRzNr7rnOjmAk30BtWFMF
xCBAoAOnqvNLPrdoRlkSQH3hLGX6jfGupc61tln1sjZ/51IWCleOGknpPH+DV70jdfFZCnRJI2Hx
2TK13xoR6pGBLUbARblYq0FrRkeX8P66diheLNBpb53a1ufsp4RZIc+8l1eZGTCO5/Ao88KGfexw
N1W7zf6yzs1uYqkR4Jb6cxzzW5xJqWtUCdlz5My/4aTFM3+w4ToAEba7LGe2zJfkLNZGmJU5xmoe
zexN0io7OlZyW/VGmLVPcY18ElAzN8a2NYMLFyk6gjboEqdIauNG2WpDILYeG4dFl4e2JWbhlDrp
GpU2x++WxkM0JuxEiYyMfP17UhZb1+lB/+3OCyWMXAZTa4eWHqDnfivfvGYizhTCXhTM/Jw01PpF
ys1Bi+iBXGLg+p4z9ppl3kuhlce0kB9+Y4DAXLEBta8D4GAxQOnETkkBs3bK0Pql1RN00N3zdguJ
fs2OWz/FLCFKCRC0WlpDTNGKY47R6ANwEy4PZUvG8rjIOqv2uJqBpMSVItNOpHxjP60q3dkwFu7I
K70ceUGIAO8IqgCGq986U1uOA3gv8IsTlBu8tQyFago2EEyUx63rbhyvpq0uzNUkJqqYQKlqePBJ
yyrFhtu9WY0QYTfG3rTzI8nNHR2aO+gB23VF92pP012eiciW9cfYNiOCAkVPvdeJqrdu6FcX7exl
FvZWzzVP0x28TOmeqie8yGWdWLmDtvTzwc4remZpY9YXYMbE863kRQmV7nnO6W7M8jaQKIxDk8Tr
NGNbjA0LtVyrIldtBGSrNvhshAsbrI9Vozt0XlHb3TlJ8hrX2U4r2xdEDJGFGc4w05dHvTKpREch
qm6AdA9My4tB62ab0txFwIFiABe9c2m31Q+4lt0gAEQFuDmgdAja+t/OK4juhenN66aZdXUwdMAz
lrgpQffOKzK4z3lCrobeQRmi8L6P8Tt0xwS63jw0VL7LifACVbHpCJSsrdvzlR365r0WOxStANSx
CkTY+r5hJHT4BxYnG4ZmbQe9EbIIQ6wiaWo1H9VzFJKY7DA06RgljrfH/cBn4NYHNUSn4gbAVZZP
x4OM7XDC6E3Mwm+s9NkyLLaP6/J8ZC6Gaxa4H9ZFHTa93OIVXVWnMyELdXIUQUqCQEiSOH6LsdjD
1pSuBES4pIHBowYhBFUcb9XJzHI7tQzgy1UPpUD5dOjSQGUP5VZF8Zp6nMlZpixT1qrM1RGsSvGI
DklQaMPYGdFfX5RzIYu9AZhSxPKy6k/hPvx7T15od06c2PPmwx1z8wCFrgD9+5sSFqpNeoI6VxsL
EavAecqeL7//SoU8IB6Bl+kARcwCLfFClYBmZCbxDyA5CTqUGlzjp15DnxzqD8GyJQ4mb9+bZvOQ
jPGHQcsPgM8SuwGnpsvvMdvcRVz85jUWNrly0iaN9QxnPuPkuCIoG3Cd3wAkfkPOqrqdDXfhzRnt
C7MBHhdw86ad2UQlSa/dVN/In6ztz/NJXYTCupkmMWA6EVzJONRaN3D/eo/v22Vbbk/TKdw+LbBt
iG9jltAE9tGrkWzLHVREbbLQz2r8y/J4OOKZBGinxrKcDXDlTWZZADaUoByE/w4TZQY4LyEISe77
arwGIlXkZVpYozdl5Cl4jp0Nw7ritQlK5v58hcVOa/vWsdmQ4hRTsyjPbeFbcXMUzfToJPUVUiwC
3AHvLmvl6jpSi6KJGkQGoIV4awSHGJ1nyAQgMHtQcNwb5XirIzp7+kJLJm0GX4njDju7+2T2WRRb
9MiRATMy8wSaosPYNr9hTAD4Q2wdoaZlLDl4ywZs1K6gHVBSPhhoX9SzreLvtSk7l7DYyEVHRlxB
QYLNuqCR37mxdZxd80wmRBjAj0XZ9hI8FpV4eQVM2e5kuoHsjvd2yG6Kv45KaJFzIQtty1ITBxfH
6k4a86sBlfIzbh8QmRJfmtcb3mntHvGNsIWJdy1plEnldqex1+48wcAO7+1tJw3Kzj22ZeH4dVJ9
q4nd+VmSvC+q8bYfjCQoDX2n5+5e07eaEtbMJOhSAWIKz+A6yxIO3FfEokan+al0hiChj0kuI091
u7++vc6kLKED6NAmZeml3Sn3mk+Wnny0iq0j6FpqmZzLWLj+jqRZ4c4yDHRW7tlD926rHXDVhZ6L
WOhK21V6wUUOArWC1CDaacCGUw38biLFiOpa8xBLO+I49u2KVi8fxqnpQir09/kgNrb3Cn6B9Wa0
C036+SqircNCaR/SqX7Ps/jQEcIjocmjNPIPGSDefWm72mHKM+VnTqaHyVQFZW15t6RGXRWK+54k
2uVC10mPLGuHDWM+u6elPzmfstmKnB0CSTn1rI6hX7S7r2QkvQ+XNWtNfwlsHKCzEdMgF/72+ZI1
tjeZoNZyhk+19go0H9/csN5rhu5cxMJ6J0OXpzX4e068CO2Ab2bTtp6/8PCytereoRiClfZjiFof
sS/cjEQCJWmniWjHSqUn9EXbH6motEhp5rRXlfkSc8o/5tpoRODOnnxaDR+BwPWgCRE1VfPswlnS
zg4InLey9JOM91knIstmuP66MwDFROHGoc5TkOP+dl/UuI5prW7X8erdZDl7CvsE4icwF6S7JO39
rFahMNwbt0elUwnTlI5xH7ad/lXhpBtQpae+3jZfXCO/5k2i+9RCcTF12lcT9yC+Yt2NGLcY7tfC
ybPFWRYtofFMB2YIJq8kxjUfMt8tqW+ZSaQl/fGyqq1amHNZCwtDPJfAJ/XdCUi2OF3z/dyNhF4U
cy8bdl2aHrhHjRtap9K32Bb3zNZAF7ZHkTar6IiBSi2yv6dfNV+pp8sD3FBEc2FTei+vWMuh6M7D
ZO95/xtO4Hz6FqaAVXTOxWAE7p2qA7aFDrhuCeZAQQc38S+Zl5RXGRRSdagTgO55UMI8Bt+z3pAN
k7Y6TajTt2zd8cB7tZgmahdIQ4Lq55RY70ClNeh/8/mLeeJjWzglwfOtqtsDY8HnSOb8xkqfDWGe
yzOrbHsO8DIaCWVqHgdbhBnr95clrKrrmYT58zMJ4GxxO7eDhFpFrTi45r7auJDaWoaF5W+FsLJy
xDQVxHxnEVSwiS9/bwwLw89sRx8shv1gKzCxFJQqn1TlNakcXyTO4bKw1eFYOiIwauCecnnwcgAV
M/c2wlF6z9p31/6d2fJMw6M4W3kooni7HkAa5CCacdsT0NCADntKUZN+eQCr0RFKF/8UsbBQnaFN
DpG0RSjZsoA0egmKSgeJhC6zd0Mln/oqP7ZzrJFL78nQhiZwbend9qCAu/wqa8rnzMUixAJciLO8
WakdY0Dnm9WeGmXdEVx5NLj491EEhl58uVWYsrZwZ8KW9yulVlU9A+/WSRT1K+49IrO3NzbTatbz
XMZi9QYW63aV2e2pM5DeHFn3JCyph8IE15hRWrqf9/TzlNGnqaWmb1S41UzHNqjldAS0yZMEp8jl
Gd58o8Vi51NS9oOFN6pd/TjOwggBfWnGLD+Thu2bJmt8gmxwME701uqSF92Sp7kAw7exIAJvdfmN
1sz/+RQtrHJJCr3oQLl06gZ+sPrdVB1kLTY26WxTltGsA8RqF6VIxvyvt7uIjYOXuvU8amZFvDL2
YhhDwUlo9fpRlGrDY/7IvV6SN+vemRWtUPuTdc4sr08S4MQUXzPdcYJ60B+mZojirvyqyfKB6qLz
kdz4mMTOZzPX9mXMj83UfeNyYL7NxB6/Zvlxa38YE+ulkNUdMatjPhS7ZFLMNzR95ovaGyUwKAta
BDFPw7TbqH9buxBC8fvP2Vt4Hbdx28ZW87Y0+QsQT27lUE0o1befs+4GLg8UUeQ+h3MPXFZcie6v
N8agceBM/sInNZM5UMWwU+3eYH6B0QNy6Tqv2wMKQvqNHbKqj2fCFu4pMbsmUfMG0TCX3TypwN0J
R63euoeYvdAvOoI+W92jlJBfsiRu3ldNnDotimhAQFDVd60gLxqWWvfQ8Uuw+HFfbWnmitFD7IPz
FhIEQFxZ5stsVDZ0dgp30t7J47Cxy7YePo/4TOubJinT3Jkt6oC7nFmFx4F//svm4s0AFocuUlha
5c6zBiDSbxW2S8cB4+m0+tYt6/ygxfKcCXKXeBzAINFSKTBTg5HfCfQgkFa/oU4W9roZFKP1yC0r
lJJvgK+uqJ/jWY5lUETV8IQLj0E7yWwGbIaTPaXfdS+q2HXBtY0Aae1EBHJVCMFfgN1bEkhlhpMD
px47Gl16p7GmJECa4UFp0xCgfuKgj6DDsLk0rmy6R2vF5SVcCzjeSF/oiWWhilxkGOMIQhQvbb82
Y17uNENHi67WHfuKBJrVA8y3onZQjVNo4nzNm3TDSq+u8NkkLFSpzRuL2xQ73cjczxPtj2qeCObJ
k3ctrvQiDlBUspU1WNn152NfVq3UPJuazMDYGwL6YFY9CRgWL/P8lr0Ijd93hdwY5uqudNDlhTt9
1EgsMU7HDPnx2Jx9URKAck3pj5eXc7a+v2yUs+fP8s92/ahyYOeY0CVxp8ZgUHt3fCj+epCAYryf
Y1h4IOBIDApMxe1J1S+WmMJ9nDW/Y7yA4G4QB5jegJF5OwzNBakabvJg9w9Duvd+o77ARewx17DC
l6EV7u3jC0ePrTjB45PhYyZA5whGhMvrsKLObyQs1iFv8krLXLM9pfTO5eyaKnqo08c4cnV3b1J1
zDcwUNasyBuJi1Upadqi3RNjqvIDi8UYoYgbfRsq7u80rE8iDMCwd3lyIsQon7NKiI0M34qxfPMC
i8Dg55Bbkp202tmjKSoU41b0uD5QAA0Cy8gDRsCSi6RwAbE82Jha3j/K1GJRWjYSvBnFB56rw+R4
pyYe9dBywWDJE+fr5YVdCV6BYfin9GW3eelVuqCtDpeHMnoUE4yur6zsIy8BJOkBIyojv9FS+0bi
wgmBtq6J4xIS076+7zv3UR/I/RhXETVkGiqMl+RbGMJra4kKANRYwe2ByH2hTIniWdKPUwtolQod
ApBj5elTJ4stOsh1QTOqKnAvwEqx2IlDYyddYxrQ2mgkZiC9natvdQytWHmUEv2UsdiLvUdFDqpO
2MSa3DoFz4Khr96NADcfKN/BeD1IA70Ol/VkLU5/I3UxhUTOLdISUpvcPXmCG77WFe+Ayv/s5PbD
0FtoqNj3eBEyv1HNxg2DsDWzi+3oKZaowYba9JZd+mURsQrV7UWxNbtrGwKMRxbQOOeL0mVOpOUK
xHfzhjBJqNJwQhtIDXVJI52x8PKcrg7pTJT51mz3ICfthkEhSAc0nMu1nXo/F2/9PSELjTRRzoF+
b4wHjTFPtXzfyjKy2y1ysTX/cD5rC51kRdwWYwftUJSkQVtUuPzN/DH/4kyTbyL3DWbW67FzXi8P
zlyJDwCsTtBl7lALi7U4UJkybQdQTbcn0n9xUOgTTnVxV6LE7IpWEoRrLf/u1NqV5vE2tE1u+nqc
hCCE/5a4UxIMTES5pvtNvRu1R70wgnxIo1JR6dsKBB+9Zt56k3yoge+bmdYr7mM2IvK1y983A5g3
+1mA49mTapJ5eXpN1EHnpNdc7KkDgKIOEBxgMaG7QWUssHNzCEDufGtBQwAdRPwcL9RLHR+PzcPl
aV1TTBu0fqBncGyEFItwpe9KHE5Uh4NcW4SdYQX6V3PkG+ima2bsTMjS8+ga19HD1GPpwOXezDM8
1Q8DZpzMU18qJa5jTW60Nm8JXTgf4JvUWi4xMjoBuq3nWGzAiXhGAAa+yO76OzqZny9P5qz6ixAW
ZMQuRXcEahaspe9xXZqOrt22qBGDylltAvZZlWyYki0hS+sIwmOgLUgIqYqDyIz9JgfWbCd+GQYy
uRgEuj1+IY3SAEJj8LbE2bFFrW7fkFeZakEuC+43LKEBWEJZgJsiKCYcQ9R25mOSNmbg8O62qGsR
qR4Fme5Qen7G7CHoAKaRqZzvGPVehuaAu5s7BSpEMVXHONXvPKN+bb0sbEz6MDG6J664S3Q++H0l
TT8n6TFVgOEZiX3XNSOMTOVFTk8PLcHdZU+cSE7OTUxyN2jbrIwKhsaRywu7ukt+zsiPwO5s69a6
PRR9ghmhRhk1U/Y5649pwzZLe2edvDDzPzzzmZyBGpNVm5DjMa/yPfwc6HHaBwZMWVGUhe+S4tor
caJMrNeKsTZIenW8PNY1O4siKJxgDN1EQdTCIkiUDhMDpDun7j+TybB4jn1Dcw35/E5sOa01J3wm
blkakqGOzEHfJGJiFLfF1TOqXbonef9yeVCrofe5mIU1cBlmCy2AEHNL3o/AMPpU3pv6vbvFq/7j
wnm5hASIaFBiNPz9QgWSAp5SqpohG6B/s6Co/ayxCqqbzTpMChByzlqNxr3BR/3jndXE+9LWHliS
hRQboWDmXY2NkcXMvEZez/RRK6PdlP3kRZfnZG2hESSj2cE0sM+XN05e3XBqFFjopLd2ufwQ99dx
Xx9luwU3hez4il6fi1qEP0nRGTWIU2BRRtIEeWe8Dl78iMHpQHJzeACs8buubV3fbOrBBx/U3jA8
O3TG8SE208FXPbtPXPW56IuPXCNA/b8pdMWDugR+bmmnKoiz+iW1quse0Ylfan0bWkmKSj5hZj7w
lu770Y2joRZfVAdQd6vLujugsR5Hwzwp4qBsPAF5c8P2ytP3uNh4GKw2w7sBHX2aTIBxaDx/YLyk
R0t57ENuxsc+894DIy5A7kcESeNZ+7IiMjBMGftVYsUR6/s+rHJs5IGjRp/Vntq1oEFSgPgIdJVO
Ox3EedHYVtOOE9jJ2FJNlGb6IXH6T01RYV7i8spjhTg2WXqQrGZgAO++aon3sUzvNP5cu+xL3JFb
IFCQoHFp7KdNOZ3QDPncjvnLaGL0YGDaF9LWAV9ignupaq4rAykcc6j2bay/grwNeU/SMV9N8Sej
T+MgdabnRgeyBPOKd7Tn9r527W+OXgLgBkCHOqNT0JQgchq08jCNDGA0TlwjrJXfRF2rgPdliBL9
Luyaqt41ltM9ETe3QfIr48M4kA89cXs/tadXweIhApYvcH0T+ZGwkR3s2n7s5Rj7ev4ogZaMW68b
JABidFNotx5ID7QcZSs5MY6JAt3BROMbzvgVG0Amz8CkK2ZKXQsAORQcu2om2zXgalwQ0wqdt34a
E5SP6neud4uxQks8uzzy1mp2mmY82LDrJSpjLCfb1SAtE8bU+lWey9C0GxCM1ABPnUTxPsb/oWBE
3bteeyinG9185yZJQFIL+AHMvbVN79iCFQZ05/YuHnmDRBPZuWCOQWXPLtXsyXfBTyJ4BW03u5uc
ZeEE1hVk97uAo+vbr039MIAe2KcZ6MhiQBl1U7Jv+viuE+AKQa3Gg7SsQ2x+RefBvphx9lMA7g9i
2FszAr+B3REDkj/hwObXANJfC1hWZCUexywWu9jpowGA/kpDWJlLTDa9VQBNT1jS+6Y3hk1sgVeX
7DORML8GjHReyhttMqcQHUkDCCrSxB+FeHEN9pD1xPOlp13H3lT7aWUhus3Bd8J796ry2itTcyo/
mbQn/ONEMSDuGkDd6aPzhQzDdZPlDJiO6VdcluhziXPhy1hEQ0GB497x0Xfs9Bn1RIDwoU9oBXR9
1JC/N2weea536EcDCg2cYa0EeIdrd4+JYd0XjXFlDkiltNMAwFNUQeFQWeI/6qhMXewJygA4XtxA
4fqocwDwmPRTFmncu2XonvWa2baIzvRTdAd3aXs/efbRdRrjENda2JWo/xkS0gVudytiXCF55hik
6NxzcrqvUI3b+vbcXzPNnTbF3HMj0Xwz1MQnaN/Qi+zZ9tIHO82xZz6kNXWPwuTJkdhq56FEHSZQ
yGKMaEzqRyXdd442vThmP+2ngr0HaMleb1oetWlV7kuS9Mg/6MeKo5NekuojVfK1rLiH7YZKMu55
ya2FqoV0al9RHBDqlF2VOtuPlHx25+JF3cr7EIj6LMCV1RWrxad4mN63E/BC54t73SvAbmy1N4ji
T64tWDDgvn6cQGNDB2AkVPNFNPWaJ7up3kuXAg+HpYEhSoE2nAQICSTGbTCKuneeDt65ynYQ0dW4
tkY9NzG6Q1uSR7A51KGpWfc4q99n3YQUGDL1Ahl7UFTYQWIjiT8gm6+QXBeD/bnqG8AEAAYi44hL
53xg3Zv17WBXjzy2wgLUu7lUw860y73ugMjTVt968FZEorAA0CVgvOd8kNnWBycl3wD9caSdBfJa
ehXH2sHM24cR+ZWcl8jF4RxmNJbPJHIQIGmgt54YD7E7WgeJC9TQQEorZ4bv0X7n4SImlBb4Ygat
C4AxjlOmErHPjCIyY2HhS7oWVP38R5M/mWObBK2ZAwG2yG3YVvj5Drc5cE86uxoHGGnyWI+IEQYr
bOGWW0pvUOaHbQuI2ZBKHDLMTD5rVves5+yb3gjrarDFjauPiCN0967Lp8K30S2QEYZsH1h8oYlV
umsdDluemjyklUaisXI/Ng48s070u77XimAgcmdr5YkZj6yvnuYSUiR6rHuzTHE0Zdz3NO2JOsWd
4ZroNEM5gB8PJvVJritfifS+0BKw8GkerH7tFkh02ujz6AhcRSq9qLBAX9+AezHAs5rQ7AS/Bjst
SH10/UhIIwNHwcqrrD42hYcEEBX1XdxlANqPYy8cDPuF5qUZOYyPoBrtsVdMVexrmxsRUsnFUW/i
5gsgeE1/MLtXBB9fed5oflaMTkjhTOfvG2Hb9AyrmL0g9cki1DZaQe6yR6I1qHrkzriLZa/2KjY/
NjOCL/jOpzCt8zuQjyQPo9Wbx5zwGvXSRonIhp+SCgtqAzD22CtSAnEb1/Kxml4Kh6A+F13tWg5m
R0ZHCweJrNh53jSGVqO5IdI2Kkh7Q3/GI4qQj0W5T2MmjprhfNHBqnyYmortgMv0ybHY+7SU6IVW
+TMr9e9ElsAucek1ciH6wXBzzfccqfui7G9RhPPsZsw99VV6QztSRsxKqxABRn9VupkdtKyXvoAo
FAX1B48bH0XckhuvdG+rbnodHH4PjBceGROIVsE1h8OdmvihlbV3QmFv8WTLScCMmVWUcCRzmZHl
MwKB5wsxfmjTHkiN41eBGhnfbd3Kt1tS7XK0mwUgfzgWrPg8AJa+r7uvgCHr/D4Xj/ZktwGT5Fl6
79J+uk6VrPbxqH3Je5kFws33GgA+4MRxIAHD7Xe7z/bMpEejrmSQa21ksOy+K9MIAdcd8GREBMC+
z5qb4rTkdeoKdVwWLjJkEvQDOHG8vrFCEA8kOyDUpf7Isjqw0rLyi1i4J73yjmTk3xRRjT8xPgSI
P+9ya0JM0Wgg7UISOMKSDJHVotY6MdSdUGhRRnnDu3iSIsiB/AmSbrtBTTh/r+u1GeKiFIud5upo
6m7rc4tW+xJXDic7rehtVjfW3ovb67HPH2Kikmjqco7eBESoaSxEkFkN0M9NdeMYFexryY/WRL8A
wGbvzQ2QelV8GZSXnpLYvS4Z+KMa/mUaiwIFKgDnqfPmhYEG5qHpbXNXpwxMP1MdYUXQRloN9wVY
WyNbV2VglFnp60Pst456ktk0lw9XgWlwXwK7FIfDys+M8mMuq8fUNBG0qj3os1VQYoeDCDpnIfhY
3qOj7UGrWQ/yifS26QFi43lVNCOs+wC87cIxNo4cvFfYG10axH0mQu4hPiVZVwVc0ep2GHIvxPmt
3zFOhp01oFaD2cCtpe0V9VIHoD+49pWyeDATCvC8XCNB3dAK4IKaczvpuHuVhlWHhs78xI7n8ILh
/iMBglCnC1A1CjANGgW5ynvXxfV8wgLdLkSYA+nlkDnxe5q6XxW4zeAY8m+oS8gQ1Tft1TiZ94Jq
na9J9U3jReZP6HsNfhzS/s+X8f8m36r7/5wc5b//Bz9/qYRqeMLaxY//vuFfmkpW39v/mX/tz6+9
/aV/P1cF/l5+5c1v4MH/FRx+aj+9+SEqUdmrHrpvjXr8Jru8/fF0vOL8zf/fD//x7cdTnpX49q8/
Pn0t4B+5bKFe7R///ej49V9/INlIZ/6+s9PqLOS/37j9VOCXnz+pf9wC83D99759ku38HOefNtBj
DKD5gNIIrFp//GP49p9PyD8RyqKHDX+AFnMmWyurpmX4JeOfLuAVTepZOgW84ZxGllX34yP9nxTw
Th4atQCDjySe98f/TsKbdfq5bv8ou+K+4mUr//WH/aOy42cmYOb5wDUUahBxgkU3m7lEAQZaCvJn
xUQOBmM8bORU+ilOfSFpjRtuJ6i497z+vvQQyZZEPo4l+sFE3O/yLnaDmht9OP4/8t5sSU9ciRZ+
lfMC7AAx6hb4xpoHV9m+IcplGxDzJARPfxb1791Fqfgh7L48N90RXdHkl1IqlcphLfhxNyiHfRHk
4qqyrMhDGg1tk1rSecxILjquH9KyvEma1sc81pPVIr0Z4qhi4CcAB2gVohOwCoGXhXKkV9gAzg0d
m9zxYW+0RbEP9CLzywRVljSEN9XVoHfHzo73VR8j46R0fmplg4saXu8qUfQS9RjGyqz7gbUHDga6
q7Rizr1F259gPDR8tSO5S3LngVB2WwmUB3oN6cCaa+m+LXLF42rywNP6UU8r7mqkiIHpgecnHTrh
RRFCMlzNJ5uXgGQJizuF9sItaWV4wqp/0tpMDsaYJzudwMEMVn5rx/1z3GTFXhk7Y4cA5LJ1EGII
HQGKUFXNJZ3yxckCX9jhjZOTRyM3L8u+6rBIVX7mor5JKjYlaW8H4twnRYb6TH3ndPWPPDCvwKcH
+mnFTt1BlOhHi4ibM3qwouo1ATe8y5v+ixPpwX0DWPrvtE1jjxoqB6oMkEsueGHXbhwFKFtlWlWf
AzMmryqJtX2VZdZen3iqkj64Gsw08AZwJ3pNVaO3Lw6R1AyABMLwpTa1UR4ISuqRQg99ZCng4IGJ
g76W23QArgwielKzy4YHpybRd6HRnEMCWpSc4goOtMkvmrsWr72EFydgLT8Gar+vVNUfBJzsiCof
yLDSV0WdINOC0Nxztbipo8zt8ocOYWsd452fJu1JNZtnnqanALwOAOAI7soE0VUTswegIDG3S5Or
0NJrN7RAgVsG1kOp1LhcVe17GnSvY64eIxJf2V17gr1daVT4Ztmm+6ZNb3pF4PkkMLdF0hKtHzwf
zrwC2r/Va/QqIwIkHGpD/VCPf4GSyrpCsiA96Eb8aDGQuLtVPSjumFZihwC4821aKocIMyCHAv3b
ft+NgIy2O3JS9Sz3csdBuywtbg1ipniiIDsHRLe7rCrz6wKNYPvaxHtMCWLQ1+QgAopDpFa6TMPp
yMMXYywUl8fteJ2nvbWLImQtEk3z7aF9NZRXqqiXoEW8w8Us/CHPajcSBJixWoMrnVVXCGcQHuMb
53gsVTdmxSVml5RrG4+awbZvBeH1Bd7n407XcGXmdYk+iAa71rLgBaV26jEzeAkwcwy2aaVM3bLL
0rvWFN9YrGoez5IveBY5eAMjyK8DPEvipEvdqA+6I/A+Yi9K+33kDF8a0mmehaeCXtW/a93Bqzx+
6pz8RtWMq96JvBjERKPokG9C1BQVvoURalb1d5lV3Ig0+AXeC7BYxKE7VAOQ+PLYR/x+RYLKG+3u
t35DbeAbIvPg3OchOSHJq2HMm3/XQ5wbWjcHNEofy2D47bTWOSvbbwmxTw1LnioFcw/c8dp4HIAG
Zx5NS71ifXMlmq5yS8LuTBJf5Gai7pA4OZuJga1Pyuuq1l4EjAFBd/hTG0F0ZUR4nHDNRR/4LkI2
a5cjRPeCrjtWKXTj2a5oe80z+OihknIBLKM90kvItajtdVnrX/MmfsWA9I2Jeb+6Hh+MzEGgGyi3
jqM8omZ/1xP0/LK8QuWO9XA6peUNrfaYqsmL3odftGEowA7LNa8r6pc8M0dwvFTZMYnUp0RLogNz
OuFWY6l4UWfVt5pWkz264jMfvo95kc7xJGHpvdI5qZubbeSXDsl81Ktj39D60bUadHDwpMN8Nqge
d2pBnxpLx7kyh+6HQUVzBUbW8TvoLky3Bmn1QQUf320dUuWlJMg2h5GhezkmGpnbB2rxECQ0O9IW
Ia6lhk9xn6pg/64RJAVhD5cWfzdFSJ9JNwJ7R9MsV7fLzEMlDGEVmgEIc8ee5aFraVm+55aiPTih
uAhIbHh8qLIrDqBBpHfqGnYDarxqVC9FoH/9fz5cUpAzQQhjAPx8LWK6fIn/jxe9dPOI6cP/+r+g
Sf8PmGFsXERoHkNCAoWQ/wVN5D9gVEAj8URAiZoACj//DZoI+Q/q7QYaXUBQSQDBjtjtv0ET0f6D
2As9MBhHJQaAJO0/CZo+1tlsR8NH8BPwxQnaEBg6qCPM6l9hiKds247OielfcnIUOrLKj7NV+W+c
No/LPpaFP4uYyqszEYgCUseOVedU8CPr9gLVLWdfDac/nrFC758JLB4K6hbNwhi+pEvcd6gF9WNw
KieoS5O4AXKs67p86tSRZUjKDA2KkoSrwckwQTOvV0jiofejOI1jexriAVlKpTjGpMIMGe49IOIj
GjNKnh3Xf8fHbYNXlVSd/j5bU7uiWUhr/Ixup7/i4tvC7tz6vlzyNqLEsnJ8X1H2JTLwe3v4Q4h9
WYOpSjnToGhCRscMEtTaBaXsbn19Ptrc5/WZ/j77esz0OO1KmEKIKyQuH9EFvi5ga4Gkmm2LIrEz
4J8nkPAhJQ2q2o0OyTdg1vfHzCcV5H5jBiOPGGuCk4WKzcAyJFDoDp0irxgZvagH9pVFxVnpgMDr
9Jd9/8XIf6ZliPhDpQ+hA+yyLt8N2iNzwm9Rtk/HcT8o7Fgh7txRRSFA5rd/alOZxyD2RRnYJRJn
xu+cU+YJewD/Du3RnTUKDCsnYMftMZLcILfQHtPUetHH5DW34kdhjLukvHSi2CsydHJ1SP3yvW2Z
V4quHTuS/UZ6/bVLrLs4C/ckv02Rlq4ct4sjw1PxIbTd3pTmLahVPRonxFvfpek0flpD4D9Mjds2
1eRueaMUzB6rqXToiPNA6jNCtnUJi3YwkyAZmk5yOIJSC04ZyR/M7K5gNliM9utCprPwWQ3wIaKl
R7M/dVgOAug9rWoGJy02AG4bvpbkm6r0U+r0utlqRvlUuH87mea7NOnsq4g58ASzglOhkS+qKgji
vmDfDPx+NEbHrZUBxVf1og6oK1COXFd1ecfehUtuQe2KoB9GqNo9Nb61sY6LH0cftw0ecADOyfAm
Y50mcSBEcGK9caCoFddO8Lj++xe3aiZCqrt3YWmYdj4Ep8Thv9VW/eZwCzQ69KHV8i8doJfWxU17
8ckyZuKkK6/XkevkCp6iVzVwpBoXxW7UJDaELNr4TMi0rDNnqlvoJgtrLBstENijPtvVviLSDYe3
tTnTr5hJcfAiS6oM5ADhvb1HfXB9oba+Lhl1DiA0wXN8HUgC4Nb6omZ84/cvbwVm5ZDnmnqwJcul
ThpSEyE3suKPV0GKzMtGm9Cndsa3g2m9S5B8DVArhcLGDrZlObd61D2WuAkaTg5U7/ctbCuznJ2J
uhYACT3wrJyttj/SCOjB2rirstFfX9JlU3//OdIVaKZWFQQVbM8IdulFtNXXs7xj/3zekVBi7TRC
6dDE54URurzPMEBdbPiDRcO2CaazUSakgCD9aHLp0Jg5NXE9lI9dugvoATWcv1gjuBsC+HOM7cnh
dS+iPJp6FE4B+huErXlNnZ0EJsOU5OQE+eO6tGV93qVNSzo7QlnZh7VuGMFJN1G42CvZOXhel7Cw
KRbyuxj7gAdFd7Xkb5hTKkHU1TByXNiVeUv0fGNPFo7RBwmSDg1xUN9JcIwE0XzRxbvC0F/GYLhP
NCfYuLynAyN5TwtZbGdSRbXBdv1xvZRMCCU1quCEGTbzJhbeYH9PHv5ixWYypEMLbL8eKTasWFmO
6PmNI4omtMLe0GRh5yeqZHvqgnU+Dykh/0gYNic4mWp9iICCqtAaI+rqYV2Zxc2ZiZE2BzVZaqoJ
FixCn6Ri5CgNPbVcO2ubXPWT8/i0NTNJ0tEsBgeTlhUklUK4eeMBrLZP73vg3TBAQbjplitYNOyZ
vEnz2dGxlMZKUoEF1IA24vZNdNGl2t+YwkyGZG4mpxxZY8gQ+okg3N5iSttaM8nU7EgTlm1izWrH
zRBnE+emipUdR/StIMs5Gs1ztDX8s3iEZjpJlwAZRiVQBsikyFhebtJCbxicfAmYQz8mDFXvk3Lf
Dvd5923dnjd2XZ5HwejBf3997AJM8rT+8eXfjlSEDe8PvHO5AbY2lD6tcpQJ1CQ+Y+DuiZHy5xA0
8Tmux/26sMl2Pp+Xd2Hko/2ioFwUYjov+phdmwIFg+pBB7odioXHAf2e69IWVUO7uoEJRIxcyuuW
4jnVDDVUyxp9P5phhm5C7WAV6AQt660pDrlFG2EPCNqQn8IaAi1Xbo/GfwMApVIgdMvDvdkaN1pG
Tjq9J0OJXhNgq3TFLhowyGjwo86e1jVdtJB34XKzdJt3LAynK4IbrxVGlho0ya9LWHpvzfUzJTvp
B947NIB+A9kP4bGodvmX4B5tKz//pSDJRohVI0hRoYvRfdOvUbN3rpMGNH0u2ciSLToFSnCPU4qs
hAzJjRJlnlI7hXmYaE/xUH1zRfIDTYIbAydLETHgp94FTXY689q8ZEY8ZBk8Kj3kj/ltc13qvoU+
40OTbYT3WzrJzjvJSxFPpxkFg30d6h6JdExeseYO3Js+CA3RXXi3sWHThnw61DP1JIeO3hdMd3WQ
yc0BiZ0mALdUy/NDUBv3Cpxh2leHnJiHOKm/t2WUH7Q66VyjRuln/ZcsepfZD5G8fM4j2jEAqp6S
ZNcXe0J/lxrz12V8Ahd4O+fvQmRYn6YYy7A3IIQaVx06NRNPL5/pLr5qiqODsKmuvm8c7kU3NpMo
nTyamwUlFSQq1E8Oun1X9E/GFlrRW4y/sotUOnaRAfzAMoSRdvU+yHeV6oXZvn2KH4MH+8q80rJj
bfh2vzHSuaWb/vFo4LVDk6aAbnApoFa3Nj6/GHDOlm7ym7OTxzQQWvMWSlVR8Q0EVkXRP5pb18xS
th1Mt6iNWCjGfJ4XjUO0QShokD+17aHpO7S5kbPijEjwG3tTC2KXOtZRwxiLo2Fi4E9h4SaDnEuX
Ng7Y+oYpCkjP0JEdh9vRzdIizgVIeySaWLAUEKInW/VRLw6qXSkO66dKvr+AvICIFURMU1XkcwbU
iZSQKKyKzq157o+1svH56eDPbVv+vOShkqRlcVri84Hpat1E05llvh3VHiExOjHBk8mGfceqjfhD
9keyWMkfMTNFjRgQkICFvSuaXt2B82mgP/vU7tGqk31bX0P5KL1JA/QDCm4Yy/+UJihFYkS1CmzO
ztlpaK4JvPAhUX/8OyHTj5gdKFsv87DHvAkYEYe9on9He1yISrr4nfTVxlW2uHoWXrwaan+fkxLo
FO8DOkAfBxvVGe1lkps3qFYdxhR5/Gbcml/+5AH/vwV8Fyg5C44G/V4U0C1rmZu1487K0RulxF/q
TA+OKhP5wepKFBsoptyNCi0OKcZ06iw4MPyy9XVetFiUdw0MYCGfLkeTjOpj7lhFdI6H+JuV/GB5
5Aem7g1AJlJN220KcmvTp3Wh8kF/W4B3oXIUybkogMyGBZgmLCbd+knLlFnGH7plWZB0oyW0LZWy
wdZmAGYNUnEzKuXRjLa4wRctaOr2A26iBgwsyXGFAMotlAmttrM8lT/GX7Ir9SLE2Nj6sskx15s2
MzGy3SgsqwFCEJ1LPpADz1WKdobyphidL3UkGFKsAUYUrGgj7lo87zOxUu6BJEHIMCgIsaJ4iHh8
C1hNF2CwDHyVYuMsLvrnmSzp2BNUrdRRgyxRq8Ajie7McpO/ZkHGhNSMLKcNaKhPiOO5OdCAhljG
nFXCFUXxoiZbyeBPrxjsFYRAhGMBnUOVwQKEgkFdkkBIl6P9id6xBgRHX2yGBiBMTqzbxcIZ/iBL
unXQSzCEzmTlRS5uIv5gc/PS0tRj0Dq7Ks72cV+7bRP/+TXwQer0q2YemicmB3ELNEyK0cU0GIIC
9ov+abFFWse3adeZFMMOewxaQArLXfSio3tuV9Ateu1li/hns2RCI4uJOLMrCNEdtKflaGvLEl3d
re/SgtObr9fUEjxfr1JkaQgCUEBa09i9TquLyjr9OwmyG8pJa9kp1ODO6La/hvqZ5huRxpYS00rO
tsMcjCgdpk030ACc7DO0YgIIY12NBX+DHpypRGBawIr9lCgaAyOv0DB9dniCrr5UNfcM2PECFAK+
0vR/zGSOkzoXJ+1Lyups6AaI60bQqCdtimbd5o9JVCQh0tagU5JV6DmGGWs/gV3Sn0JgiWDiIP2q
WVl5buI/Z61+k+iASQS3EjI205012ylmpE7ZxFAr4Mehx9AGltCs6kdkIjwlHI6gcLmre7or/hgg
TBIseaOmCdBIxifBQXqZWBVwIsjYbKRUFv0rUMj+UU/yPhg/LEQ87dpjxOpde/G7FWcKHMMS88sb
oeiyLIyp6zpwqVFwlC5ATII5KR0njTBqVhUEgKtR6qa57hqZ+hyZDxiVspifx8f1g7B02MhMrnQZ
Vg03BEaREJuZD42CuU39BaPf6zIWYgqIeNdNMhO9bBmAJyFDj344WewXMSZOmF8cUr29KcSvdWlL
jnYuTbIN3pKGAu4U8Vj2g2Foagu4c0sbySpiy+6Bb4bvM8fFBNkunbrN0n1cbsSVn5Iz07U0U0SO
YAeAS/MY8x7nHv3X6R3RH2ii+7n1vbCr+y55BO8cO6yv3UKQ+UGkFMsWJe/bfFo72tsnqvZXJdn1
4haN6Uhg0o1U4sZGmZJTtLomTdXJ5On4g5X7Qv+Lq2q+fpI/BAdjSuNJGS3el1fll/55fbEWjw6m
awwNaRKMwUiGkBtq3Bkxx/6kzEVzAvpP6AUfNiLjZc+ggzx16mRFSUM6PTbmLsK41aIzxgE60zOL
+3U1Fq/C2fel88IsMwVvtBqdCUDs8+w5DMXBCAKfHtflfMosvdnzTJC0Xoomal5lEOQ0A/NooySe
2aux12lG6qOWui+KWveoiW5sKxpyFzOxwKMH+MTG71i0u/ffIYd7ZRGavSNgF7xmxyjGqF9eJsRX
1KbbwTE/U9o95ZPc0RaY7MXgxkRl9eiknPgEk+Vuq2w14iyb0j97LAeHYCdU67bGHhN0nKtuUu/W
dV70WSbuFR2ErCr6ij5e1DQs0Po52ZA9LWwwLbExZDowtqO7cCQlpkDKy8Lpv66LXTStqZ0EKRxE
TjJ6YCGs0FCNEa64BONwZIjMA0AiUoch9YUlNu7QRSVn0qZ9n0UjVqWH5RBA2tj/xliY7SK/gQ6d
vABWyhZ636INzWRJC9r2isEBvYAcX635tUAf5sjC9m92bSZEups1RwlM500hce3Elm9zTCeniIbN
S47hr2rDH2/tluRo6lETiqZh/VQl2pOy9MOq9By7xrzqFvzq4j0z02zaytlWKSXiHa3F8pk2GHqQ
Aurty4C8sMzygVC9sYzTXkgJUwIC6n+sUPI7mAvLeTXt1Y/RPZcb3mRJE7DTw52gpQnzBtLHAd2a
lUY94JLhz7ai3VbmywhMrzDww9xdP01LNjcT9XZRzBYNA39g8tWxP3rxKBgPdyg/af66jKW1msuQ
AoB3dcrI2GEeMuSRZwc/14VsrNlb4DNTJAPEgNFPa1abL3o6+mp1Ww73okY845DTuqzF63OukRQF
ZFWf69EkbGTtvkD6FenG/NUY+D4minB7bgAIx77NCPWLYeNq3dqx6e8zRU2r1GpqYsfsxjgw47up
5xt0A8sSgMaHaRIHEJ/SmY24UMqogXYFUtgCTelQZ30Bly3iXYJ0VFvkuJS6gIRAC3y0Qd1GaDuw
m/TPxSCJRTGv6qiY05Wx9mlIY+F0fXiusvpUOSdKDkm1Fbp/JvRAWWsuRVKGoUWrwLQa2jQxoQfS
ng6jCpGwfVJchPdlcLCSM2+uecRPBD2eRar6nFUb7mjhmvrwGySP0RgxfGvXhWeMUWIQg6PBqgAz
BJAFjUPHn/5492bCsLwfLTAPMvAilFC4CCFqNH30K/kYA/1z1/RBjOQ2kD2LOnClhGdS2dwDO6/H
Ih5uuNqF++mDEPJRl9jqot6xIUT7Wjenyg1vibLx5lrfG6pKzoKBPt2CbwrPaFn3MEAFII57YO4U
zV3fRzvE+/769kx7LV1NH1SSHEQct4aWYS7nnBoKpkGdE/iXjqZ5Ism10QYXoTMezaLdELrgMz4I
nU78zCux1GlFwaGk4TReBigzZav2siVBClzezQHQSTUClWbjCC1+H7AGjoaQlthyEymQovRcR2sS
hmiVZ1F091q14bkXDWEmQXIUoalh5IZAgnMInkh6THPMr76ub/6iPU8kWLYFYoVP7LV6GdFmGLD5
YWJeKHAFam6BsMU5msNW1nZ5wd5FSRuSUqe0FFKHZ6CMEszr+/9OE+kWCtXOBuxzFZ6vRsCQ4DIF
+txf3HTY63cVpB0ZAJatB0ExHRUvedSe1jXQljf8/fOyVy4BpGu0JW4GsSMDgLCApHLbJ6euvUev
fTS4unbXmJGrRi+l7W+88RfuWDzNAKULJi/k/uR3Egh2MjM2s/CcgKZHD59I1d8ACmBdxUUbmAmZ
/j479n1LgTSZQAgQHqwH+7D+9cX1m31dcipKOcR1zVl4ziKPH4OfenkApzXw7KxyQ9LisZlJkmwZ
ZFFA88LkB0j3PGBZ9RaQMAH4s1/X5y2t8sk1z8RINm0lWRC2VRJiPNwDrlGSH2AT+Kf9EPkdc3XT
1cufINnYWsgtW5DsHEjYqHg6kGvc0dcWiBYbV/VSGuaDsUmWPnJMOYMMAjvlAimJDrcFJvDRkngs
muP6Gm7slNxJjFZcYB5VsDhcA6HwR7Jj9612WhdCFqVQEDsDsBd8ZW/0YjO7DgeaiTBXwrOtAE2h
qfKjBTylZAi8usp+NYX6MNY2sF5Kr1JAIzw6+rkF7Tso3k+OJn5lPAb+U/2DK/W13rMIcEnpTyvP
gZlQ3PBKOVitc8WiAfzw9Jrlz+u/fuPHv2HKzn68rrdKB3RJ5BAROnndQTmY2ca5Xw563xdIl4Kz
KrA1ASCNEEwHl6T3G7/T/PwpvFXO/MoAiNffOLOZOClMKwegzMd1jPIdeyjgx6xj7GzczlurJodp
qT3onYVVC42HNnXcIbsx0dzBgw05b3m3T05gpovkM2Na1FRjEISz3ypnlT275Db2skv1Kwq45ncL
0KVX4gno9glzw7+JD2bCJZcqtFhv2zDEy8v2K5/vhsutcHdrHae/z6wP4K+NLlSGUkaN8ZIfSdF5
A8L2AACw62ZOFi+fmS6SNy0CnllKpOGQFpXpNZb9GIvhqBUAicwAdhrZhW9q6quBeWYtvm3rBlhS
pdm5ZWbfcfW5dNofIDKzfAv4oJUT/hwpSpul3XjI3wI2aKguWNx/7dNga15p8/RI/rhANyJ3bOwC
AKY08ZQDYs3xnAu02gHFh4LgpfHY1oTH1mpJLppRQ1MxQQCvYDwalPuARdzYkKXikgUS1v95TXnU
XdFMLbYibL19w51jMwGxNzsHqfBsyj7bL+MLHNFW6n3Z3jDCZmsanUYMPtobKdqG6hFyCUB0vCoD
gk6LUgAhT73kXG29dZubFunz2X0XJhl3pzZxMQI+6hx14Gnd5RM3pMN2Rn5X6s/GmACrb2NRt9ST
jNwWQVtHk3osTQ7ImwJSu4CS2hat35YcySTb6H9yWv7AHdeELpX+HIIj7d+toGSGw5g0gFuGPrWS
ucVwpyIhmAd3NEVLJrC90aAb/VUiAbB1/7UQmUQj0zoOTw6RVhV7bErQAWFtyxtN67NiGbZ0IWIi
g8CnCxSAMs1nFk4yjnZ/hUZWQC64AHbcsItp39fkkY9m3wH7cszsHmet8DHDCWaD6HdmnNifTj+h
wAbqRRM1KMDe4F+SXgZDYqcYUZAsFX03jOrNSM3LGNCnzKAbKi14qA+iJJUo4PrDlnZTLS/zDPsF
2N77deNbWLQPEqQ7vjYwlJrkWDRT2Ify1ek9Q20Dr1PHs6Poj+vCttSZ/j67CAuaOmKIIYwCNLrL
Pdy8G7Hwgs19UEdyfRYQy4Bpjb3JXxUN7MmnjB2U0W34LTc2WLAX3AOQGIk+Vd3Api33NpEWkNWa
nk2dZoB48wE/jj6ScWcGGypNWEmyXX8QJBlBIyqAI4scVUu7BP1jioajwcdQ534EX6afFjqwwwn5
pWXBntnmobb6A9DpvXHMHkHH85pmqReYADqJCVATu2b8jTbajY1dtKLZWkhWlDTRgPciWo/Z3m4e
9ATAXV4V+OvWs1Rj+LAQkvnwLFcMpcBCxOq3EN3qNsgRyusIJJymchsU6S7rECWYxsYh3NpoyabS
tigxoYyNTsvkQs+fGhIB9I+7KN6vK7glaPr77HgEsS4y5Cew0SYAl13g8d5m/9JopbuTlxhyrjss
YeZl3jfvjwlYJtdIQG5joLkXE3fSVVaOoNLTghLBwDe0NYMq1uCHXtlYpmm9JT8/FyIX6FIwRUQM
EMPnlLPIU9Rv4I/wmjDd6rtb9CXvyry98GfbMQ5KFVgMzpex73ptDV7VCg+deF6FEwZY0G8V5K5b
wFIYDN0wfTTVOScyuY8mUFm84HmYohN39Jpmj14UZfBb5hnX8Y0JKGFvvNIKb/yu7dYFLx/gd7nT
Wsx0tfo4KdEah2Zt834MwN+BF7oKMAcGYMl4Q5a2bOfvwiQrsVtFzcokgefkh7C7z8c92KAUG4id
nh15zW2h+Pl1eS6/r+v4/+M//pErJ0rw7up0UBziyQz8+OSkXX5TgHpaecmt6fHDurCNBZXniIUm
eqpy6MjLG0z8xbf9I79mG1fDlhDpZqj6xggSA0Js/ZfxADoF9kJ/g+VnXZUJkW/hwL2vm+Tdbas0
Ehpj3YALFzl7IwbpOvIbQEsaYqD0u/yuwuSCjzh8XfDyQX+XK/n7uBk00PBMN2x4DfFuxEF/kPxa
F7K4hkgI68D8IEAek5SrQRVFxraZ+hhBftxrr0xxJoaI9Ia3MIw/RWN4Cx5n4mSdlJKUrYauKIKJ
cgNOBKzTGz5+cdkMCk5YG0WbTzPKil5XagKsK9BtevQlcPUNJ7X1femacphOSwoo9DNeFz4SXkBL
ad1s6yrZkjLt28wjjULHZvQDiHo7jCMYijh1Css9fdgwsqVELaK39+WSXF8PmjSDJFCnHHOv0dkX
EYT1iUbPyWg+6iLFMHnN94CRA3vSZd79WDe/xUtmJl3yhe8FeUuNrpJ0QkHLk9pj9EddAG7Vo3Ub
bDRcTyb26f58FylPI6dtBDIJMtmHJW4s66ITW2g9yyGrCbxWYqsg/pOnqByhoPaZWaghv+b2yU73
TuYHSDh52lV/4tfZrXLIr9Pr4iR+Wxv7uXieZ6KlA2Ywi6aA5g7PPMh86oBzEFSiQEdzgVXubvFC
Li7lTNhkxHMjpYoWGin0/NrtzMO6ZSxlRW3Uqv5ZROmcgZNEgDsAmtgX2bm4yx+04/iDPwMv5IK4
fple178wHLIudHPnpGOXq0Ndxy00AvvVPnbtiwqyAG3sb8iZOiI+GeFMOenUoeW6KXpLR3nE+Nrn
v4lS3kdRfU+z8t6p7gpLuDRtcclsiF18S83ESscNQzs9IQHWFMCRIt2HADN9QfCRXBZfdQwEAHvc
OiBhteExl8ZE51v5hog5s5MeRG6xbUNschzRdeDSi/ImC1xQL542FFyMrTAKh/kkTMACke+jRWZd
nPeZPZ08F4DoV/FZ37Fwa/cWV3EmRNq8Ig1zWnUQ0mnfIr29buI7G+Ut/aqNUdk1n6znda0W74KZ
PGnXrLIptCGAPAI28x04amIf1CG3+hZQw+JxfpfzaZuqOmdlSsNzD0YHX0vMO8XWuo0jtqGMTJWY
1TQSxrRDefiUO482kP5/ry/XtMfy2UJ/F3gjbXgPUBx/tAEAdVNliLhy6uJn+F4VBKvVVtJy6d6a
yZAziAU46IaeD8qJx3yvmdGlBoT+VlzldXpEA9TuL5p07bk8KemWtiHgXsse8nIjOTCSHTtxZeBR
lgTikhhgkFNQqto4t1tKko8LmQ2kH1nQKKci0A9j8CNmwF0P+I4U4LfR6GtaqVtDs0tHa66nFI5y
G22uFR+VU1R3BLyAKIC0YNC5YaHSu/3YPZtmgGq1fR1k9Z71VuqVkU53IL08qSCsC0zjtsnzfcF0
zS2LQDuL0cIAgNU8NyIMz2MeY/BS1MNt3fSxbzkKsgx6dIptEGapowpOD5H6gSUe8kZHCqJvYi8V
TQt+kXzfDs6F3cRoY1fIRLpWXfImtHY9T1DGBZ2aA0aMkLFdp4QPqhZeoGi0ywtxl4616VOdAclC
x46tG/vSmZ0v2PT3mWuN2rQXNQKOkx2Cbv1Lp2zhay4677kE6ZLno9o0NIapg8aut0ALdWm6oBdt
nJtW+8by3bo+WwYg3frA3u55OeLwWuHJaF8Gcx9eI7XcPAzCPA5Du+GNtsRJ94UemmOWUIgbM7K3
gbDvGRUHAVv9DQlOvxUGWHketvrSt4RK9wfLwWkQh51ycoYOiahhdAvluxligVs0CbQPHXAxNafb
WNmlq3G+j9OvmlkKyFN5GZhQ9aludsFTcWkN+/W9W5agO0DZB1CqDtKfDxLaVAdNBsXhHVDdtfMv
Ik6B7Wf6oJT5+u8kSbrUta4W1ghJeqfsQyW6YSb19LzzWhtUWuuyloqY8L3/qCUXMUcwVLHRhrCm
roAREvstMU4mRp+LpN7X+g8ruhS4+HVQ/4AB49ABZ2L9FyyecbAzAQQOWKOq3LjVAXeYaW2rACyn
O1vhsNP5j3UJS5cy0GQ0PJoxYQsw6o87p3UTBbnFlJNJ2u8mKt9lQcADG23F14uWTyEEkwwoHcgJ
0kDv267UYuWk5FnutnGK2gTtLxuA/Ti1+sQMPgB63wD81lY1c0OynDVlTe8AciSdLmwCpK+y9dAm
v4vD60AjL2JoriNF3Od/8dTU3tWVU6ihCtZSuy6UUzXo+yEQfr817ra8cf8sqDzkQIc4L/S6VE4l
CNVfDXJZndYtY9n9z3SQbuS87Y0gGjPllLbdNSnMl6q6zscKVNAFvxWVed2ArcblNPDxetdc1Zmq
dSTbWSNAzdZ/y/I5eFdWuuswygn6PgvLOTbjaaAg8Rw3fOSWlUzLPfORCmKJOOBYzrwzrX3NgFsf
1uVtSflVPDDVawLeAn1Vvx7LduOQL0WtGAMnOmaIUDqQBzCzsiZqYFBEraDh063fBYjO8vp65Bgh
sLcm9ZbMBlABqN8CRAoHUdKzHWKWiURH1EBd8OwN/EA27oKlvZpLmO6K2Uo2dVy2mGlVTqLyVfBr
bZjCYtpq/n3p4gYEJ+imOqKckuzoADvMdLPHAFS7rhNsiVoKg+eipGsNBENNQSMDl03rAoCVYIj4
TgMfqO7baM/0/i9pX7YjNw4s+0UCqIUS+aq1qrur98X2i2C7be2iJGr/+huaizNdLeuU4DnAPMyg
McoimUwmk5ERhdvnr1bnCjDoDzu7b8/04q9ns2glZZiGAuskOxcAQrvA09vL5U21dWijXVNVVZ2D
35yuNpUy112o5SaS/OLQvpo+BPX2rnybJ+i5jZW7dSKDTGDCkNXHkBu/Ufhh6m+y5rvg35h0S/GU
zNfW78vj2nbAj3GtHJBWoxLFIVWO0JOCThbd8Yrtlfn4/Mr/eAsNzlnF52MTmqX+4KIr6qj/mnTv
/zaMlfNBVS5T09yCn0O56onv7aNl5td35fOVWTmYMqhNX+rw7Qz5081UOO3j5d+/BXnH8/u/E7Uu
KnRW3yQQS1SOXLUh6a4z23c70+9iKLg5zWSbP5vvVFzzHIy2O21r/0uQ+LC9Sms4rxpBFfjdHLnt
1xBdWD+G0umgSDK5kIkP6U5jj7bjFab2eb+aoyCmMsHgpF+3hoNEW0KI9Z3PNn+xHqLn9FW9qp/7
b8YbGJun4HB5rndc3lwd1RnPoDkFGdVjLX8AfmQPbez/FwvIEC0dPTHqPzXbs3jErLIfhknB+BSo
bYJcXdm7Q2zmG6A6/9fEagpbvUzBkoR8em4O5JuheP88tsXVO4R++bdp75Htf4lNH/ZWk6apRjsW
LFSOkCXs9KAyT6nff28e5V2dOW5Kny7P4LaHfJhbhduIx+AmzdHBkIQe0R7Ce/XW+pZAJXwPdbu9
sz8MrWKuDj68JG0wrqGHTByEMOME3UX5nk7Jts99mFmFWRkV2TiFKK1M+RP44yFeOe1EwP9lF3+Y
WIXauE7r1DBjmCiDpTUi93VoL7tt/9K+smYvZmylgHiyQV6kq8bCTv15C4+9Fsc8gYs3X+F5cRxY
PxPNhtZk9B59BXR1DLK7naNqmaM/gjBYWLChULWmfOWCSjRDtD1DrsRJ6XX1jymFTqgB5WVTdy97
3+ZqmWAJWeTnOF23tJGkKUif454XImFpagZJ7XlnAvdMrA6sEIrsRQVOAbTXihdTQhOb7Pnc5h46
G8Xq0Kog/NSAPhbsvrJ2tSy9CSPNbjrqTgyi7OHwQPM4uDxxOybXNQBViRWWa7i4cusFG8mupttI
sdMmcWW7c4hsbtyP0a3v4mFimqMFe8eoM08s+UGiQgLCXO5y8G56umWiowW90Cbeyj97OiMTnSVE
UI9GXR/MPgRXXHuj1tVBQgBKKOq1BMShVHFiS3V8zHLucDBV2ckApnSq5cHY34XsZZwo7noD2C9R
7bk86Xs/cHG1s9PGaHhERR9C1SmSd71kJ/Fq3ll95VZtAzlk6bOKOZdNbkw+WtxBfakvUwKuhc8m
S5ZAZyUBubIxvRgjjoK4HHcyx40NAl0SyGkQNJVa2ISfTYxzS3gmQLA8eCrzGds5ordGgOcvqIZa
FkHr6irnqU2gKgwwrB5pNh6m7Go0QqeAB12ep42lgYDbh5XVKU3mnpoNGiGOEYTr/Ti8NpPX2K2N
Q8V/mdbOkDbiI0RBCHS90JsJKqRlyGd+MJa6JOUMtnRscTMNEuWbeZCatbMuW1YQGRHzFzgEWGQ/
W8n6SbXShUR/BBCLdA8m+rLRmn953qxlYlaxHrQDH1ZWPm2RmWV6B+rpEcJBYH5HWg8RuCcQ136P
LeWuHZWbpOk7D8RsfiaGExmTG51Hfmahcz869l3ZQp8lln5URkfK0m8GQySPDNNGGfRrxMc06JWk
tY1hfIgtWQTWSAo77PLHmJeP5liB7Qh5oY1/uTEigWedprEHon0tJH2Mw0XAFtpp6EhHadMiQRZa
9thYXgiBMNBQOWMx3kn8r6ydEfpSUrmAyv3UaJQEalJezXi1B1iF31fQJ3V53N7xRN7SkhKnLctD
V6WmF4KCw2ln5lalAtVpPLlQwyshqpUNKLnUYkQPXBXwun1kRW05RgzYH9rvHM3cI8vcCOoc1Iwg
SsZ2N8GD9nnFaxBn1LkahUcci5Ed6Z1d9xKxXaQCQsOnCOrXtgCya8cF/vQAbHwT9WRwbZl/8BQP
ud6bYROD+nyIbJZJL+OPSfJVNKNHii+XbW1h/s6NrdndxqhINSJgDHLcR5WEXjTGkIp8TvmjBdNy
+Qn97wYXlcuGNzbTJ7urKNTAf6hWwm6ekaAe8D6JTkhXkMwlvbkzyD1bq2WMxTCqs4ZlHAKFJU7b
XvPEGeZ+Z922Auv5zl1FITlYht6qiA8QhEvtMdYm1zI0v2r3wt0SAi6FiGW8Z+FOhVJ7U1cw1FSp
V+PzxR5uZ8lhL1lY5bhNm5O+49ArAj9piscu4zrmmi/1Zdp+oIfu+bIzbOyzTzFv+fvZgDqAD5VY
LJGVoYExlXgZ0lNcT2FIoLHSmSQ6zzod8JPLdjdXDJEcSiULd+gaCNDzWlU0A/orSeaqt/PgVnvN
CZsj+7CwhgGoHeUZazCRmv6G6yrevR4nW8N7cKq/XR7LplOcWVpvqFynalliLKITQal8QTq64997
Y1lto6rLdKGh4HiszPRba9QPaLQHEDRyu254S4v5Z1g/XR7TxsaFNPW/67NOQD8sQvMYzzHJG+0K
2zRap4msHWDBpsefmVqm98wFqV4RlmZYqASObgz0NLf3cxWk4P7ta+PXX48LHDjg6aLMAIJtjWKP
ymTEwzJSsDgmjlI/RdFk2WhJPUztrtLdRiL2ydZqb0G1j/FEh9JEVL3GZnjSavWlGlq3HFHOADrB
jLUHg5Odldvwxk9WV2lypcdWG1qwmuTZ62y1/twl/uVJ3HDHcxN/oNVHKBJjyaDRoXC/ycWhKJ7L
7hTVP1I0+gsM8bK9DWf8ZG+1wToQFcZhjcQs0gtHWN/JPQkP/4Vd6JOV9Sb7d+L0KfWVqPdLsmi4
hEhxsHiXR7S5SHi4gCwuVEtBWvDZ5xswdhU9wQyWyV1p2Np/OKdACP/x/ZXrNZMSpdWi4RKF3tSe
0mHnjrERvj99f+VkAIkZI1fx+9PQeUeiIv/+on3+/TVDZzkmokpK3GGAI7fz2rJp8jC10U7k2UzB
zqZpXTNVWcqjdoaZOtefTB56mhIGJKx8NXw3koc4YjYu57ZS1sHl9d/cQR/rs6Zp74yiUNQG6zMQ
GQcgfUUBNe1/NOH01OiicXgJrjreFDvLtrWRVNwMqa5CetNct34oiiyyUEPqF4FFEqQmPztzpA5u
OsRPlWGv0WSrXoxmqw9zqx1l1GPJuwleUo3yyZSo1YVprx1bPp4qs5VgAaA3BvuhqNa9oo0Li0Nz
G9GwOzZKukd+s7nWKmHoASOgfP+DRbeogb4GOg66XonfxtTmt0XQ/OIlXjhe9jgDtrb3ua3V9tPM
somh/YAA+TJd7z3ZbfnO+cdXe08amhpDBgQSh3XpJv3J4rXLj7NyuOyiW7VdrN6/E7beg0OV8mIa
YWc2QBmbtsDVdQ+EaG6otp5aD05cGj942T9X48OsqDsRciMr+GR9FfNFaaWsX65ivHkr9WOZ7tUU
tl4XPl0xVxbimFkJ+tkW5U7Vy2vVEWCXGDrPjAY/r97UNPLm+jeTIENIxW301+rY6Lf5dA/TP58B
oVEb4cAVftRm5dbSCVpGO3OvI3Frx5/daNdPyKAPkS3InTFI5VldmFwLwGEjF0D6nYT+nzLr6uLy
aTjLLzlL48a6wYlTU36Mfmtm9x3479AfdMWw27GhdqrXeOU46Po9Mw4xsEVWR3yFQwYofWgi9A1a
9DjnmhsNUxBCdO+qEYjGkT7YM6tmh5UZ86LKfCsrmrlll70XQj+Y6BF/HjntbehWK96UjE+JPntI
Fa6zvn9udRRTLKXTnuMIMWUmCLS6sCey+9KydRyez/LqOFenWS+MEddcrQHGzXps2+lUy+l4eUdu
WkErGF0yBl1dI0MMqih1stREEDCDJDlEUBkXe4Irm0FbWxQIKP5R/5AZSnkOjTcKt9T5C396TmXQ
Fl7XeOl1e0v2DqTtIX0YWwLpmdOYYEVQcnDlHuf4m25W/pjcafl/QNRAa/rDyPIjzoyU/TTVagkj
sXkw+hNuaXZE9l7rt0L+uZGV+wPxiIasGEb4hFYNlG/UvR22uzIrLyMh0815GUcYJTawBzZ32uGU
3EV3M95VUrvcu5ntWlydY3SqCG0lLEpsUaEcFkLtCZQfnN7HYKF+v+zfy8H1RwQ5W6fVwTY0yajm
OjxP9adXCUCbPe6A/rY43c5dYY14KGfFpHLZQm2C+mF6D+oBBy3F1tUiDqAL3yzwoOJZ7uWBbQbh
j4Gt6/5WGZaiUTCwPC7tJHuNquc3o3i4bOTPAxPqchRlLWJBX/0PXfWP+GtU821b1D9KiB407TPq
SbdANe+E+43s4LO5lWukyRTnQ4Nwnwl9uOonkboFapV2hQ432wgtwzYYCf1OyO/iJ+v9QexcETbH
i2Z0ClZ5CMuR1a6uLK0NKxU/oMDpLBHcAds+Dlprc4He7VT5+R+m98zcan/TgZuNFsNc39+bBnPi
8QhEoM2jnbRrb1irTT7yoamTBHbG7rahjTNnt3jTVMvZ7nYs/RmxsIJnI1qtoKj7MM4jWII0i6dj
4kje7hDK/xneYYKphvUPV8EfHcw4p9GwimrMMRxsxY3u9rxwcwhn31/+fhbZeZr2DV0WRen9vJbc
KTl6RC4v/J6NlZ/FYB2ewh5jMMQjJL7Ra375+8s0f456n+do5Vi9Cf1JscyRRD0vyvUflvge1fOh
aN4apQwuG9v0rrMJW3mXLiGPMC2DGYGXJI/MOEL+4c7aq+5uzhlXLQQkoi+Uqp/XRVGqvtcGmNE6
48Hos1NrtXsov03fOrOxcl9wUxWWMcJGzTzTcJtvurrjvXujWJ1HaTnVpF8mK4sal5L2KmPKl8vr
sTOI9R1Lretp6PAOdZykPGgmt5XYdMv571Xh4GOQ5aWagVr7H03PoopCa1rmKpNARsyPUXOH5vKd
4sL2WD6MLNN5thlDPZ5MXi0LMldohk/tfEaybe5hI/48TD+PZbUfoQ0PUiuF8GOTzcfcGO08Un3Q
ddqc/LVq6WdLq52ZMj6rOsBIQANkj01OgBn0Q/4DiOzLTrDBYvHZ0Gq7WEPVEaB++NFizBuAnPAy
vMFmPKUuLm/fkYM9tjHoauYKTPGy+9WVWbC0sygtPfV1PdthnN1revhEy1o42ZQLp21oFxT63NsZ
dErsOHpT/75p6fOvXm3AAmmUCf4NDjQDuDHnnxDwcYHfjOO9hs69FV/tw6yPWMFLDSs+tF9EM/R2
jwkAdunXQIq90LXlxdgioMDl1KB/6A4zq5pkr4+4/shDpjzFeHi29ogAtkL+uY2VY/F2nuKEYr2H
2GzxuN2if9Is3YGkzOup5WmdZ5G/J9ZDve9sYCsnCwuWVLOCgY1tmx5pp3zL2vDvVRU/G1n5hAlf
Y+YMI6yxk0dxy36b+k7Rdvmd6/NSBXwGBUyUbpFdfA4zWaqkg8V6nPn8OQRZ5VVWnNT2Dpioy7ty
c5HO7KyKl01aCxDl/2OnvhF57ZEOSpfAa8BsgTfmdicKbFy2MHdnBlf1oLJUaq4sXoG3UTdSSjfV
xqsJdsC9iEb5XGa+aUBqTh8DYbyYM2KBsfMbNp2fod8APFmgSFlXGGYqKJtiLJ8Yob1+mNGr//Xy
rO5ZWLm+guw2niJYiKf+2erfyx8hVX9dtrHpIWejWP5+dhBltIkKlQzwkPkdoB2nn37ONJjYdNTq
PbzjVo4AFYJ/Z2zl8LzrhwySFMgOwR5vG1Fyh6bcvSLe3oBWATDNoPzTL5OWMaE6rGOzO5f6zwx8
hfakmF+UeI9BcNP5P4a1JmKRMk+0XlmmkCvvzXBnKTRQjFvxNNGgm3auVjs+wVc7ui2tlhUzjGWR
7snxiogv4fD3EBHsrrMRrbYzSRWDEtRbj9VTRG/R4RhX/yUwnVlY7V+0qJMuXzZPK8Uh1GuXPafh
azmYjp7/PTfm59Gsci1a9bRgwzJlxfXUuXl/Gxd2P3rgftu56O95wrJ4Z5upGgBu0JbNlHf2/IbY
a4dHFt305eOcepf37eLGf0R2ZlDQuAMT8kflkapGLZRliRi8TQ53WZpek0Kz6+Q+HSEPVRRo2TD8
y0Y3ngGWqfywuprK3EDfoEgmHMZoy5jj/rnIy4Oazb6QQc5lIAvw8wxBQS2naiunSnaaC7e8f2H3
MvFmivrNujhkmKEZkwluw2EFzFvQcXLAGLizjFtx6tzKyv3HDLc+fTn9a4yhxFig6b5zYG6laecm
Vv4vmTpHfBmIeq08yu5AB3sX1LM3WevFkgYarhhsaOGrrh8aaACFeyprm+MwIDSi6xTK6utG6KGk
TKYDbMgI9OIh/jPIpuSIpunkyCzauJcdcCu4A9/4P+bW3c8SFA7CqmAO4K4awMtI8ccsPhpQK8Nz
yQjaUBi/bHJzFgGkxUUQWBikuZ/39GioNUTrsdFqbrnVnLlTDw0Nba/PdM/M6qwf+3geUtC0Ly+u
yS/j75Fy5sLm+e8oVsf8ALJQKZZjY8a9jIoO1CsgoVTI7RA3b6zMf/3fJm110odh3yUagzmL+Sk9
AfTK9jxvb8JW57wChg3W/7MuGfWigrjDzzkaHy+PY9vf/p22NexUSNrIbjGSeI/T4fK3t7fOx7dX
J3nUZqo6LWmDVeEZVT/2Qg8k83XqXLazdSiBQQjuqy9tQOuunCJsKDFFz46mfJR5YTdm48qotUvD
8lILL4Vdu/dysATI9eF0bnIVeURJJSF1x45pxQ5g0nDjSvrTkNlDCSIS8xB30I7VFXsuxmPKv7Qj
2wmv6pZ3GOi+Iyju8z/BG4YiYwstBNYxxqEYgIrnRW0FcWIqXDkbv2Y21zbVR5cx4VrVMNpWbeHd
no8qpHaj1ybUnudJ7Ck/bR0s579qdbAYAuCshGkQi7YSiAeU7Utt7NF8btoAby9wUkzjYLX+HK80
fe4G6MuxY1x5hXC7/+BNqLH9z+fXyW6YZDXeGCQ7iuRIReSoc2NDc8FK34ikdhLuFHy3Nsm5udUm
KQawCUxjy45DeZ8Ew3ir4nn8v9RMzo2slkXIEPgi5NVHnYlDVqgvdPppVQoki/bKQJtuiX4cEE1b
oO1f5y9a3OdKoykQv64zL0bHg6Lf0XanFLeZpRlnVlbj6TVtLsHYAT5zTTnpiiD2aLLHMW27heQJ
EghRlb8QurjfGKLGqQ3cy8xBc41e31m/rQB6/lNWeU4+Ws0AOWV2VPXmwCcrwEuNYo4RYNJvaVnu
pAebD23n5laBR2mmCmQ2oXVM48KxTPLVhGLGkOf2XL4KjbxOg3Bb9kzEgUZ7MiRbcRZ9yeiF0pAM
mf9QMp4l/0MxEsWYODtO9Wvd5XZUvkKAvjINu6nfL4f0LTdCedoC4BwsOn9Qw/aS14OeUYT0+VAP
31Xta5rtpD1LmFiH8HMTq3xk4nmYlC048VMJheOA3k71N5BKcRsg/qHZCdfaVtA6t7ZKT6QmCpTC
YK2fWycvVHlFK2CoJ0Nhz2EYj2iGIMl1rjeaF5tD7Rc1vyNWcUoL5icqhJ6FMoZBQoznIhx/KTNg
EWGGtp+RT8KRrL6qw/L3kBTcGaqigEjZHjZjb7pWCc9QCxN0bIQdE1BgRaUm3bwx7lg+e0JRfogh
0wPaDKlr6om5E5G3QuT53K0CPiRiiJU1Gjtacfm90J9CVAUyFdD9vceEba/DgxhHbQCtxau9LCmb
tXGE18Xpi5ULWxZPWRLvZEXbnvBhZLWDW6KAHrA02bGZxlNb/gJZe3B582xa0FG1WwA7BOigzwek
VUgZyTpBFcq4Nms7rB4uf39zms6+v4q+dTEZTIVaJYriUDi4a4EdtX5cNrE9BEo0VdUYh/7v5yFM
pB25URdIS2/RmbbHlLfpUPq/X//jiDeijNRRjquIxl8AkXcGLXb0Vp4Kuhczt46H5eVAQx83pDfW
uSnBnmBGhopgPOluXhHfGFNHVYFNkKrdKtT9D/N2Zm7lXKIRmZklqBqb6L0UsfKQGO+XLWwgZ6Et
fWZi8Y6zUyC1Mj6IQaKwpZh+ZWY3mRGekG5qTqZUPwgvfwEYAdHfGEowvZkeL5vfDENn1ldRe9Tr
LtZT3Ck6iKIa4nuWaT6UU9GmeCKtvMl09ixU3b5sdNMbz4yugndm5IgYIYacxXhzQ43oxNHLftnG
5sAonjAI56gyrGULTdFaIQkFAJPR8Nvsv0G4Aw2nVnZnhPOdTMhvkMt9yckeD+/m0D7MrgUHtbAu
47xrcEfL/fm33FOX3NxpZ59fhSJolslR8Bqj6jqHgT8xpK2HXM2Vxl7lZDMppGe2VmEJnUNKPg4Y
SmP+NGbDDX83pLaFTny0NzqKaO1a9LaS9Nd5/W4JY+eU2pvJ1eHBSWfqo4GhzqS6JdO9URWPl11k
y4JJCPqrTeA9/3jrAvddW+RUZceMplcDy2wJ8t/LJjYn8dzGahLxeq6D/m5GOpv3d22GptMZ7FkF
kFzNlwrioyGv7fhXoR0S/SVC6nnZ/P/XdV9nZef2V7NY1xpLaGuER7NPM6cbM3Glddxw8nCeD+Xc
XI8iBgQ7K4RdWOpsU1Au+zlDMzBELVvHgpQpONlUjgRhshyp9lCo4WpuKyx+yvNecUdNC/K4faPI
nadJfzG0IjoIhdRODQ8Ksnn82cyTadOifi3q1l1QFDbp2P1QE+BK8upbVk/93dBmYJSsAktrXkFS
P6fofM7Hx9mqWycN67fZGt5qOTypMUCEvSkq14hH7VZNTUgGRjGIbpdCW6FXdljL8BsA0T+gXNhB
WXT4iSYQA0nfSIPIqLuDVMrpai7oa2tqg6+1c3qbdX3h8BA5kCDhF4KOFNsEM5hH62kMaFwcwhy4
zLDooEWhRYnXmHh+rbJfEzfik17J7ynpn01t/tGWUWFHbbugzRnxOuApbFNvqKMCawONt7m/SxD0
ricy5KAcz4ULbo3amUj3xWJZ6Vv6mB0KWkwoVWZ3qJWDkVWWzB9K+XOyqjagWn0vm3n8ZrSgoy3m
8NvILGEnQr5OLTnOEKMPyhSCurkGJWrLBKYqiTLrwHRk4iqPUrtthHnQCTcCy8zg80WreFA7MwNR
j8e6yO6NYjrIXkx3HRQJnJHpo63VgJjNzQ0rmmuoMlg2RIB6uHIN5m8zw2O00k0gQJSNDxFsXJis
ijvgKUHMGNTwZsxRbMNMJXbcRiCNqwUAtl2r23Jh6NFl/h1ERLWbKTra4/kAWeOmIXYdWepbXDSW
E08TczKVQzJeT05ooEU+LqtbdRx/DzX6u2Je4CEBjT22aArjlDCueaUK/im1AQdrohbMy1tW2bgd
zS7Pn8cIFOJdYg+SBWPWZl7Z9e+8jI/lPDzCOe7ZPHfBPHMsPbS8lUEbvaYBidYs2lPIxsBoplPR
YbdESeHmU21A5l3cJ2quHHLaJgBQxMLjdfIAQGkaDHy6raPqzVied9IIzoQfAJb7XnM7RXnuRxAH
1dYU2vJlAMiyU8ZrQotxUdi4p2Wh2yYJQdrZG8KjSsydrCiJi2troHZ4wUmInbLYnufQjthvA6KZ
6jTY2dQ2flEAoa9+46UZcEi69ZB2Uwye+1rCeqjkzb+SZv5mzHl+KGnzjYEImkZIdQwBZqYhjtwU
Gr9TWt420PxVYjqcDL2BArDWRZAUo7c5mw5K+tpnmQeeZ7+orNyu+vih1hLiNQsls6TmbV5YJ6il
RXbS4009LqviXS2Hq4kAwiRJBVFenRf+tJBVq52qXjUJz53O1O5VsFpTtTi2BooNfQ1qCg7mazLT
WwNM2ErV3aHd6MWo8xu58GSzhTF77Ge8ceIBt+vz7JBSxr3KmgdbLnyWPK26oGa1hleNqfKGSdzw
Zv4RiaH3BgmGtrxB2OnT+s7ouS8HXB0HSV6ilh4jIu4yOtpRN9V2V3TujJ9StVoSKI2i+mM1ewUu
Nmjp9o2qsmXS/u7Lxu7U8kUk45HgnQHh7GYu06fKyvxsEr4s0uemmN1ShXTclE9OkVUHntb2bBmN
TUPm6nrp9/pw0vTyoc01CQqK1CeGfItwnS6V0UGPYxCFjd3n6hPL6kcGHoeGWCdFP9JqcNCrryTN
o1aYdtVVp8woCNRNgH6p6rQE4YMTV086ywafpPQ1i18ANrRj0E3QhXeCLwwUIagoKCgp5MJNkYOk
QoCsImIULTuQzAWJRTxzV1lYLfqF36ID0UUOXImDFpPbEBQY9cKFgWaH+97CrFezuNIXvozaSH+C
MrxyAdVJXDZnoN8b73qQbCCp8CaQbuQg34BsadBGrV8orLyel0b5Xi3lTRh2mLQxVZ28UTLUpvXI
l/FPkZLc0UT+hUdo5k/wMyf1tRl/TFQ7AqB3X7ACyqt56Wr9SQEblY97npfELTqP0BrHw3s626Rq
Tg2pTCcRFncZgM+izN5iawqmahLepHQnAWpFx0zTq05RoZ95aPvmLpVmUCVfKVoSSv4wml91FBMa
yTz8HW+PoItVnZE8jn2BQ/ABGkD2gK68ArJJAvzeM3BdbOiGq1Fcca7hAMqDOjG+d5o/x18zwxrt
oo+zN1XHkvK4vi9o7889jey2bNxmRv/sTEDgHb2NfXTMezVIa92nY37bq6iVN1jPWU5BHKd3SomE
Q6jAImc0Poyk95I+vcFhC5mqRQSjTd5BE595jUqdhoyV21fQmGedcHQERIcOeerErRzctgpzf7Ai
66Ayca+qqA0WfXpVIjVsZ93uwPNmk3GAelkLBV+cBlcqyFpslhfvcinLkN7wplQVbsWmyW9bUTpq
0WB6Bimvxri8ITWCLy+pfhCsBLuohtpbU2RKgd+lP2tTej1P4RcU1hSnKqrwTehU2HqDru8Sy4m2
vUT38tKc7Dlk15OBqzUQRfdNbslfgHsktplYPyGxeVBUSIKDfNbWZvUJWdmNaJPOAQLkJtVQB+I9
C4YBlQUi0CSF5DCai8eBV0GjtMdK6q8szqFbBtYqp0GeFyQ1S20A98hNO0gvymbDLpJsugZ/vu50
mmaBwL9ittK39wMf/JhAY6KcUxqwmD5YKvhCpCGuRN+XtjnpPUpPMvWSkfZePvBXHhFyiEF+Q3Sl
sWMorttEndqDUcnGVkT9pFU4WIt0iLwuqoGsy7lAEGDPOeqBAM9I35x77SaW2ZtVIqeoEFO/QAfW
jXrCbRo3oaNXpu5Mhda6EetUH/w0hQ+WAABnmeIVcy3sClB9iCAqvtVE3BP5AOk2JWWgBlZey9EM
krR/pBMmpDaFo5T6k2RVFERjhMtX1L7MTYg3nbHpbTqipLbQ9Lq5Id9ZqgbmoL/kWRQYLdqDZ/o9
FmCDi6NJuiGp0Og2o4oHTi4nZxDsBvW/9OvZhL78UAYmjQ75iHM4MXDGWrVuXrc1qv5qm4hDpxk+
qgPcsQTu1OmAB7M5x8GGQK3UEKxQmIcGh/cQ+q62Wskjq5hLkxxfT+6IMQYRslo0vGW2ihNyMADc
QmjLNBVcYFl7O2XkBIcJepMDXQDAbBgbV1ZlHkwKFok+TBRbTnrszjTBrbrPe1/JLegnGDgtrPRg
znEVsJw8R02s2WU1wLt5egKd/PexgiC3JcnDpJtZBUmGxvDTztBtI+nz+7Q1QVAUHSSPHEETTwP9
RtG+U1VNfRUlYHcwiOVxlt1gfz/0ETQYZARZhmIgtlKQ12KMHw3UTd2k6WQApctrEuNaYiR1fkyt
Ng8KJaEY4QgPAHbeibUkR8jVni2qfG1US4X8cvEOTvbcTyS2lKYMlauo9VcT3YR2Plh3jd6Wdjh2
Cs6RDI95YW3rbfuFZpkPj0sQo6rpiHpsjoYnrh3IFObOWFvvJGyEUytJCN2J8iGRlVuH4ivkPx2r
6d8TIQJLiMzJ4jZzNCI9ammhjzLNdDIBZX1Fm4wMdNAVk56CXWly4kZDi0wz2cMEdEam8xNh4rYF
NZNtsqR4s7JauKkx1UepGOV9ZQL6jEgOkEgUqr87wd/SpNNBs4ekzkyl4QsGSP8kIi2getp4XIIo
EQxazkzn2OsneqvgUuHEHBhXJLzUSY1BulLDoRvW+o1scHZNFbe8qSrCt5GJRzTQIXUCGaI7tYUa
FJ2ONCOhzHJaXVO9uuHToVc7y0HlhDikQeqcycpy4H+KN9ap7quqEQZZVynOiBKRJWbhlSzGf2m5
Zvf12Act3gUcBRmW14y891Lz/1H3ZcuR40qWv3Kt3llNkCABtvXtBwZjlUK7lCm90FJLgiS4ggS3
r5/DrC3EjI6YqpmHGbNr10ylDHlgdz9+/DgJfbhuGfYJvdAm2Y1x9zhCkMtu45eqQpwXYs9siNHv
dOyQi3As2BJXWwK3P/bQGq3CR2Nqb1FTg/etqKMVJU775OWEBR1PbZ9luMd4igCyGtDSpC3Q3MGK
6uYiCe0EZc0V90nWhiubjS8Kqi44JwUPDJcPSHKZL52rNjoxqS/DcU819Mj79l4YzlWkJXx/66YS
aAsoTDvGCuB1EWlbbDgd0iVEl1dmN3wtekhiF5XhLXWXWEExlM8ZU9tBZt+qsLdwrafbWKg60HaD
DiWoMvUtr3tHt11nYVURaMOienJ4Wvp2BJYys8lVnfQvTSQfS2Wuur6vUN3fvEdVbi9zZFf81mlA
LyrFknO26YsOygpJNKzU6DxHrW37fdzDOQHc3g1YcQ5Fs1gmjt8x46vZZM+CVLvRw0Oa6N4ftfN9
bHKIpQ4oVKJJn/gx9fa0i8UZlOAYqHSIEUw4yQECqQvQYpUHjEJ5yX1V5ki+9z6h8Zbl5wSRjqFy
h6ZmYGcnWydnHbIeYcMeFG50lXbrweIvXRJeZU3Q1nI/ynNZvuMDZASle8wDlj7DG1PPayoyPeS0
kIHmgUk/SmtPyJlMxJHBea6JBg8cjhpUIGZmMlFGXYj8GygzyzL0HbovCp+uhu3wyt5PAzvkCHb1
ydYsfYSgyUPyCrYAW6EBjvQxLI+vcuv2Q3yFittpcz/SzDMY6ZO5aegHW6QoTU8oPrKtS703eCTg
1edtgX5BJt1I2oOYMTlZbORfvY5/REn9WPRIwlnYrUEJcQjfGNA4ITSjG0herT3bCr+g1wviyDG7
Jg0OGFy6ljkPUNCAk+c6cEeRS2h8x9X5Sqr8tmdpufcM1uKWLbpNYg5GYJQ2VrRcd7q8L6QJ3KHi
8rEboStCZK6XRjUuPLORPi/Uu8slVMuE8FnIOt+KyUPhhhfE6YLc7CofjvRHyvPAnEgfuP4evdIg
6GiS9peqgXabkVxberhUId+0XbHGrYCGKOdygkf26eEs/xABOJjlvKZjD7UQtjXEt6h7EGkQo1n6
0D39WM3/eOv/U3wUN7+tW/3f/4Wf34pyULGAV/75x/9+KDL877+mz/z5b/7784/4yO9/MvjWfPv0
wzJv4ma41R9quPuoddr8+OswPv3L/91f/uvjx195GMqPf//y7T2LoadRNyp+a375/Vfb93//AiQJ
pSIMF8V/HBr5/V9cfcvw4Y3Oxb+eP/Ljn/v4VjfT33F/RYkX/U1NGU1fAZ13H7/9xvmVo/cEmQpu
TA6Vgl/+hYrhJvr3Lxb5FWqoLmq7TI6sOZ0a+9SF/vEr81d0ckFuAa3WHBAzTf7LH9/v0wr8tSL/
ynV2UyAHXv/7FzAScYL+OmGMuyiyNS0cH0qnvBafHWhIFeKNanmyg5T5s+Hltc+Fc5ORDD6rVbbB
kDdV0GatvYSY16WJ+6XLG9BnLAjlDQRNNmWD1kkR5B2qS+Rz0EEsXRWF/hjycsUH52sPqgYEHvNv
SMTujNx8Dlm21fhCPlFjvgkVQQGQfV1A+bETCYEambNsRYyi6vbKKN2rKDZv23ZkV22TBjV6DS6k
ygAECufSaprAyTSw4Nza2PVDOOI7jsAtzCYoEEZCfsz0OUnvWJPFIPbF97YhjaABtrSoIoZCiDwA
Kwu4rsi3FUhtk/ykVnRnasAiYY/MPJyDXi5Y4q0Mhyx7Xi7NLA/QLWuRAGxdZ2nzgcYbaFEx1s+G
1iZCfbmMnXwCFON9ixfXk+V1RaKHGiG9m6GQQGof/R+uuhZgb0nJbewBn8pTeSlq6yG12cbJHsqI
4zn3gtEoA6UkMCPjNleI8xmWISoAy0DA00T8nBfZghITIq0CqUJAdtJchvoBstMB7Qxzkcf1BRfq
2RlEAHW+jRN3iLGtJvVZPYXyhbOpaLpNPb0QYb+C4MZt44wPQ/9stFWgCoh/t+3KRRg6JtkqA3I+
eMaOJfZu5NY1TtAO6j7gyAzmOh0uROquojTeatldZo79NmT01nMlBMUQ8Ol0E/Wo7WPYD5Co6BZd
3a3GGrObDcuxzrfdoO5pjyagnO4A0yyNsf0yyPpJx94rfLq7EnAjfPVgCPm6HeE1V0mCisTe9b1B
LYth2xFg0BJyqyBk6AIB/jCs0YAJOCaHEfOhypwbOOqIN9Z2CNCuyd77tgkqjmYsdQvn7xVa/qu+
VT6J+k2FYvewe4A460plaGiBe3kZiW6d2NmVSj9qc1jEWb+riboyR/fCo1BUzECmQdTaDZOqa1nj
dg83tqzxqNBqARS4xtKnfhc+0XGDG2Mt6yhoSOKbaBlLRLLy9Htav2fweYE9rFPW3Fgh3MSebGhG
35GoXWuJECJDwTKtgViBWO719Nlr23QhHdirJ0ccorGshAvepAuB1IJCPBIrtLmR+SvCSRR+CBQ6
dRfMAYDPa3NR6DxoeXnhqW1NDMQaWCDI5tmc3oC8c9nnRUBzvsls994y8xIwWwL0uMCBTZLtkKGv
b+UserQLrDMDFKJuFZpyZ9I29qswBRvZAwhpBCUz/LL6XvMoYLEd2FUP/1f5GfcCpIJviPdAEaR2
VN5rV+9d6FYJhNpef2kk1q4AMyo25FqP0c4sASJR99Li7WWOREU+vnVDfifyl6yobiq9lp3l2+D4
SQKv0tlS/eDA/fWsL3UTPVMgnHGDHtIi2Zhxb/oAQR/H/LvBnmn7Ukbjysmnc3NduOVyjFZFDFJo
5EZ+ie4ZtfZCn4xPDHypHiBvL5n0xUBXbaxyf3QuM6sGzPLaJxA94XuOgM621lTqJdClnWyATIXY
A1D1MNmH0qxYREJsGqtAiYcYg6avoPbd07Wdt/vaiW5B5+9WtQEICdwitHwS27Jij7YeYdUUtj8S
69FACgstcspNVYi1cp099Kd30VjYATTB1CKjY3sB9Au92kd6a0p+18Uc2ELyEBdkb4Hih9ibG4Eu
2JvXh6MPdaYWePp4X0p3Gtj4rXJ1HRS2fEa10nVoh67fJm27syYAljqy8kHyuhm1ALNZGc89/pzv
VvkA5D37SIZ0UZfelYM+LcoEOkFxlBxEgj5EVyHB12lfMhzRenyOxugiI+M3JNUBmXJEfAp5qIWZ
Ovchb2zEYZD5QVKj9Ru3NpblOCLLMBhPtqnfWzN6qeP+PYrremFKqN+iy9lOlqkKZK/VbqzSbGUa
kV5EyR8163/Lr9nHb6qoi+/NZ1/m/1fvx0CtDnSsoKeGAOB/doAW3/J/PUTFof/z6ZN/uEBwdNAc
1oQb5HDTZPAx/nKB0H+BQZzdNR3qTt7H7y4QMX+FJhKygygJBWwEqYk/XSDvV8jFu5BzZ4zDY7Eg
I/03XCBv7gHB8/Jc10VlJHXgp80ZG40RRm486mGDSzK5lznbFwPTq4ohFeV2/dswFjgDcHYAiKNg
VERpvnI85PUgwI+rsZOGDkD+yvzGMZ+F7F9svPVBQtw0cIVbrVjl3VgGDkWfmgUKt6l708Gz2xkN
gDo031xL1m9Dk+7CUNINpMYDhDhAvIV7Bdgywk4urmLTKSFeL15Lr9oXRIOXk/YvFYJYNFBrv/au
4Wz61L4p87EckOR0q43kVbJozD5duBB+2sMXsgNVQwQT6YxiV+tk4kvhDX6lyEdfxGnOLzuWWDYe
udC8TaFH9xzJHk0XodjNUXneisuqL+IHp6h7L4CMWyqg1S3R/lTKmn8REUelJLFCiIIB2qgjV+GR
4ukOQhKrCTU33fAJiK3eVFMPJDyNpQ34vQWwBScuJ80CNKd4kQEYCVJTGTcq8zamZCE6c7Rw5owE
kVXvSTE5DkCo0q6ZWiYnpZ1A/9wx0IYMQFEBLzNoc7SPCxKdsB0aqdbJnTD2FY8IJp8YNtv+34pq
PsU4649iChrq+f3wKRL6fyP0+fMIT/2M/ufDf6u/IfyBTk109PxPH/7j/PNfTZxtdCSnuAZQg//X
+Xd/RXAD0UroRU8dTBEc/RUCuVNUgh6ZDCji4fm3zF9RyOSgYgAXg4d6cfvvnP/PLEgEQJNsJITX
8IccsEX5jCmT2LEWbS7UzqluveY+J+Dh0nNtDo8ZsSxwLafidg9YzWccwxK5ZlzE1W5wAC/DbeZp
cZl1+vFgAX4P7w7DuSNmMBqYYMA8kTedIUF2GcfgB5TtLio9RDJBlF3V3sP/mQ3cy4eQTJpUIA1A
Zmg3kBoYgbmg/Y1VyvVpK9M3/RSWOsDM0H4CuwLVd3zek6XReSk87ZTAJUu4q2gVOrjq1mjFOokg
reqY5wies0L9H/vgk8XZPihiFYd1zaodRDueBHS/Hdbzx6YwEKSojer7aIU2Qdctc6deDMaiGLz2
EtKIz7hyzpU1k4lPNxu+CwIh2DmQrMDxmGC4A0TGgCOPPixGuQuFRCCEskshvvKYIVtPF9zBHZ+g
V5IVtjcyCwvIeJZnkLdZY7Uf0+FOEk8eZFURjlmzrZRBM8CxW3wD5RYbkcJyOr7W5bgqe/PJC+kt
3vtNr70rM3QDOjK0BRIrVGk9EfTt5aV8aCpxaYbJwpXp1szDddeKYMCz1xj1pSiqJQQeN1k+KEB4
xXYY3GUUq9XpTUSP7CIXZw4IuYN7h/LZNFpoZGW1dYc1TeG9V8jfpZ3eIIMFKgTg+6q9IkW+LSmU
ORCCDC5qAIHUOqpAOSAJnLC9rgdwShLxnkkO0hh8ZQuhrec84i4zFiokq1hXm6zPFyZpL0oun6VD
LsHjugnH9hW5urVVgRdQ0gxgBrGQiI+2QwJ6mBAg1YxXIUpd4Gkghm0SEO+Zd51iww1us04TfTeM
Ixzw4kzR2zTo+d5CEZHrgm7AyE/yXWHaVYliBSB/J1nBEbn1pPf19MTPXSrcqcBpQObCEZ4UimZ3
BDi2nRdbebUrkG5qPF0jaSHBqmDrMnW/e7rfNYJsxoKesTvrffjbroUXh/eEcEjzmbMFT4DBVyOV
1Y6OfKetfJs0SJNCQjGOGSgubovMXLdHZ5ILio2gXZQZl3V1D+/gShHzlqGLoGGhYJtba1OY5/IB
R7ejS0wo20FMzp0T+j2pB6ussmrX9AAPoDrC4CPmQLM4fKky+Q1u/YS2nnkMXMwCqp3RcgV197ML
rSfCjTqFReiAk2f5a4OcFkVJ8Omlnl6u+W7Ck0Zw3JHOZ3PsuE/QRKfL0mpntFHQO3Ggum6RmVfS
aDanLR3bt9hOwEXRmwjw7Gw82LJ92se4kcawuq2EtU8660wRGD02GrQPQDUmVHXQp2Zmw3LdeBiI
W+1sou5yN7+YPNi2ylLgWknqJ7n6kg7q1VHVLkvKl7Zlt6Rjj8ou3wcv+9aodDVk47IFzQE6goZP
TXDCUrUwLaAeZpT6liO34SBWgoN9GcuXMIEKswRlpR9pOkGiL2DCGr5gwvAHPSBbXXmoDTO+5Nq2
r+1WfEHLd+dKd9kF1A++QnjG2aHF/LgIvRZ5/FFfWxIELKXQhOr09B/bvJSidB5t+jyKOfr8JPV9
nbPBw7VhgxfSRjlKci8iJCA1tpQGseG0tSOeDDr1/GVtWqiDB9DtM9PmRGOaPfFiZ/oyUfalV517
IY6b+esunPHa64LIyNHYvU786FkRCCM3Q5afGcuxjXt44c42FZrz6VgVGEtRV5u8HS862a9OT9cx
E1DSAIiPHmSQFZyZKEwDiol5VO1Y5OxJCYhWkbvTJo5NlUPRt4ki5wCnfGYibaoxTxuB9df5vrWb
lz6KCTjH1eNpO8eO4PR8IOvBUPj4g9l+sPJjPrhD2SMjbUTlAgnUmzTL130vV7knzgxpeobmd5cD
eV24zPA0cVN+3mSMao8kgMV3hlZvDa3FKvbiOxDE7+oIGQBrSh+e7fry8zniFrw6y7MR+NhoYfTZ
aArVPk+TukXTdoUixXAofDw311Txhe2BkaT0mb3x88J9Njh7E8ukN8LCyPHmJmz044qAsMkvK22f
8xnPGZqd2aYG4boG0Wkn7WGVEm2DnpFde0iJnBnRz+7FNCIXzilKACZxks9TCOXzpOF21u4cM42Q
fACCHlvZRU6yjaESF63EmLkqDfZlpMBPTm/Pn/cMR3yFZDuxTc65NU3CwfYcwiF2w9HVkI0s8TKg
j0X4TBJQrIq7VD0x7xxJ4ueT/dnebFIFcnOdaHu9GwT60LnNA/KuZ7ym40OCx8oQ/TK0p/88pFJq
7sBb07uMefuui9UGKYCVKsZ9yESEUh/ZBnVn/O1bEQODEh9iNQa9xSn7eTiRVCfgZBRM7ZI8Yn7X
hkiegd57erV+LMfnIw4rlEJf3QOWgI6vn63ECNWg/G83u3Ysy5VGk7u11Zb1fWp0DngnbbEC9wr8
vn7TQnttaRoZEpysaf3MGdckbC+Mqk38yhm/A0HeV7HxXEIeGZIUkIyrESQKNsA1qG9ao9h2Inov
5Tllj2mBT4xgXtnVuWVVc1rqnQmebdRH38M0CSS1O7/6mx0ZJ/cZswWlJjjtBIlhd7bZzKGGrQRY
CJ2yWTYBGQycfrdZ5KI8szLHLotDU9M1eXCOaoSGTWSh4Nn1llS/1OhZq9oz3SbO2Zg2/oENm5lG
VSsMp0A7ct7uYxsRWL89vcXOGZntsAFboTeJo6CW3e+d2nqxeXyR1eQfmYGH7aKOFi797LhwKhgo
kqhxZ4O1bhhZDj3o6WN75lQeG41t2SAeQCyTIIL6PGV9WLWZm6fdLublnWZlYEv5xtrujDzWrD7t
t51GAbmhKyuAPPzfZzsouUBURpjeVWqov8TxUK5snj5bNMJd3ppPcaHQX2Z4gC6kDMrYQ7FDDeIs
seKP08t37H49/CKzLV80tVvaCsfLLeOL2rR8pBYfTpvwjj35hzZme72TcduH0OoC1x41735aevxa
ZM0i88aFipAwBkHhgcXyJspRE+JRvahb9CptWLp1Et6sOMqcFq4yvzG0NXNrpL3zrIw3fR+CNB7y
cTGgIZjrdWAPouTGRsOKuHkkVAZFytZW3rzZIr+IKYRCIJW4Ncr0IXcJkmduxJ4MpC8/UBjUfmk0
zbfIQDbLovKuOqZuk5g6SNYyXzjCWY4eEI8y6n0OfndV8AIMStC9U7ddhD0aD2V2dpm0Zr4wMvep
N9Sqsbzv6GqzQCzxpSPFu4vWh5UnPxDfbYAiQfbNvutY5UCinL9FhvORcPqty3s8OdCic5A69L26
vdKuuSUoJjGiaGOr8atGCZL0UHEHodNVhIoJt0S3wRKp0yGyKtQWDDtAEnSZhfFT5jioFGxedYQs
bkz2UKJZo7hg4/bpTcqTe/Cr9nnjXbMeudh6VOSMt3BsdznURAtdhkfIm8uAdQMPUcsDkem8RlkP
MhJIXlb67fT+OvZCAN9iaFoFOgMe1c9nCdIbwg5rS+2q7MIGETp5qiEuKsXfa9X825kFJQopN3QF
dpy5oqOKAWM3HW12Ke8uQFt6qGz23p5tZ3XsCgJ47doUWTlq/qAgHtzaoLAYFS9GtYvbtvQz031o
UIBIeXLG7TlnZ3YFOVEpB8iUYm2y4TJDG5tODpegk5/BFI4dfsD+DiALbAP0J/y8OhVqB4aURXoX
Z+M+asuN6Srbz1yB4Kao1nbfnRN3/NEze+4y4EqFhwy0BIXEszvNsrIyrTNb70AADgMUOwzrwjOe
PJrs3La605W1EjEORlYs0MfriQuw1Z3MjP2k7yDpH4k3HSYfqrM2SeLqgKh+CsQWDF5S3I17L2Gb
pI02XHVs0WvaL2U9QCVKjFc9+GyBDPltnBvJUrRqbWbRosCFwDK2Qr3CliPviOqC2Jdwm9A7XmeL
qMvtR89L1qGY9C51o3yBEBndFGMQskQNrZLcWvRhrr8kclifPjxHTyiw9inDhBqxKd996CMMKApJ
NGo4QWfoU7/J9EdIzpWUT3S9n3w4JGZsxJguUupTmuvQSMkN0pcMWw1tvp5qbrxYQkO+20JZLJoY
wXl0XL/r8wBKz0gLgx1eD9d1xe+JkNcc1bBoGRyuei9auyLdu7wcgs7Rd3bXX7SuFQNuYjdNh0VJ
JOpfQ2QHbBt5UIv2bRAOENNmbqGWCDq/0DoC/UW13C9aT245SoZygRLHtkLGNO/BxxlV+f30DNtH
DxrHAzhRDIFPzKbYbG1TuH0H16UlbwWKMpYtsb8CXi236ODT34rI/agH/VHWxFqAnFctVD+Qq8jl
V17H4ntimkMGErrE24aKYd9GEtxPi+hriozbptZGuowsCnkoG5hj4uavLIIqAI94cWlw9Jxq8n4J
0RuQ62X/XfUCJWTDDYmTTafGeN233e2IvNKZQU/H+ucz6FFwNTnCxfmSRwytRUoU0O7a0Ev8LJto
W6Le2in5AoifrvE0y6AdXQ4/O8vuStP96paoOUP9NwofOnth9eaitqsrEAauNI2e25RfCMP+QB7/
qkiiwJQIXnIoc1Gne5CCXmqpp0qetoBEVk+DqgC3BqT9MwM7upg4Ln+MaxYsSremfa4wLqRn9zlU
wVrLbv3ob0qd/f7YEDxpiNowgfNHDfU9ExYcdTvEXleo/JcLSHQtc8f4kqh4c3qxjuT+EMgfGJvt
UO7WaaE0kIsGFRtozlKC3N70N72uluFAv9OB3/DWvDSk/aVwhoX2xmXqjgE17MfT3+ToUw5CLnB7
aHMxb/YmcSeF/ISGvxBWRRY4oodsaKHswA2RYTWM7MzAz5mbPRQipU1kGoXeWRaaaIXGC52kHXNX
BNBpuD09tJngzO8rak/hC/q/g7g8C5RqA0CAriq906JM7iA+Y/kZUZcaCa/OGK+zonlAGC/9KqqR
W2bnOov82DE/nci/7M99sbIchTuiQHGXaEluIglyPx3sXcicwLQyFDlp49rgsbFqu2gPifrSp2mx
hRQJmHsRNLtQ6ZjW7qbwPHy9ZtUg8ZdC1dcMe9QGJsNrksaXiKnkt9PzdvTAHbwdswMHhQQLLyUB
P8FBNrDLApfX117LvvwTM0hrIm/nIOE+cyIbr0XzJ4lzbXcJhLSdj85THZJU1ZnIb1rln1YBYOsf
dmZbDsiyExm0bnZF4d3yMnxlrL/vSu++6cL3Ias3Xde9kRrCe6fHdzTidBh6805bj0Kf5/MbjECh
aHF3NjvhJU9VYqHhIOqlJW5l39BhtDQRW1Mze3IF+RJ3tF7kIwsXKDo7A0r88F9/mgEGshswblDc
HPb5i6SGx6Q2swaEk0RedrFhoxoLhcZmNCw7G/ETwvNvJBZXCgUmQeTla0J68LN5eFtCmqTq5evp
qTm6w7AiAMocNC4ms0sH7Lg8UaUApAmit1805XXRVntHQc/htKGj182BodnaaxKmfZOIeldClK0I
XwxQldFNzEJV5WlD0xT+NMUo8p/2sTmlLD5PccstrrJcqp02xR0BESZ0odcRUnTnZsa7x8bvp+0d
ncEDe7MZ7JrYcBMAp7tefXVQWFfYb053LgF3dPb+dKNcbzZ7iSEjVCsaaicaVFrHHHXrol0aVn2T
D05yZganGfp5Bv/w2dwfkMZBEGYTUYCui5gSQtkv0YCSA+i0n560IyQXvLoHA5q85gMbwmwN3pOw
2qGf2N4ARQIB+F6h8qlELVbIVij8FTnfZqiVKlhyf9r66dkE+P3ZuCckskw1znxdol7fKwvhE8+5
Tt3iLlbyjGzk8f3xx2yCB/fZ2CDbKImjXO2GXL2YRR9AFQ+18+Z4ZlDH7UybHqHGVCb02Q4X2qmy
slE7VZM3K0M3R2aZX8dBn7FzNJ7hf9qZY9I81soZogFbsQpRtQm1SAlVHTA+UfvsR/qxT84csKMG
wekATdexKLCFzwPLapP3pYdM3QhSq0yerOibo/TCVo9WCqUL9P78B7vjT3twND/bc+uSgMKRAjnu
zJtWuV8tL/4KvYg1Fe4ZfODoMUAHn4kDyafocLZobhqSdAgBq+hq8AJQ9cdgalbQEevGVuZ979gP
dsafkzbdoD/EZdc3wenBHn0aUdsIHSKOSwzu2efRllCwNApR4vqKILUNpQ5gYxHEJkB1Svsd3KY3
iGAEA3Pw39Dr0nSqC0vQp9Pf4tiNc/glZks8sgZE6hR3KJFoXo68kyjOZYPOmOCzVfVk7nas4PA9
xu4S0lnoQq3Wp0dx7AQejGLexyj2zHAkLk66QMM/jzR3QyvXrUNfTps5dnsdmplGenB1Du7UXYDh
AMbJpL+yGVHRNY4ofpVn9sY5Q7ObC0X1thXleHScql5Tw/LdEipYffxYcHJm6o6aQhkARxIKqmRz
Cft8mMCDCpcXM6ur0QSJtSqXfRN+HRP58A+m78DUDI8ZhgYFWWGvdiHtgkoWS0hbbBGOQWtn2P4T
UwyeFdgMoBhMoz5YqYZWI1K4yHOxCgUGoEDqbUJemrOat8dcHhco8x92Zmd47DNv6jQFO6gwozpb
Je2jRBWAm/vpcCaUO75Sf9maHVW4HYBnB9zGOUdOlMqNzY113WggivGZ/Xf0PB0Ma3Y5tvEQ87BB
Ci8dVn2SLy2+Ue4/AbaBlYLZhF3nAkL/vEZ1K/umZTDiZWIRig+YBHKyOr0Rji4QnGwTPWHAXuCz
BSoRYkdVj/tNW88WSjUJ/WCAftN8XGgoNv19YxNvAMoDqK2xyGzXIZEO3Q0G18qO6oXVSSiUxSso
UqzUVEo4nrH2g1c+9xYPzc02BOvraBQaIQ2N+yXAt4sG7Aw/JHKj6wraTw2g1Uomm0iqdxRMj36m
QBrz6is7BvJp5cmbzc2rNDRumQGWomsmaP7uoEka8lzSd2rq7KVRvY4s4ktFi8e2aJtNZY8O1D2g
kuXCmWoGKJI5cWkjNTVWy7GlyQpgwHPTxeZFbdgRilOcZFkU3T/YoYdjn+1QMVpD6STgKwn71mDl
1k2hPtKeI/Ec2z0HVuYtRaVjNHTMceQiY9fVL1BwWZB0D4BiRWl6ZjmPnblDW7PbsdLEcBWPcZXE
zcqRqHvi1RYq4Wd8rCNkXcRhf23SOcTHZaZZIpA59xxW+4XXXZoUG6V2c/NOpAQiCwIUBNRsfSFG
gQLMuG0WqCJ9iOr6Fqqsq1RI4Of2ELROhXPLhh+86n9wfx9+ydkDOEAgLDFL3N95ZQRFWy9K8UK8
qyH7e50cf4PHDg3Nj2xbNbpPayjAk35R4YLwtD4z48fu7UMTsytI6q4umqysUF4tvAUp+8BCnQgp
5TfDLtanb6Bzm2h2JfQFpygbxXBQFi+msq53GcZ3jX2u78YP0vSJu2dOc44TaHEmrg0iST6JxHJn
44TNZeNgjaxsmYNeYkfg60futvEaCPq4O7C9e1+R+JqVFDVtkNKEQmVcQmI9gfiahB8FXagdKVGG
enpOjs8/+DUoeUQ5whyBDHWZCKhsVbuwt9dtug/V1htsH8Do8rSho1grwCWUaOPyRwp15umm4KSw
pGHgfhfQa7buLZLjmgUfGfV8KunWKOQIdN4ESpx7sI+OEf17LLBQUcLuzq7DvM6ctFQNXh6Vf8lG
dlGC5Vil0bPKipszozzK7kKnqD+MsdkwI1u6RlgqtWuyxlyiIRwUaXUJsRYjZOmiiVM0VpDjZaOh
K6y9ZhNCJvtSxHVgGc0qzdSi7pogKUThi7G+z5Lk1bDcqTpee35cZus+QokGpbtatw8QkFlB23ZD
8Natba25n4R0zTuCfl7xQqckfHUbZ+Vo/dGMKPlXJLs3I/KS91AK6AvC/VKiSVvmNYGlyKpOxqew
MLeaJoukN18VS98dZd+Yjbocy/o7TucVqBkbpdXlkIZXXuMEeRkW0IWApENWLEVhPdbcKpHyKW6Y
5ZpBq5i54ADY/JjEKJakyYdRJvpqpKPPS2gCOYwH+NILNDx9ZLVTLuiQPyfeCNUlOb6aNbQrksJe
VmDl+XkIUb0hFMvMBEklhRgvHMw91GBvoOi3dDWkmsD93Vj9+JaiYiKGZG2QpCJdt+jWvujiCp3n
qxryVMllUUFWjGn+JNDRIvbCNU/qjUcgFoJeK3dxUu5L1N45lO9KL76mSGovkohAs6tKAma49hp5
0jVe9XKpoeRQ56gTdyCFkKFD54o10RVVEK+XOESJ48YB0mCQESig8ZEKb/Qh1nOBgvCzOXa4hD/d
OhTCLiAXWo7l0c8uI4QdIqnzqZTDJQHQ4teQIAQ7vb9/YO6njMzeHriM0gJvUe1sVxTXpq3qRRaZ
H6Fqm2WWka9d35oLwocvnvbWENKf0lc6AK+uxlfqQZcnwWCisQ6xthXF08U0fCT4YfKSxuJmpGUF
egWEksxyO6jxvvDqD28g61FBFpwa0bIywn1jmB3YtXQdW80FOjmuI+gxayWvckvVPiQGxgBCYcQv
WLspRhlBnD3Z5rXeDiKpz7haR+4WAOZkujwRIZo/OUFjbZS5B8cEuyuopRXEpQkRjr0oz9yfRx6v
CZk3J+wYazu/qGPd/y/SrqM5bp3Z/iJWkQSYtiQna6RRtKQNy9cBzAkkGH79O9S7vp6B+Q3L9sYb
udjTQKPR6HBOiVE2AzGd84r2IRcjy15EFt7wM0L0c+clhVlKHNeN+GjbsQwPY0GJl5faLhzpUtrj
I9r/xY7O3KR+aawx0ftMlHgbhl0IuBMA3bU8RNtVreSbiLC3vFPXToz5kzDXsZvdTWfnO66Sh5F3
rygaiD01kyf4TeZdt/ClJZCSsNSumZI5CEiKTNu2dvlJE3C6UfDlupjZ4PnssE52dfYGr3SjZ/nH
e1U1PaP5VlbjeuxqDzGumylP14XN1nfsM2lSlBXVIARVHMygodz4tWz6tRKD4mLs0KEn7mMzKQD/
iesY2a5j0Pa3kan49hCf2sB8TpLgT8Kwsx8jhWEM0JAEyM4I+crwZAA2A/xhT71e/EmUTNGMj/qd
SUz5ZI5Giix9jJOZAqs3BvpNQvk2AF14n/9JQsUGvgJaYDWMhsuj1LmIUuDQjoj31BzIvS9V/qZE
e50ulOnmYwsLAwbQBhl7uRRvGEWVxQkGvdK0P7DQuFNQVXTzrH8lokRvjdiM2cjcLuu2IxG6q1Ig
iRfiS61m73bRvzCRaR7L+JGCTcxLQ76y8nRL2wTowGq8E1X+xNvkJm67W7T8LHjK+QDw7NdLJg+m
k6ExOAbZFPxoRbyOuuPF6GR3OPgEkhhI50CpHUo3xHDadfufbr5fnM2ZZMn8s9IcmxZN63sgbjxZ
ZfhgNun670RIRo2OBaZ1BANVRKHPIVVvtDpc2P55LbDv+sTQgTHsS5eR2rUwKzso904TvOh9/KAL
8nBdi9nEvw18N8CsgAASSaFLGVkcaXY54tCA3/nzUIhbvc7XFc//iUW9Vlp+iJxwZaTgfzbF1Ibf
/snAztSOAfA/NI8SuaGT9RWLaIQh+17oj4PN7jjwd0HK+Hpd0ZlrG+RPVEcj6gTaMsE/nLvfgbFS
KQVOUhDasav37dZWIjAlmA8KwJ+uy5pz9ZNGkAIKXCQXLmVRLTABOAfrC1rgogIYew2ggW8qo9ux
Y0+ts8RjNHeDAXRzaooF6iUmbS/l1VEbN06FAcKYKp/DHhh4AHM0BWZ6r+s116KEviD0J8LvOZgn
kA40GVqFAIgJ6QFMwBoV8OwIiCbU9p5p9Q7R7r2tKCcAjx1C1VjHtvmQl+0z7yx94XjP/xACOENA
A6BlQMaYYJgqN40W/jcL63dEaycdKMt2XnjGYD2kqbPCoVpxWr4XHXkQ1fBSGIqfo4/7+oJ8zKJI
fgZlzv9+h/zE7TBAko7ADNiPef2SgB2jSIsvBmerXqDyYoI8hYYJ8riGgSeDeAfUgOWWagGgQuDP
d2TfmaHtNmKiBSDct9m4H4BpifcCu6sNAyTvbFVpxasVAsBfqPRB7dltmFdPCVpbPVqByzflyjZw
IjCQOOzOrhV0v/N3w4puAqcGUJt6ABIW0pEjeppyB/8VkRboBG77MQY8YNHeowwRuyIDj4nVAqtc
NVw96L8nNXkNh+SEfc4x1Wunm7TSDmLUt2gbuXOGivpdFaBBrCEgyRy/dkHgJxl5jYDbZ6YNZtiB
J1im5PdveIKhTwPT9UTF7Lpk6AFA9iNAGSCGrO1tqKRbdYSCgCO2UEO/vrUzZ+pClGTqZRPmmlPg
7oLuSozHIH+0tXx1XciMg4cQxBGag7rShCFz4ZSAT1QCdgP6xCrYkbSk8hQW/UEZ+ULI9CPOAk+0
NfaFyhEK5hYQ9CuAY7K1irKmVqgLfm8u6rwQJe1PD2JYnalZve8MDjzzZAhXUaE7Dzlo/jxRImFg
Cu0mBoh60eutC18DVofAYzWQpgx2ADP6Qs/DdAnL5xNzShouT/yrfwCMnOkeVbpWa1NIiESQJxK+
sjNlY5bWrUYAIFpzAgxKjL5c39U505lgTDGljkYvxG6XCz6YoNpuW1w1ZYwedxo/dzW5R65mwXjm
ru5pEJqCP8LBDapKciJMmgCeFtlNAhoq3Ui3hq7cNUp/ItVwakLiG63zqgCTMlOClRnoC2s7c8sR
FZ1jWFXk2VQq2VUYV4qRVw7G1jPl0eiB5JkW/EDH8QBwAK9vlma/550+Jj6mHnkMS8tD2cwc2ros
B+hL7IcYhZlCD4+1Ifwo434WtmsV2DRBze9y27jNIx3PyKSAw1oiFpvWVTYqAECAOw0IRwCdkCI/
aph22hcUNyDAwwB5sbYG8VTVfAOExwUiv9k1xogxwHFtEAHI4N1F3IAPPENeWal2eQoWEUyCk0af
4Ao3qvUHUTOeM1QjGBIwTJy+S8MF0BvUMnG1C9t8FKW1y+v++frZmMIsee3OPbiUBUgCpOGKocOk
gyjegsGucDfqD6UG4lqDvgU0ewM6SYwxqWrhtMxt2rlgydXGOKgcnEk4lDp4zLI7yqlb9A5AUZd6
fOcyHRdXh3Qwctp1BY+QMdPg/0o0pgeqCRqPDJ2T5JuSZ6e2Yl8BaspdAaweplYA/abpigNOA+y8
/yRM8cCZUv2BV0K+H2MAlqpptowzUFA9aPoa2XgMQWxoiqRLdRdUS06JTOv46wb/vNIkp6SK1oQN
4QpgLZLSdTtuUlNtH5xKXYFUY53W9Snt2INqxg5y5f3z2JSPQ6Cs0MauuTQZ85XTYKpv7PN2LUBP
su5Z99nQ4vgWfXzxijYMJGgZpoTG7k7UYMLT4idAq2+Ymdi3oIkAivmE2GHirbHrFKM6ZqL/BIyp
fsGe/scu/1RUemKilS42gnQogaMDrkAx6G8l+FkqvWihhgBZEohh4qL+pgcqstRJHrrm2G5BY2Wj
qYgdjah6J3hz7dqxXWolmAzslz1AWdNAZIrYWG73AKYJwiQV7wH0PX4xlfo2McNhwZxmz9OZDEl9
Vhsc/VHIPXelcdAHdWuBOS2OwSXRV+pCuL+kj+RwE5FkgE2t4Pjj6ktch69a7/AFfeYiBbT24Y1o
o5kdE2KXvg/jACQFHh7Sul31HY12+yoSIKzs01dei3VV1Z+LbNxcd4bzegGfagIkRanKuJTJS5bG
iYUML5A1X3UBQLC0Xbikp0/8ago/RUjb5LR5Oipah23C6xNz3SBlSpTtkIfNwvpd1wVP7EtdkgRn
rzfCqR0HkMWGuiaBcrq+XNNv/d+6GKqUqqD9YFhdjip4Nr43hN5W1a7rX/oYtEPd0qT7xxm5Jky/
1AdRLM3HKV2L+eab6b2Ti6nvowQVW49SVuLEgHKLte1AGpB4CBaAcyZbd7g9PaGqh0bR/NYSb2MG
9ka0jbiFnYEIrcaUWyDuy2rYJFm0bQhAsRiYLyfwhpEtuKjrew8kxksVHB51elmrU+AfbyO0Nwek
P0Zj9/tZKjDI/jAxdG5eigl4iWk6APTvBx6eRFC+hSrg7K9v/ZIqkgcww7wwzQKnU88A3B/kz4lV
HkMwbf2dGClJpMU8KKoeaGVVCczmwHwIGIiTNbYELDXrbCZoAw2wwsi+SZasDoNS6BgD2tdqgzlD
x4tEuQtREgmp49WGvTdRObyu2uz5PBMpGcOQqyIkOcr+laPdjVmw40z9gyczUGkopgIcY8oPXRpC
H2FiozRhbzWY2xRM/pdBcgrwHrmuyZwtnIuZND170zWsRHSkwqXpXbwZwEbnEntYszR6ui5n9n2l
Ay9aBRIUUFvkJD/Q7XkhAK0IwtXA73q6d5jwCYhbqih8VqL+sbGcPUMwE7SViXK3+s/1HzDn7zAO
A/Q0XOR47kjrGUdBUieg5tqzmn3qk3ANyPITN9Dc5qSrPC6218XN3eig4UOyeUqpUWNa97N1VbqB
dE2A28hu45ug5S9F278ypnpDEK2ui5rdwjNRUpAYayj7quUUpinCa1RQr/UpAOfTJYSP2RXEFALK
pxhkRPH+UqVEBaxQ0COJ47BhRQtQ/90TrV3ZiepZdMEsZ5cPu2QCagEpHfnV36NxQZAWZmmI+ivu
3RuVgwlTOHdNai68CufOsg4qJ2JhSg6ZTuks22agxXU9XYRGte07B3m/fwGl/ydu47w2P0VIhwwI
9zSLgWSxBxfus9J3K/T8PoHR2UF4JxYMb84bosSFmQow3+NtL1lDmTUj+P2QxxhjdXQBycRcYFee
RGutuBndJ2B7J2z4ct0E50yDIGsyJYXQCSVnbp04LUhTAD5rYOpNBfpHi2teAwreslrZ3dKbcFaa
A8A19AvgQMu5EicCd2oa4WwNaMERMcARh4mgT6M73TIfnUh5ua7d3AHDzPIEielY06DjpeHnNK5o
QzEBIGpdcSPQSBqB3gNJzli4/Of2DsASmByZUiGYxpEE8dbgAcNJjg1jW1ThLorSdytofdaNr44y
mi446vzrys2ZP8yewk0BAo3K8EBA97YCsBXXeztkNyCffmgC5e26iA/EBTn8Q4EXdgECJCCESUdM
T6uh7JjFAXiFPj0xYjqZTQzKVrMjRnwaEw7qCqD3ArrRNXJ7z0e20a1xHXT9UxWHB5Q278YiRRUk
AjxSF9tvtdO+WXHpa0bZuG2Isc4ROBc45ZgcWmWkXhfgNOV1DZpQA6jA46bInZPjiIfQBPCkA+K7
KNFjF6CEiTtYFqDqS2dAlxggmJWA6W6RgIbEwcRCGoNVxAxJC9686jHMmw2g8E7p0PkpiHHR9e1/
MCyBLtoLi9EHy81NCtLqBjxJo8j3yHm92yicW73yMLTVXUGBU9Co72aoIc1e3ZR99E/GlHtb2C2g
84ONOtSbBL0DqYPmkaQDKWf5Bz2jSI9P6EXT2wz4JZdWVqPMoKQpDmtfAGm/K5SdjjYxNUmOoPcI
Fy6nD/uR9h4Y8Xg3U3QRADhBkgb82BTDJmjoSxS0SKgxCb5kvQ7iYUIPMeJ91yiCfNcYTXwElDKA
LVSWcvC5D82bcED0jhml1woYIW1mb4mO50lSK8UGs9xPpsIeajuMPIwVfUGT7A4t6vormuButbSM
9zFoalaWg4aNzAHChBkYPqaihrVSlqe8NpFnHB2vApWf08LsxjouPaUib06nc9dSQKQTmFr21Bkh
d7vK1IEKqJwIrBB0Kuoupi1C2aY/pH32XJXjS9kUgVe2dB/VvXYXqs4uapHJMAmIeFRt26imW43W
ZwLgisRYwhiYcVATHLAJfh+g7uP9e7mjaKNWm7xDQJ+GKaIAbR03/xjRwuN3rgEBCeopgAJeL3LG
khR09iHjhf6Jfd8jRcwrgDmxET4e1VlXqaNb2vNvORiywS2alytSZ+GCq5rLWU8gRQAsAvmsg/TC
pZ6EJR3oypxyjxIMYo76U2mwmzqqD2Osv/OyfiKqBnKN4S4sygPwco/4yg3T7PV1fzbjMvEz6AQt
gyI/xvwuf0YNDnoFzaG47fQO5NDp7QCGkesipk/IpwYkVoD6ASYuBuunK/AsfHRYXvUqOJ9wiweg
6W2Kz0oOB2kVO6bUS0d0ThayJmgaxLNWlweDrU4oTtAg94Z5+i1Rsw26MJFt1Y/gp/4TtVDGx7tW
t5D1lzYQKOJtUMClgcWj9pt8OAEwfMPo+EQzZcFY5jZpYqf5IUp6fVqg306NGun3po2+54I8N3ho
LDykPyDzf24TIo+pQwDDPxP2q4V+ASkycABC3yEWwzsw1DZqlL2mAX0GoReIWAe0Ypbc/syq4aF3
3nIR78asfaJqAO+CarGivyhVuy7Lz0QDJZzKdlr6MqrqzoqCVaOqbpHnm0zT1xrP3oeBuWY4Pv+O
kX38eozfYugL/TCoaslGllixlegtnpgACag3XSkeq4o9jEER+g7grRYW69KkP6QBGnAKbpCiQ1VH
WitwsdKsoV25D0W/DxuwaYM/mhnfQr1esLLLrZ8kIZYBoqKGBg4dNESSpL6rNNBtFv1e4QVmXD8X
trO5vnKXDvdfCRhaRmYOoPSqXEnKnabRatL0e3TErjRAZUdgpo4W+iFmhQCZGS0v6L+zDClqQraD
KUDrwLjuoK3N6FRW6EMBnel1VS6D6X9VOZMyLeaZp+Glzkc9q/u9Hn2qTPae9GA4IMXNWNSPLF+I
BH+1AezMmbBJ5TNhaAMWNGHYGdO6RSe6B8x8htkqMIpfV2pJzvT3Mzkp7F2pKywdxxhZ9G7QAwAK
r4uYXTcQTOFBbDlwmtLuJKSKHXSM9/tXQhgiTw+c41pzYy3N0Eqj3P9u0JkgaYOA0mCaKXCu9iU7
TC3/pvNI3kdtQ6xXqp3I76H//ypO2qLSwMCzDciGfbMtYy+K/YitHPvb9cWTYolfpUgbZJdREo0M
ZIulqHaEtUcH+WeDBj6czxrpC68bwHms8LtAdX4rtfBDNJJaU20CHEXSHYQ0QJCBNKvfA7jx0B5A
eHxdNwmV6FcB0s3TMASzOcYm96MOEhHyROt1m9+OgHgr4wN3XnS9c5vmNh53bXXslCOAK7zrP2HW
AVr/qSg3u+eYf0aTP+v3A2XvI0ZEhB7dXRcxb/4/RUg+VrObpEtqiKBipyugbIzvSv0A4jH0B/+l
Nrp0mFEviIcgxEmj7st1LZYWSjrESLUrtg3OyH23Ul8wavR3X5dObkzAxQZGORj5a7dq6t//OhJW
eL5NhCATTfjlsoRdUxtjCzsGO6+XLGzvzMJcfFxac6EPCUghsOa6WuRubBWfeoTc15dnxklfyJAW
P+QKV7oKy6M+m/VzQxtgtqztdgmVfOYaBeESIoEJSBXE7dI6Ba2KMdIAYrLyBj1oXj6gtvK3QqT1
Ciu1RMkWm8ELryvWgMwkwR9caheKyOvVDUXSTYrUYX0M2HeQjh4jcGoSZvt/sDNnSyYZriMyngYE
ktK6AWXyRiPgRHnDa3zBAmat7EyOdNcMncUxnwIrS0df8Yi1uq7GjI+6WDDpkikBfybAXtDvW+2t
D5/Bu6ugKaR//AMpE/0PWpUMvEpld1+msdZRgMz2GJTyMrGjhmfEvq49X5czfefyraGBZ+8/OfJk
ZG6HI2jBsVhAAh7JFhWLwHdQVI89R+yKpVTkkjTp1GBWUI81BVqZ2aEzwFLMkFUYW79jtdeUK+B3
e12pLniduVjnQkfpGBG0KHco/0LHclXEXyZcTPWgZjdW+jkC+bASLRXaZ30QslK2OtXYUNa4dKKZ
bseBOcLSOV0jjLPSDfVLunCc5tfypxAp4sjR+z3aPbRCUApc1teBvmauqn1F9zcefpv+7bqhzDk8
ZHIBEgFGKrDtSX4iMPtYs6arub0H+EXziRm76wLmju30agSSpwY0Z9mj2hZvW4FU3J580qlvk4XI
eunzkhFkaNPEQcPnJ9oPr17Cv5lbnvNfLy1Pr1n/uuoegLqDm2AYkPOFXNncjqP2B/ynadoI5fxL
s2K2LQh61XvkfzdZe9RMXyu9qAAa8C5qFuLZWX3OZEnWNZb9GGUFZHFtXXVesELk/Af7fSZh0vbs
NeVYZZa3oMHYFx49KV+vf/z6z0fj7eXHY+RH/t9JZyB+GaotXyq+zd0CaMCE8wRPKbSYfsDZr6+o
JVQ+TuZUkbVtti6eN8jhdhuzOFrhH2wGEmnoEkPVEpsvGZedNJw20+NieFbEOu+/jt3SiM/c8TgX
Mf39TJ8MA04JRZ/OvnLXSzHl3Fqdf1taq6ZBI2mfwx2KNdV7T3jWsDLYa9Ksrm/6vA4f+LzwuWjJ
vdTBQZ9dNTpBt89MjxK3YQvNExIQyccbjGASdwIAngTIcHapqPBAiXB9aRwlITAaC6Bzx2O6Bxmc
zzTmxw59Cc1kG6XGDlCsLgv1laqFa/S/AxG98jTnUJNby/w7xeVelbpDX0c3Kc6PbFV/u76qc17H
RpciJikx/QWqRmlV1aDF7BI+PjDujki/Z8+A0wuMOzre6P2CsLmb81yY5HZEUpiFKCCMkFVgrqLo
xYw9kf9Wcf7ffQQ2B1LgE3+ADLPYmkxtSWNCpfHIK18n3vUlmzXEs+9LIaImlGQArzeCt+yuO1rq
/d99XtqR3OIs0Hob/FmVK4BM6/7d56U9KEcKjqcIn2crj/l/8G305QPT1sEzX05tV2mqaBmaWPa6
d7uQ2PwYtZRD2YnL88e3pRveVkth1AzfHlHR9bm6ipIEDCEr3c++dEA3613SeYoB/nC3/xYk3iKk
ycy2TzMWqJeh7QMMotK+CFH2VYvy6r5vXSNxFw75zDm8+Lq0LSGnmA/nWbfHOMtdW9lg9e2ZGzup
2ykA1ayzb2C+Qd+TWLh8pPrYx2m5ECy51TjWG5twqFW16ZOdHqMJCTn+kotjohfHLi5uAm54VkM9
VFRvu3bXxAuBD7Al4WSkvUX6HY1rQIrR0QEl3YCO1dfJMOKZ4rRW5tkCTC9G5xlV/TXj5FNHHGRk
0Q7g6jx51pzgpaQaFqiNv2o8fkUfdOPbpT2seElfbaVB6C/axHUUErmtajx3JflmsVhDXi1/qfqq
jFxrKHPQYtvPdWCbfpaRI4CtNqkzAEWUZM7KHOt/Ci38isb5uybJUxcZge/IAd4PIMEIOnMbOsmJ
GdG+CcSTTVN8kah7DrzOAT9PpaR2C+aBT6DD0ODnVrE/YyDwe9vwF63O73I9P4V1BhKC4cCJcuIh
BhTTYtMVAGAQ5jvYHDKMZofP2mg/AtHvjRrhetRNxUOK8AhOJEDQm19HQHSvRVCvkcNAUSQYHvPQ
2YRBuSPI4AWBVXl6nb4lg72lCYm22ZDeOJ0N5VBxQcIB5HipliheY0bKoY/TDkxA+nOpEIoiNfpI
c2F7Rl/aLm31wI+cDOetYVG0jnPjtsIol4vpxQCxMCAU1FJRdxgvQykek9KumdTRxihq21fSDswE
4O+wquQJ2FaPpK8xqF3QiWhjVUwtP0zpTpFmPWNOAxgqQ/WAqHGnCU07AKBhX5UaZpK1U+zou1zU
r0D4OTZa+MR1gGbbKrqjql3WKplPqLJJNEMArn3Do1UZhAAhaaN9YJftChMer3kEWtaUVl+yOgAl
Qp3dhgW9BwmTcM02XU+vZFNE2QtzMsOrrMFZOOEzcdKFkU/+5TwGS6AfyCXhHIG5UawtT7sFbM/Y
LL2HZy7ZCznGpZwh4OCfVWyxHxG/gDIA+FVJnR2GROeeUccnVCWp28fGc8X4J4PEBKYa7VNdHVAm
yA/2mOXAAyh0tLsMg/7w2zcEfhySahP8OgJ3ydu0IYbQh8wROCuAIYCxbUmjLARyc670TIacyTZb
FD+KOhB7QCLdFU4fuX2BAuvRqj517X1ljZmLFtqFoGNWKOiCJ7ZatK7ImVUcbScrswGMacR2AziE
ourcgu+zZF06h6RfEDd3GWEM7z9x0m3YJMDMs4exA6EhudPD29JIF7zyZCa/+OQzCZJPtniJwL6C
hErdNMVTRGPXeL9uDHOpGwCFQA8VaYdpwO7SVCtDT9HTpnZ7ZzgF/MEJHxLF2Vo29SKLrNOx22TW
s0maVQXeIT7S9XX5syrC28GvIcuryrXsyDG7PAYFz55n/hjcKey4+GiZru1fVvFMhHStY+BKDyl4
0Pf5zRABmRJctqGXUS8I/XwhQlrSRlrMYDAyYGk2yL4dI7xRgOW0vb5cszb3Uxe56y8gsaLoQnQA
kfG0e2sh7JWavf8/EAHb9o/dkDNE3MrRO0OxGyR55zyBU649rwpBH7VR+DrXN1GCMb2lYH6uqggb
/ClWOknDYLbRkHXdXlGq575W7hOrdUfxlI2vuGAxoQhyuejOMZbmMGevA8Q76EhFZuqXFEOLSgyr
1RqvTRV9Gmgrr16d4IYMOz741/ftg7nhFyM8EyU9WBptZCKoqm4f3pD2tac3hQOoKb6t0nWs3gXp
exneE7JPsvW48FSatckzyVLMHKFTuzJYiaAdkFPIN/m9avsZ0RbEzFrmmRjplOk0yaiGwtm+d46V
5ZPs2/UVXFJDOlppZAqDpNgrPfWHfbAFM85fCZDz9DX6hMK2gAJt6uf6jWrtnMVxyclhS1aA7mAb
nhaJLVDqSdl5oyGjqMwRjNNvyJo5/3QIUMt96qxNoKwT7tExcMvedmviXlduxgdeCJZOWNQGvE4d
CK42TntL9UMW7kvVbQD/u5QjmjvNF7KkWyvVrRhzrZAFJCpXaIGbm3dpeiqzL7YTeaWxsG9Lqk2G
eRbT5e1gjJRrCDXAUuiD4GxwQ65xz0544XZN2KzzDuMxZr44KT5jkheKTn8/k4wOpizHaAgkvyqf
7Sfr6/U9mwkiUSKGX5ritCkbdvl5M1VUg1Y91lF1x3AdKW6urZ1uc13KtDy/mOSZFOncppwpQZiB
EXX4XN7qC2Y3lzG40EE6tSHaX8s0hw7ITRrteiw3arsdgAPTHgU4DbMNifeN6pXkriU7MXZu3t5T
9GUNcPt/pafca+vQTrT5IMQ+Ga2nmDobrdQW3vGTMr8sJZoK1YnzAxNE0oaNY1ennV2JfbmLyD3p
D9oepVetOFj5wqZNX7omSdo0oud2qoWQxJKvHI3m+Ek+WnpHroMzbAnJY9YOz9SS9tAqHL0pg1Ls
a+XAQHK31cijtXCIZ4/STxm/9CinVFCwAADesEJ0tuKZ1ywVxxfWTH4dRHnemIDrEHtkIRrjGNwk
O0s8ld3CPbikieRpAVIUhqYJTbLIq3X1YCrrMW0WnldLQiQX66QhBttT6DLeNS59ChfMa2HHdcml
pnoGpDANn9dCUI76xACjxer6cZw/K2gcnGhkAIg5aXjmO0mt5QDDb/EIHVz04YNeyHTpmN30QeeH
+eBGgM0NMNpxXepcps22kT78IVYKw7AzACmmHBdwgP7P2y7ZJdo7vy24jylmvfaBXhfmqwHYnLvr
kud3DNgl6Dk2QV8k7Vhj6hP7cCH25FHRXMf0F8xufst+fl/aMg3YyGMDdK09gF5Q3O3tp9QGmMbX
61rMNE5jvMn6KUbaNl0Dv3XF4Asw7xm+9upaaTY89GrmBqCJudH2+UO8Tdb1ZthZtmdFXsPWxZq9
Xv8Z80f556+QdhHc3X0cFljMUPPJA91VvrHJF0xlNqw403T6DWcG2nMQxzcEMkqgNYMBnW/pY3BX
kJvm94AqPh5dgLWhFlAYUStBA8ClJBCzN6ZZYeuQeTc8FfjoSMoA0Pn6ms0ZyJmUj/zvmT6JbnJL
qZMpAtTJJ7Px+9gztWLBDCczky+mcylSgBu0VNcUEsMMj7n3J5fE+ccl19oUGLoAQKfYB9kGbiME
SfBi1+7SMknntDSs2ogxxLpXuvIYhPWaRrpPyh5Yen5Ev7LgKQNUbcNVN0d2nDhuk1QrQlGkPHaB
seAkPyYiry2ndKpF+MPPd+JZdRAegQQRyNNBi8GnIElWAAAYJ1IRvyPB6EXjkAPWnHerfuxWhpIF
B9CcHCp1YDvADOfriEfJ99oohW9N0TCLK+RCugTYo4l2Q5JgB3yGk5MMQJPGPLLXBDw7iDYqNlGU
uEUBMFlwszzxFqN/Vly4Way8kJIam9EQuRvgkemazSDcvADNiRMWmmcmLV9hIjnznMJ442WycA8u
mZvkjgClnYR6i90CBE7uFUt1uo+I7df1BzAdZh+m8QTJCYBHpXWGOMM9uza+pMYqSbe58NISWUXw
uLjkBvj93ohCh+5sij8Yh4Bf+ClcCvLAchHmgPqAl7uL/CV0ztlX2vnXJa8zRLzSYmD07DPM86tl
eSgZ87iaubx9HaubCvl5kO1uk34J7m/OeZ8JluMwXsei6zoItlyUeoy7+jWuMQrqX3d3c6ms89XT
JWeRpCkN+wJi8sgNnpvIXROgWXCXrHvftrbDuJD6WxQoeQ6zCv5143F/ckqfG35o7OLEq+hny7xN
fg/T5set8Z91yDFa0GESqRxhHdFzFvvGqVniopu96883SjpcIjECuzJh/CrgYkF66hPdb801sORB
09jobvw2HJNvonHZO+o8Ze4+meoXdVwnbHRBxHt9P+fiRQc5EwIeCzSwyfFii8QnSka4WFw4LlO/
pdnNl/HE2690iYl5/mSciZKiC9K3VtCEEFWkfrES5pbwWwaglWcgjy4YzexZOBMl+ZdkQptA+QfP
HtwgLW4SsBNihrnwFVV4FVnKAk079os7Q57V+iC+0uQgNEfdBUmLCG/9vPbD4InTcV0lC11nM0Ic
DTDKQFfDuLIjpy1GEJyQQkfgVBjilluaF6XHNv29McEP87+QIjnHNnFqWyth/kxv/UT7NKI0fd3i
5g70hQjJQ1aVpeNOw+bYIkbDJ3KCoCFW3SpyGBqS+7Vw+CnuNepnHBdckgNkvFnMGE4Bk7Rl5z9C
TltYSkHUdFrNtc/cxTnImaL/xdelcI0Tu4v49GpohGezRzemuzduL7WLzyW/L8RIvpiaIAoJVIix
E8yA11pPV7QOMi9rHNWvJxIyMMJUIn0cjP57NiaPhYYCOKpC624MP9V2ewqw3te3d8FMZagzZ8CQ
YdviN5VV5aWWzTzRUOa2jREtGNK8JHMC7AUWBaHT388ib+KUTYYiPvInwRqkVerKeruuykwUhOX9
KUByWCWGmvssh4AMYEqMUTcOy4XVmnFUFyIkR2V3TGuYCRHC3kU1uFy6Q5Pmq8zU0BuTPV3XZ04Y
AWU02D4+gJQkqwwdWpRpOrT7VNA3rbX9Ov2Eq26n0HAbguDkurRpdeQTRpGBAPicbaHhVDrmYcEE
iUKr3XM2buK0H1YhYcQfo9Azo2hzXdjcVp0Jk4sMXBsagBIG7d4iL2oDJsqFa3Lp+9LSWWaTWzhk
WLrKyF14e0B3KHRBCJz5dGLlRTs3Ocn9DqU+xIA7L/ZOp6jbsmVTfw5RzJOqpNkq0nnnjlX6Rkyw
t4cBeBZIjZabcAN08F0Z8XsrDg6xilJsqKE9OdMcTx/aDJxy/VG3252hlXe8bZ4NlpxSS7tJOlR9
rLJR0O+SDWBOQnq4xgtkSBugkWjfHQ3UjeBpFyWw/Ua7irY6BrhWSt9/7hn/nJel5QIsi3umMgD4
j5tfyzh9HJPojbJx9NSYrkUBhEo9BGAzzWPXpMU+1eJdW9qqC3gtBs4uYCVzAOseY408dHF56CoM
cRpKuVVzZ6eIAmAVIvpu8Z57Ld4lXq50b/Axz0Y13leJPvpFzR0P3CqeRks0ekZheRhEhJu47nam
qNako59UzEC7igmO38b4B+hGK70Amj0wxbyCGZ/R1XEXtc47A3mkmtS+3mt4hvXavUbR4zQ0wRq5
tGNGaOIqTdu4qVICfHpA+iJAC0ad8ofRcQ48oz66D22sKGIAptwMgerrFYZSmKV+11EudVXz/7j7
sua4cWzNv1JR76jLfYm4fR9IJnNVKrXZll4YsiUBJAgQJEGCxK+/X1Z3z7jcvu2ZeZyIjo5QycqF
BIFzzreZwl9BBOujisNHA7FRcIQr6cDzxg8xa56KaBhemjjOQyziSDmlHrFvd0FdEl95OdPokmSi
z1Syj2RVR3dCcq2bqr0yjZfLMM2lXPyMy+6NE2ebsOFdm/7WRYRVHnRXJb47vk6mfeSeukswi8no
sOyHdcAiSvuP0eEfek4PNnFuvWn9zOZ5yFqGuCwSsYvSK910QuhyGNpNWushn6hzWaGLKkJ4h4Hw
om/8ukX0XioTmHJ7j8RjB9k5bEMwwytCFoLw0H1zgm6X+KagIGn5dXpAWtlldp0spDAvVeFTaugh
qtNXjCpFIWWc18H6MrD6hHA/eCHWd6kODi2t8gWexUZHRTuQsp9hwx8kn+ggTvNMcrf3d5LC75fa
82r4zbjW58hMGlQhnVdIPczDyX+rrt+CjLNTTDS4wcL56vi0hEfKWQXTsdJu0Wsnzuqu24TJeO92
ZJfW8j4Uy8M0RQVv44OYxHFY/Dv07OVKzc7rfbGNwEkKWIc4OqFgHmCaEQYSpD6aMd4gvawA1c6g
m68KPdZb5rgbuKjPGW0GjD/6IoIxSgPbH38evmJYkcNd50DW4CgbmK1OHZTvIXTIDik06/KkFS+p
cV89smwIdTKvw9ykxs0f7LNYkZbb9kveyEgA6aoLA0rpMgEckua+qhNAA8kRbQAYuRjJpF39bDCK
zEFpQVpgnDil1BhB9jdL7UlEj7G2sB10vB3LEaf2ObFoVFy3v+21QhRf9bQQB6ZFkcAtg2G2J8iF
dvPz0HZva9cfRRqV0CXge3Lxokl0YA1/8zFHiadubyoY3TRBsQbVsaMC73HqhSkc0sDonUItHO86
tubIIjiurOtz+KYWrPFvWKRPSL4uGwXhvFmmBxDDTp7LXuE1t2RtM9wOUXSmk96n1suCKt11qjrr
ARNINUalruwOG8cG/EcsAXlIGvolsPAim+yOwki4QwxXvCxl7WoDTyIwL5NGvfdto5ED5IaFojDN
u6LL3dxs+bjs25DvHat2CE3DngHSeReXwYrINq3u67U7Lm4lNi2bd4h0M9nKzDe/X+6jCGKVFC2n
bC90sjdOsL6D9FfWEEpToxA0w289rz0gdhIjhCE82srdDC7ZdLI5haBGMuGf+nEtjT/eUxl2eT+Q
SWV1uy5Q27oHTL3oVhP+xUivzxEy+2VQHD4+AQZKSIO5pAZeyHGQsXBBmF4K1mG1EwQn9hJi17Rb
Usmi6r08kDyvOn2EifpOu0gWRNparW5DemObBumEuD5OvQnBiJi8t4Dq44zKlxD/FhrKc6BsyXyy
F0F7zzuxXxnN+pHCygghPg0tNGGFM50MGHs8wrPBwM3i2HRoCNuHMFuFzSwM9ro4KqbhXYiV5Vx9
jEJvBWtxG+5gTrCDsQte7CkkFLub+eqkaz6M601Dv1q3R57qJnIwS6fL26QnKLWTEOtUbBY1FXHX
lZIhz9d39gLU1dXSYm5JhuwBxB2C1ee6BQyFCs7f4Ot161Xr7RT5Wd+4mx6TTIGcRD5anIk2T6uk
9CSy564P0/zitB8qbfPKuZuhUYVJYcGHT6AsZETMG9Rrtz2FdDW0edNUhVu99Mm8C2h1qpE6mICk
WiETOugIySa3z5PuLlICkVupzGbPO/tLlI+AEYforQvdJ2R9H5t5dvPG7e7bEfYiWOpsElB5bGNW
bwY6bypEQUzhq/Sawky88BDluH7D9PKzs6Aw5PN28eyjBIshlSm+13OaJhnCOIoUhOWhXoE6yw2u
zGbV6Q1S54/VeElsnKWwdJTsWk90KzI60n2EmerYqhLhLlsqnUs3Rds1dU6zmz4iC22HiB4Yw6zt
HuXd4Rrd2DU3K16L3rog5dIm2DmUzNlgXIOFcz+hIlmVj9OkOVfDKZZf3fELXIlgc3QWq8qpg5TH
OCPJ/TK+JNUFQe43NRhXS3TDI/xZeD8OPvi7yU4k/kYRLLN0Ohof8Y26zwYHI1qoR5GOLSofNUVS
rAiiSZyXeRzLxYr3YNDlKr+m7M1n/VaYZNPBonfyajwOEv5PzjZo4mKMWF6bzwu5mts8K0eWHea+
br/3kuHINCjNc7+Lxje7NllVjxluSLbC8QxWtLlYnCzpl2yCdFp5c8bsCB0YTI/MWrSm2bW0LweI
0N1aIWbtrmme2yjYeQ4qhtlsPGTEIoAjypdR54srCpGme0vGTRWsB09GSO8Rr2vdbJUc1jxa5m0P
F8kWklAQR4dNbZsP5UR3vJOHUbJdOEU295e2BKa4bQ0B7Xh5UVKDu8x4Bre4PdoXtLYzy1lj73jT
3Wky+plT6dvAOLk3xrs+NfvGIzexr77BV+nsM7Vlst6ufOX4hhPuengnXPslpslzX5HMmQ3a5na8
q9oY0QvR0xzQPpviYeca8waT983SivfKd+CYLI/Cmd8EmbcRpuq5p/t+5wbiCRseXgLncxhXtExM
/6oDgWlDG2+YCR6JxXvjCp/xIS7wcQSPZdSfEjM9gzaCehNpiFKvmT8kMq+nsWTeckPT5Y765GYa
+d7vk7PyyDvBqN60zlHYthzWFFx9F6BnvTUVNFYOc7ZqqrC7sBYJo8ibzH2nxl1tWAooIToEZHk1
ePfMOPxhDinZUkSvotxq1yKKV8xv+ZyevYa8kTrBHZ/dexTh902kERlOvXwN1rybyC6KkHsbRMii
I84GqPirs7jPIMa/Oq5ASCxSdZDOtj7UfbM/8qgFTgoJWLHOgVegOcsnlHYwfHvsnOQYB+Auzzx5
pNqfc18Mb2yxPGua+Dmt0sfB+/BJekT0CTwZhw3yI9BpXEM24TCXqaDbeCM48l4CnvUE/8lpdfMY
lVWbsr1kdD9MHdzSQFNJse4XHmTJGIisdcLtEQXbBuVXF1xMqD6HPL34pjuCAo8QhWHDbHi8ev1o
6u27wVza0Z4mo++DtgUOU3+ppUDu37wjifKypI43mi+lDxfBbEr71141J+LD1a6rx7OpgsxIeG5r
uFHkcHF9H5GnVMjG7G3bPqlgGCHGcCEJucM+ukFpftCQMMKtvbtVjA4Z+h3YGaSoYUwNEQAMFLvZ
km+dIZjLpZydyYTQBd26SCHUReVScxtUbYudtylhzKkz1Xn7ZFEfeAQhf243AZwcvVUgxNXbNoG8
qdMO5+TV6sqXT5NOngLrHVqJvclaiGbCnt9W18i5lvg3bgI7TD/p9IY0cVOsg//Yu+ah5/4BFqst
HB3bKa+CoSnIPN016ZTjVPwyBfTNBaem8CDpaFOIFCxMWFBHo9b3vGe4dz1SBK8PcbMfVKry4SoZ
aObkKYno2fSoWjwKXqeHxzKGvsDW/pStnKWZvOoPWNN9666KBCdtvuCOTJu1ag79VbXAu01Xb9ur
lqFp2E5e1Q0LZA7d5B0SlO0qbh4lZBA20V84ZBEW8ogBMgn41iDUA7qJHgKKBUIKRGq6RT2GT5TO
F3XVWvgQXXgQXwRXFUbcDg8JZBnwrVMISpgL7bVJEbW83s5EVWiiUaqMxHP2fBiHnPV9hUIJ1oY+
VI4Y9IIWlroNnrKrPiS6KkVkHW06guLG70yVe2kkytrp6R62TUcNPcARjHW0RgAJmytcuFyBQx8I
YkLUimcgCcoqWSPsXFOUjfiYKvSeUyB9WbOcWrPucTngABfAbv4K8FmJR9yvI3gtRtimRzikeRqB
wIBq82qlMk+ixb9JI3zqWPKDlEOzXUS8jSiePH9N/XsUe+Y8IXSlDGde+uNsN+0alkGQoHpSGIGD
1vCcjP2Nwpw8T3uK2h/jGb+O1cYhwUaZ8aBT8gSHOmyBSEgtZl4V8JFHW2+b13ppQ2gBIAiYaX+X
0hipxgs/OAtLCrDr+6wChpJxLapsmIBh0GC8TwwqOMSkhMVcYwTJfJabKJh2LachUlPY5yWcP8be
fkwdwjiiulrBkfceRR/LnFOnRv2hDtSmX2MzPsVRe568GdjT4Ny3FtuTkv2R9t5XhyxellqGPvkq
terF8MoFTCzryr3MnX2oWgMWY4VLXw/sVYjguRMJ6qqoubGqxmJfmj4H24TlrWyaogogWdZD8FVF
4Sv6j63TW1WYtCMF0wifE2O6nVO6qYOoQ5gXEOwE45JirSRmI3Y9BWT8EtZhfWFCk1JBvLkZq/SF
J+aExlJfg6R55iw4njliRnK4fwIDxc6+ScN53CYprCMtXjT14npLrQKhGsO2LMXsBdEv7sNYQRQW
qcnNAXl6QIury9CbuGBzkAtsDjlh9SVZ6s+K8gcOrt5uZEENLZd3O6RqQYs6f7O6KeOIIQ4ZhVHu
uPPt9QjKlLKvoWaPIhwfKsugXova4ADPdZDIR/5u9GfCEHAzuAhX8XiLlFAZ3Ztp+IRkn485db3b
IGnmQky9txkiNAGYUn3BPGAsOoyutI6+yHW9bqGoGXmsJcovu+TwyU9KnEARDj+QWmPEhO95Z8WW
BXEMBVQsstjiIrYibu+6hV98SIJA8A5NCWM7AGpk+SwIDpgFxg/lavSDXDC9Us6gtsbXr6FC5RtP
Lts12ofoj444R3voEV1xK2vEdwfsPaE1zqvqISZTe5ii+X52zOvIogbMCE63XYzih+v6mS7VUFC/
j7adSPfjgPvnY6KL2bu6Y76DItD3dxFSpC6OJfDj7b3TMi1THje+jwFP3ZbxFMSo08aD6+F5w8yg
rHwLA/EZHJ8+BoVgsYGTT67b4vv7F0D9S6Ymduk78+qw6cZDE8i4AX+Vf4oj8ujqOYvH5qRGry8R
8HoX+whMjMnZH0g2ykjlU0C+ab//wMxmzUEik7ntFdIBPQrH3hRP74jxkbeEnwNSLdkYLtsgaZtT
Y0yaMyzfk467EzGyLcFAvaVLcBYVWg3Wk1v0Fl9DNNzdI3I+dc6jGeE0NoILDM5otM7wfKoQDocC
Hg+8Rh7oNyR14yuOCTpopr9VTQUhZE+X0lVqzkOEvUEqQZFaYMwzDQRyCi2O5+0CNsm9a5Z1O4/I
3mF66rMkiKqblNvXES32hSG9EJmRmPOEa+iVvIHnsKtFvIHXJN1TUMkOE0asF0JHiZjHDo67dkFo
dILG4N9Ppn8CsP5lwv/DGHxcDZsriwk/EXmZCdQe0f/D7BshwRC5g32Xwvf2rzgIzOnNfBWfHybI
RP18/QVE8TPcNv3+9a+z8e9wlmilsxc3YF7yTzO01a1fJdCXmrOFEysMw07xNJzGZhQZJckveCg/
hXi++2o/QDxDHyeTqHHxkpoX3HvHGOTf351fvcEPEI8XTV5XQw560FdN4NDly4oYQfKrS3i9Bf8y
1g8gPrwmOl9jgH64hIT5nFs2H0YWI1YyMHmCUGQ3DfaMW5utwXI7yPRWWjwwnA4Hf6lOqJFhTd+H
v7ikP72dyJZHrB8SiSL3Tyrnd7ezAkO00x48xxOMoReLqcOErSlaPPRiSxnE/VFb/5zw+Gurf3Ed
foaiIC0BwYUu+HhwH//rZRijRCoPVtFXDq/xsl98s1+9+g9oKLVtVweY2R5IFDxZoB2d9ysxznU5
/Hgfv/8CPzxqgwqMHXq0rLZzNgDTLxiznU0TwDHnVzD5z1bm92/1w1PnT0kDqCmcDgs08tLheTje
z5pv/v36/9nu9B0k+OPCJCN21oFiMXSGbmZ6bmNeCjHJvEFvpFS7hdngiaXk4d+/7Z/ZGD9eyO/e
N70C6N8vQt+H1r0CFBmqcTvI2cBWEzbnvB1vhgjjSLe+D2gM+e7I3Fygbm1m1yLfk5cVbdfS1b05
N0YF93WL4nIOuVOuVj7AiHbX6ulJX7cjEqjTgP3JNhPE5FOcd+AOtXCmxwHq77kznZPGMahmw8IL
77ugMTs1xs9tGIzlOK1n2PF3uVTOO1tG1Oyhd8EjVeXS4kBqV5TJTeWcbTreTTK4n6uHkXnt36Ww
//GXpIzxv/4TP3/rkL2LUDP9w4//9dgJ/O8/r3/zv/7Nf/31R/zJP16yeNWvf/lhI3Wt17vpfVjv
3xHYqf98M/reXf/l/+kvf3v/81UeV/X+t99f30Qt0Vrpof6mf//Hr/Zvf/udIJMazzYUh1hl//H9
+/zjH51fBf4+qyX7rcD//Y9/+/466r/97jrpHzjQIhidXJ3IYKHw+2/m/e+/Sf6AybAHaa2LBBsM
Wn//TXaDZvij4A8EEHohKE0+1CJ4jd9/Axb456/8P0L4pOOExOeExQ74wP/8jJe/L82/X3lcm3/8
/Bv84y5dLfX4t9//uhPA4xY5lkhvwPYJEqPj/Gm4890C9qY5bnnXOnvrdHABIBnzbE46XgR2/sUz
+ted4O9vFcFjPkIwNq7Fj7nYcJ2rmm5N1n2Fhj1lGDPaOv0cyl/xIn/2PmlwdYWEYhQZPT9wESZY
EowIIbJ7MdpNxdI3byHFzNZfsT9/8j7gY4OGEOL0ufpC/fXZT9TiUH+gDnxum3vltY8mrTF/1vl3
q+ondyi4LoPvdus/L9w19sW7UjjgbP8v9vhyaZuQxgZpCuKp4iuG4lVr0WnOUY7IXg4ibvMlqUQL
dRQ7grcS5lSJPo95JDGpsA3UzIiM1BUaHoD/6FH7Fi4bTnAHFBLlrW9krmf48GHbAvIbIBJda7t3
CAaRUzSqvK+dM6/78crDeUaPEZds4LfJ2s85RUzxgPCuooqVi7mSxMB38UkOvNYWFXbFnBgy5f3q
ALECgzYzXv8ZBhEMdl0BBsIIid3MpgtKPA4sTyn5hKdlLavIOVFPhpmyYbOjPlye+hUGjGIQDz4L
bwYp9iqcnhyMNE5oxd/jOh6OLW+mQrgN2XAfdtcNRvK7XqJpIqs/ZqqR5eyQjy5kpOBdjZm2Y6H3
tggIB88J/Og1+Ipk8YOL2qGtp5w5Mxo1JppN39ijHYf+OrjCIWnphFJe2Y2eRzhYtBO2YlOZLJ7T
IOdp91mnw73DW3c3xYDrx0Uf/FkkGGJ5R0SpAsM0DdqbYDg2XD6EwVoBZPT4JRIhUvMWzGT2TqpS
WHYweGOAuQzRde6RatfY0N/H3SSyRURn1a3nqeofVjt+le78tqS6LaqkEwWR3ns8i2MTWti7IhEw
eExY0H0bZhhz9VWK3msFyh4GGp0IZNuTH+1n3ew8PT+PrCZp5jIXICRrTL3FEHYtlsh5HlR/UwXh
V0MGWoQdoDQVIMlD+etwbzhtr33ZPffJIUIfztjiyl1XDRCyxjEG0yuk/AAphnMfgqMeYvqQcai6
90Hngw2rKvjHOLDABP57ggEuOra6mlTBXB+614ThuMwUevMiWZAqAAPJNrKXiS8273ppEfdbYX3x
dC76bigl5vhZv9izGt19601wS4wRObhitILxXp9kfhw1BQx1SoSM0nypoi2N5b7l5ogYryP2aGcD
rhZoJfQForAZ40XvXbPoDoQRmyVhVeUzUKbEmT4o0lVl1K43a7pEma/kZgj7xx4GJ86qFdj/IJ07
tIdNi6xhOOHqj1R47mkMpjNJ1wFGL93LVHGxkwjg6j2ydyeyAMacXvGxv4auQGYaiZGc2rwjav7I
FqEQD9uwTHgziC4zhppp3xyh9mtKz2fwqgluej9956a5l+hlQZyYBgwwkUgwJc8RdgwHM4jcSWR9
qmjd5mQBXZHW7qdu7V6W1ek2g4hOdQQEPhr2rY6foKUZt86gPyOdQ+bTEN6EOsSOqky59jHm2kO8
RVIJCDbAImrfFVmfhHCNVjd+Ep3UBGwPURhfeXsbLuGdOw4QUwUCt9b2gHfc+isWRpWP1bLtxwB8
6AXDTc+PLxhnjzl892ieDizNwTYxxeAGbxCRP/WOVCUM7W4JuL5MEkSVR1C6jcmaGXWlpmNzyWVv
84QYRKa1zsaJITpwAvjGLAElxeC5S8Ed7zqdQPCTwYOaq4BOmRcLW5i40YWnjdqqdoZ8sk5BaYNj
UN754SfY9R7XKXxoSBCDs0OakqjlkgB3KwGfP/HG2dFoGI+txO9tEpKbrq8O4yQBlhAMjdyRt1kv
YWDnjRj3j/5VIEWqo4Cp9IZHNUPaEHhziAgFQyIdnoZBP2I6NuVrjf+MNY9JYnUv6xD7ZQtiZiN5
XfCr2zhnOOkIUlqyGOOKcmjMDSaeCEFyYwrQNYDve8LVZiYJdukrE2OU9oWsmCmmHC6pbYorbASu
Ieha87uV8nmcwD0hoRlurRtHeUrSEXxdjmUwu/MRHWAOFApwECrCG2lrb5PSNC4XQG5Fqtz3ZA2B
sTc4WgZJo4Pfx01mzbyWPTPrYWxIk8Gvgl/WqAKpy7I3ZD3vEXI27Xic7JLZB3TW6XzFNa4rLwUr
iWAqy/t87ZCkFSXhC6ZK6DvlWIarElnkOOeZw01n0f1amDUmW5ECPAdRHVV3kx44wLsyXkZeiCDg
pVmvZxOB/rJByNEmHZ0zgSSAGCvKSRAHPCeQzzKdBKzsh0TjuINKxoQtLvBCt7BNCbGXQH9NsL0f
Yuq9RhJ7MHVlk498uCdNUp9mjXk8ZyMsEYW+hAqK8zb2TqtJ41NP6NZE+sAlf7LzYPe/qB3+tXKI
MAO6xoAhEAoRXX8tUZDPpHDxlbNffNBMoOhC+tYvqrofaNB/View279WJghSA0DwQxnExTDbXjC7
x7EBv3hbLbuUNSf0GMBKtHqJWgDDvVs7p8DTdzya9nKs/yH9+v+8wQhR6f3PDUbxyn87vfKfthfX
v/xne5H8kWJahpYFtwDZKKBa/rO9iP/APhd4iEtBaDFoaf+7vfD/uBqqwMAWyxqxmTFq5H+2F94f
GGrECILCb4PISYP/m/YCJhj/sgTRq+CdEM2BSKXwR+fUFXYXxgXlau9XDPhF9S3Bo1B0NJnBkHBN
sXCMb5jvYkzPIP+n9fChvBrGnrU99Wsnt1XCPjv+a4op79QhMxcVDxBF2OdEDDpc8H5Pwo3UFtFf
PBe2+TYz12SDYu9uOn+OVv5JDSDCICT9ZKh319VGlYjcqbPawW7vxgasRq7KcZn4QWjE2PWdeo6J
A/qanr6EU/XRz7NALiaYVIBJ9k5YIQYsuK1BLjQqObgC+Mjiu2fK+aGysGlzq1tqYdlVzcFDP/df
B3+6OKspKyXlBly+JauFX7Kk9YrIuPcckXEVhvQZFe7r4tVN1k4eyzsv+qgmfSZV/7VxMV3mcFpb
4cOmI/DY+mMww+8tuHhSnH0a8l0Vii6jtH/rhmgLIBWISIfkg1Z27qaGiURB+waqZnupsVxy6CNu
wRyNskHEFw8QHNCXM5vDj8EngLxRPq50vWd9tOcgezVBs19r1JWep0G89+3WByMy4biKs1pPfdpV
haOhszAqAkgLJt+6NkDHkwWspoACY0A08Zl07J13DtmNf6L7E4h3hl5qfLisB393E8fJU1yTfhti
/9edaIuGri+8A3SeOvLeC68kMIsjQ8Q8zlWvj8FUAdtncIdbhvpYA0cuAGuQvAcJYjv2TViM07Ae
jRrmQiLS+0SVOz4GZIAylKkHUyOokHuoVTiQsnHyBSAEFucWMPlN2KevMBd6c+QIzLKNH40LR8nO
jsF2pvbYCPlV1O45lqDiwaGj6BcDCmjrfoNLBUpVK4Gm6fbZTv59nILI7DcaGWZsxAHdNuzJkhq6
56kBH7WXNby09GVZQaKcgU/cuI1CdFTvAvbuBN9MkXuMGvFQO1g7CCk7Km0vQxs8dIAqS7cl1SkU
cChKqRjLFlyHo3TYJ24VmMICGvlEptPN4LXPlMDxEE7sAOY8LBtgh6dK0E/C7dYdR4xh3pLhtvHT
+jRWrcqrIRD7JqIP8+hGm8SOwFe1+FR1zokQ5BRcawaAn6/9AFqU8Pegh8pNReZ0J3i85MIntgiX
+A1tjLsBwy3dQFHKitjArb/Te8QT7Ziv71vh3Zm6uW1ddUZ1D85vzO81NcdJg57oh8cpTlGWQGLK
AgdU05Toklb2bmBVnQV1OtzpwX7mXN1SLKMdau9lZ2cVZAE4XgXGt2vJLcr0VRAQgWiI5gOl56ZH
8HIGzuRN0ALwh5fee5s2iC4SAnXo+K3RuDdmHHedxkwUKWu7JNR7j5FdKykpU6/uNr1Pq2xZwPGT
NZ330gMaZmt4K0eqebUhJ9mC/rioSAWNOFZD5gxNmIUCzw0Yu9u2NV1hADQPPT21dnmKII4GQxbv
hxy1CB8FX0d2Dc2WYPrEHDT42nPAoakY6ix5E/TqA4Uq6g0TgkMHE33Y6twMi1si3sgBS8Bcqs5F
HzuCJDAM6JtAhqazeSR4pIJYtrvZt+e4J/E+9WhQmKaCP6OcgSv2Y++fkFJyC0e3b/Clfh18PzjA
BuaGGlijRWgFQL5foaodJZQeYOS6HvU3M/N4DoEZ1L4t6DlQEo+lY1aKLiP6hgRjBAry8QGg7FZO
6NNYAuEgMpCws4aYTNRyiy9rN2ZU3UMv9f00wnQzdXLbestJUoh+xlWuRYL8zC4OLhP11bYyKAeJ
JHU2RlAVVo0jdgCQcbvZegIWnmbzSI+w0MkTVUUZub4mvPVRK2rIoscWwHoC/rA7fqLd+rpUYDs3
U7K3ESgMq98hdvF9bMkXwb1ShQ2Yx5XL0GiM3xI6yHLCJACfcP0UsdCHhxAtuA+GQ8rA9og/VsbT
ou31c8XqBAQJ/9TFyVhAPh5mwdJg4GYhWcDXQD0dACgUvfhEupBmnZhAGU0/QWu1jeS6A8tmKHDG
KvA67CPo7JJjuoI2wgBKXJBp2eDp885TlOA/td5mBH0Wqqob6sZF4Mh1A2z3WbVk3vfWmcG7Tsm2
Wocz57Ceoc7Rm25DMZyqGha9LoHf83hhbhUXwAkwIBCi7Fp0t2MlDio221UtvFiUvrpDTXjWT2wC
szjcK+Xfo0ovcbE/uRqCgpoxfEdnWDIwxHBouXzb+47Fmo4/NWr+Gi8IU3H7+MkI+s4r5whZ5Teu
5rMw8VsQ4wi3RudqXfZpRV4UgjAjpLSiTwkTkI3EBM3DIvZ4sqrS0eBxBJjlFEHN0jsR0nQzz87n
cFjhbr+6mKcbi6e7oqggVrCfYAm1AqNFjx64DIvDJGBSxfRQNc19HGK4Lpfl1Nn4yRE+ivkxQcZr
fCfi6FL1EGMSrz4DeEa7KVbQaNv+hfTJZ+GZRwMnhbzXLcWMg2M4YNQesQF33KQGPGv/mQcQlGlZ
T3iqUY1z0z63qvM3cZ3eIf6WZ4Hf+VkzLDT3Y+f9akbbJ1VXpMt0O6N0y0wIIUE5LRWIk+BiWQkC
KZHPxmFDmwcEniyWqqOnpiWPpH9BtMxHMEO5ViNBnPYKcgaTvsazjgtgFyIngocg+XLspVV0YWH7
AdB7G1TTJ0gL4G7R3w8N/u3EuhdtvVOw+kfMRO51V5/8oX8BE19kxjRo8WC6ncUKXh8k7lN8g/6k
zfoKMBH1WvDf3J3HkuRIsmV/ZX4AJQYO2wIOZ+HBeW4gkUHAOQzs699BvSbVLfJGpBcjMjPbysoM
4oCZqt5zrybLfqRJGDJWnY0O0IfmAeQM+cI0LHY8fwF09ys4Gxri6aTcZQKzMN5rj6Uh3nrnOaR1
SS9+W63ioo+sUU7HF8vi5LLFfGxm82OKJ3CQsb4e432ndTyu1ugeZtrspDGTXZTNte9N+8bVn2nN
+vNYtuoCZX0jqELdqr6b520+ZMImBVbP9C1r28LH0KC9jrGe35pAFH4x4PTv5EXq3YuAZ6ywrYQj
C9WmBLy4jxs2HyMD8dUyLl/+x7Xi2SSrZrWS4bqMPNQbc0XpGYS5AWPAAUsVNnk13DBJOA+rM1N3
Cr/sVdB48ipzKfZSr+MrZ00Num9Ee7dSYVbE8WOc6yMUHbV1PNd4CmLxXkpmS4p3FdvDxWLpMLzN
9k9F82uT60hQiSKpensIcsf5Hpr1sg66TWv8Ptalb8Pz1NqY7o25u2j2Yu7TuCko06Bpuhpy07SY
N5HA/xl10Xktxmo/N0Rgd6J8J9s3fSTtl+6auURnZeG2Rzvx3LvCNDaQdrpxWjAn25lv5BA3j6M+
1fDq3beXpvhdygHhmpjRaNaex3E6MMNjN/NaxjvHG06IaT9wczxfbVv6mGj4hti1jCEVClrLWxsf
dtIHBgvZGtFSMnXLRy5uOsZTi108F5F4621sD+lUHgd0IV9a6jXxHIBqpsJmr07dwCPDQuujLrV8
B1oE65/Dgo7LuCsQSYKid1+kyeSt9/RQTsuPE9cpWwjnB/Iszno+3yZR4u61MafC5HWI9cY6Zg2X
dun1vS8q2CxcF95JooQEhemSEpFtpi/NuoOipjIoQ282FVS5oUJKW2wrFu+wyQXAtBXgu5nkoV1g
XNOM0iJh/u6XOSPqcgFnsBpurqiGZGz4vs/amP3okWLH1yqsnSpUvBNjDR3UuNBqaWIeegfOt9Jn
eVePenXCxbNf9PHTcSQvmomdoc+17fJ+xlNzZM/O7wwYOjCE+mxVf9J6uvpcVVc6uRb91NPHLTeU
IIcpcX/Ata4MW1M7g7JpduncXG26NUfPCxhb7evBetFnpfusjS3/GyL5/3MQQJ4tnfu2GuV/ngL4
H5//65B+VPFf5wD//It/HwK4f6AtsnjX1j3271oQCX8fAth/eKwa5hh0WJxBs/+PIYCh/8FwSNKy
k5fAFqNNwPrbEIA/0g2dJXQOf4pU5/4nMwAkvn+bAfD96B4RwuQX8c/KbUTxV5U8A5ta4rWtzqwd
KnhSHZaeYm/ciSVxjoTjxNyCbMbFH/G4ah61xYJIJRsw7mmOWN8tvfZQOeZbD0XZDGM4yuFKYyqO
2euzkvhUmKsXe2jBl1nTP61O+xKq/BWVEFuduy4HrfG+uwbdBeL0zUk0jJN5H7Jo9l7N8nY1E2ef
5ypjMutmIYUsSk1XREG2zF9jbn46G+U2eFTSJuDbuoKZ2BsLlwDFxRsd14LJdTWZSd02hKhA6KZs
cQ7aBFWXgdfVbsRJsnbxodvYOwWEpyROqY3Kw53zSGLOCSbguwbbG8Gz543jGzeib6ztG2dj/Iqx
4N4E+xvMpTmUGwnY6uPjtLGBpUaLDeT2WlNnBtlGEJIqr50roMJ8owtHdkaG5kYcylVz4YihEL2N
R+w1Ze+mjVEUG62osYAm4MrZyndYxnKjGlVWvNQs7uwky8G9Rry1GwGplskIp4KkILXxkSWg5GQN
AJPeg+H105FJr+6v2KmZxL6OefVdDghhQmeRemQXJf7O/lFfsyfsqB+gSgsKwXibrmRneRu/OTbp
3gboZKX0HKwgnv2ipUfBGIlbDvxT5q/8qHeqBfmNAUQrdkGgNsb3xWob1CBQpDMzy32qmDpqiUe6
entZHf1+6RcXywHjlLiKf3nNwEPUL/epFt8vgpVrqE2sRswFpZf53C+1DKRyD9VS5TtX9r+SFrq+
R6QLS1d7xC6Zk7wJomkNjJCLRWQn3ch/+DEfecYVdyyL79fC7c41/eVOobdhJzCscyKHu9WRy2F2
7HOX8S+AOOHUbY2RES3OpCYW2c60+f13GnaP1px+xYywjpPp4soqk3jPCq8rjGeolhtJbuFQUy4S
V9x8DWmXwi24uB0X9wW29lQP6mXtWARgj+5dFZEH05s4XebF7UMntzSfzUbetYI5Cq0EBnEusDTI
LL3rMkGqqMFRg/58MjLxQ1Y2dpWuMXZVzk9UdWeghRP+QcZb7gEIJ9Ss6Dyk2YVb/yJqqEtDhH3T
vkt7anZ6Ul3FVl7tJtE5u6w3sXCa7kRdTuFDznhAhov0jcXmyjAr74jx7GKnyvU9cph3aijnYPLY
Ktthve1Xc+dqjruDB9eCyKv4OUqK0UIfXgy9KcMkurEmEyMhrpYAsi8kQuKctXkZjp59hddMot26
H9EApY1RAx5hZGKRTe5xTp0uWFqj3m1J/dhr8dhGS44giAVFJOZHGen2uWaRROBZtXOhLKgPsl7r
IAElZ/sEz6hl0ifG4EeQapGfONPFKcpPo8BuvxpdErie9my0RY43D4uTzPMXL61eVuK7EaIM22/t
DTNNmI7SjlypOu93gzfe1TbzKLNBRCMq+JuVR99Wuhh+uxbqaGUOShGPOxkCzMQMHGmpvd6m5Xyr
R8W90fKiaVZxrHMU69TWLoWmnmOXqZ8xIbBbKChFvUIEiPyDRhzwLPmMV+1GquoSbY44qr2QnisN
pOMZqC3a3gGWl9WAAbpE6F6IPzGcUC+i63z1btfK7vzeiOkEiy3ussiuO9NB9Iy1pzkf8eYl0zNO
+7uFeeTOdFLJwVO/esb0W2mcHWlnub6LRpZH2rFqijOy2nNXeCjXszWGutacIg9VpoyXr8pYXjWr
F7vRsqLrYtU+lkobLmyL+CinwdrZkxp2ScOkTp/Mn6rSp6Cu8t9GF93EY3nx6vqr6wjrSql1hy4q
9iB+94OgqimNuvBZmzrsBhs7sGYivPU9BDJTdGxKcnhyXPeRfku/NtpS2wIvPmr2u/oLGw6g8MsT
araotu0sena1SNmHJS/rucqYQzKpvRERgyzXBI2zUN4jFCS/AiJoZfNcqgTLdtexHjqJBoKLaa4s
ffNBmCdZJ3e6TI6jbfMV5mZvTLW9GxiPH9C/iyBZowfJfHInNrvkmDvUW9ODqbPZvBZ0LHp/q+vq
BO36q4X4KkTEZACM27fryt7jm7rDgO5t1pHnpBQDbQjrRGL1EbnrKVI1qQCG5XezPCfWGhRt+52s
Zu3jeHF2Yo1uzMJ6R0LFCt3p1zg/E8bnQsJRj5d+sdVVuqSnPEUfZHX40zJvXYeuxtAyMcUr8640
+53l5hg8i/dk/rbMMfTcB7tunthr8tnHVR/m7DXfxSiO+ywzwQfsruP3yR5tI2MWrhb3gaC5HsCj
ujdiqTGYUhlvtSyDyJQM6YrFCr0m/8zH+rcZl+doNI3DqMouwCFNN6Jjp5IxkdtFt5xdY2533mhd
ms6tAP/14aCzmOdXuvXfMURGXCTlri8K3NSudsq6lEqgxxNXCOPVnnByaWyJ5BQ+Mk/kqW68GhVj
ua5lPWAOKB6VBO9LynzyTa1pdzFp8OdWS9f9IkYZjK5OjgZu0XOtrd/NYjhB3MlHFGH9XMueENnZ
W3YI5Qt2aSX80aVTyY3iZVzW7g3Y4jAWpG/OyWUyKgwluvTzbfmOIJLYN5Rg4Ys2pYHT9BrhftN8
t9r9grXeO0BU7kg5AthhYBvENDOnZI2/ZWR+kOWR3q+5dYBTy/b2Wj43xdRcabNZ7vKlfVq2ZXOa
QPQl8oBHQzbLSRZ4A7JioUdzE7HzyvFvi7r/oxbgOv3s6r7+Gf4VMPxXQvH/QSRxg+L/517h+FHV
6V/7hH+gjNvf+3ur4PwhDCGERRjIf+t7f2kVDCnIGSWZi7J/A+f+hiPSD/AfDXBrXbi6y+K9f7YK
4g/bsYSHuqxT5lMg/Se9gvvn2sZ/ErUuq8MMehUoSdvgD+W/r3UU1lZQlV16pvomdCW/JvnXCsWs
5ClblOVX1doGM9U4cSXypexsI9AbA89ZOmGS7HTHr+JyZQpR4gV10f4npzTDTrQ+EDKOvXlnxJrD
CjIeza7pT+7gPNFu3eQJbX2pwUCDwv5UVGc7YZf6MU2ImZAF1mdnSYtdY3Tn2IqtvSzj68Yq6ns2
engY52em78mSgjhzCZaxAfU0FhUkz3Aj6ulxkQlevDmxMCZyXUulWQePaSSraZtnezbvGoWqYDNC
CGqFjTIy9ni/jZSdvFOnhn3urKXv1Vj43X59XwXxAklvpycvwiyVVs2325KKvHiDBrdTiJ1Z2P2u
lQWLtGwr75mWKCiXdP0Qox5fsc2KdEp9ikLVTh2pB4TH2wwRdwNkHqUzEdhZk6eBoU/OY67mZ1kS
G66KurgSShqbfKThvpum/WAn9xaLyBods2A3sPA5W3N80kMGW1yfpxxxhNNzRFoFoyE7AnHHL2It
xHt/7IdEYwhCYiYiry/EGE5uG3a22uHA6oPtMcaQJT+gUJ4qwQoEu5y+62r6NcvpWR+9y2qw/tnQ
i6CKJC0QCSh+51CvO46vrP7KSc1d5yW7wvmpXX7CeOEiHkgvGOvsvlXyCdvtfbXYj+Niv9CyvQud
CjfNmM+NA+lVmOhSPWKZVoIlOedUXVK1ryO5Q1DcG/F0NzXG49Q1ZDnEBfY/THUMMItg5XO882ou
/ISavE56dy8E5YH00gfp9HtzRQHKz23tRzWaRmVcR536GoocWmsMcenSqCUVq8aLIXST+medLYit
LlxF+zZNLdKyWFIAbnItPDQ4JgK3azY8unZ+S2bWL03IA01VyxjTKAJHtVdRxKTRMahRhTokWfls
rIRALHqCZJl3r8aAqiq8mJIlGQ6KwJS55m5fxXydNJhvp1jej0P9k49lva+1+DuO6lem6Oc5blla
JYiWgQ1hlVkXZLo4k/TxOliJQ1NjXDFhx/nNRWllcjgMKuZO5RY1Z9Y+ljwZs2YQTzG39cZbEXuy
Xb+K4JODxY08lQTqVamlnaNOPBdVWUEObXNnsHi2G165q0axSadVjsldnjvPjVFS3iTePUaiDFfP
dOdAdpHGkj56QFmcHsuDhqe2HkbeKUlRgmvvtU4YO/Mi3kP7ssi3CuK2akKWbl55eXfXk+awIxqR
d3vljp2N/gbPFj7MARnEttLqVuRlwrqgpTyizr7mabJv+uq2hxOrJn7NxKSuTYHNNj0MqI/pEoWc
U3TO8xt3O9iki3xs8CRRGmnRcmWjmkD8siRRp3yR3ZSglLk8MXIuAjuaHshQ/NJHsUfZIm7YPrRU
4agzeNMU21EPa2c9yXzWfSdrLv2IibuIq18mQ4bITh4HwQiCBXvZbrWa30xPHrRYPth6fVMzTrZY
/umzUvumbYdHWVsaYB6EVcMYgUia+lQk03WlsjN9RYKPNXV8ZzHuJsFsoelTk6KEEqsrP+aOD7Oo
tXvZjB1hKsV5HUxtX2ydT7NluEsirjxRXvd5enHU/KEv3omX9L2Zk3inq/yLFJq71jQf+qi/hnE6
VORMZc1bKYqjLUABmn5i/BrLx0ZfSWZCVlA1AOLEhPK4NE7xaOFofbTkrAXjas97L54d1I7B6J9a
J3PxJsW3agUfjhI+LZ/aE6W2W34Pc1+HbsVMlQPD8cKuAgqRE8gGQxcdm3Hd0QvCxXZeFEMVC4dv
RnO7BX7V6k9OlzIHB9Y5pbqXvJEhoj0X8byeegj8q0mNWbCOC+tOzCq5ijh+r+OIbmMha5vOlWVo
RnG9CvWYmTULLxAgWkNtwgfLWLImjMgI8ydswBhIS4b4ZWkfigatyShm7eSq8bqebYITUVB387Y2
j4HfoUZ02ytpiUOSFFlYNlVxo5l812aEJycjq+Ew9PPnWht72esWkRvFdMniko2CrCL1vSF9mFz7
DiwilNzZvliKJ8NpfpNx8YwE/oy/nBFH3PRcEaKcACznm8yifFTI0bp7Yt/L69zkD15CkWlcnFHu
k4VkAyzzgBxk+ERhVv+GdcbNzdcOsvnJJFpJptlXPI/7VtFJx65moJT+SRKCwxL7YEf3C4lGAI28
E/hYyUI6FBWK9L2Yh1Ma4TkfGnXOnQ+3v63YmDgROjPMH6NNKEY/wfHJTbiKbvWRCA0Mxm3UXGeF
+Zv1k2w1GG8GlYSZY+yTebjkRUf/4rQ7lCZ/1PfpQsLswsTihy6cwc4lQfOuxFtaEnSivVkFRt3M
DdrGvY+1e46Gm1KJpwr1JLPMsNLj07iJddgce8ag5te04Dxlq2ekj3c2sGuGaDN4uIm4ixpF41ev
Twa2NocGwgdIApLI5JXW8unEVagkaEXV+bqXnrvROg+18rcLz4yQQ7yXaWWREHm8aMWTdTsbj17h
3rh18iW4OV28zwEzTVymX1NdXxka+u5vY1hua/SLxgBq5tffNLfSIHW2vBtkdrPolV8Kh/G+8qOp
uals8d7n1i4jPM9U+ivpbQ8GP82iqwfWnMjKdTb/73mM1DGt8ivh4CXwcCjWRnPllN2RFeoGEeqM
HiJsG3lMrMT8YLAqs7Ai0IwJtORLW9M9L8eLY9GmILY30XUa84qGc4ry3j1G6b4iP28FT0gwc+dc
DiTVTPtV/LacoyP0oBpviSGs1mFXCTItnrV4L+fvonkdl1OiSCh6l9U+kZe4fSWmThoHiV5JplDZ
USV2wTR9y/jZJNonu2+K46zfagshCcdsW6ryFKUjejcyFEAP3gxQJIbr/rh+NByfOR9j+hnV/d7T
P7vmo2yOitWe8b1uHGqxi9cHagAseIX3GhuhQYBX+ikxyOg/DZ4NbBge13X8JYuYh3D02ztewwMV
0aka2HbdH9ikeeKZ6O3TslyK7ODI+JVA2tCd7x2thWutr5VXXVXlBBXjDIFlzWEH7DoUdZBG02EL
1lmmGy79YColb6FkTGqo8k6NY0jB+qFFVAgy5TMCnxNE9TXRgmbnMr1Px59kWK5VC7zvrhAt9hYI
N6YVhA2PPru516hl6Ow6p7bYyjzVHo2iJTsqc7bP+iaJY36stDhKBCpqp7z0BaHtQTo2JPLYN64J
eVb03tOSak9Dph5IEDnlVnVKY75k504/ickvJU+tfTcxqqmtKESOvcimJoYghgyZ3fi9Szu1H4yN
fSLCM2rFNfJAFIiueoxNDAlm3BCV1v5aV97b2qBaNkmH6qUcb1dcI0A8JAn82Zz9H2hUD9/1Zjrr
/72b3b7UP8x0/3e45/6Upqz/Pdn6WFeQrX9tVP/5t/7epdp0qbaBJw0fF64x2NW/C1rmHwZuNdQZ
02GX0l+7VAMRjP5UsLoUMQxv8L90qa7l0cAKZC3D/k96VF14m8H3n00qTK3LT+hZJnqbALDl3/sX
QasROcmIiS5Paa6mMHLJZyK15DUXKKxNZcAirTZoSCvuymh5EslqhKp2f/q1IUMUqNV3ddpTNJKX
TE8rCHQmKwURxkpbXr05A78DEcHO4adGf1csUw7h5NkA8VZ0GPB7HEhq0e8J9zTCfE7uHPIzrVlg
BTGHeV9pHrsb6sEJpTazhEIuiswQ63OZyRtrYAQD2VfZMULBDbrI+IoajYV/0fzcz9T6FXjaLjXM
V7u1JGFdglMEgj8ER/qo+k1i6POQ6vK1IXQPdKOzQqj8zjcaUxwM4T0ChkxH1dXE9Qj5Bgt1Weuh
xpyDfMRmLznavLm6wrzjPNMsCZ9i/6lYDFLxvel7ylQTsKdK4+hEcMon/dfQeMYZLcRlXQTxfKZ3
zCitmeFRx7qzfczS5KLA/4JSZSRBaIzo00G70nvSbeuq+crmQrAQvElPfGmIVV0kO4DO+U6sMVEh
Hf4XA3fd26rHyVtExMmtymOa9aWzA9oqJwDmNGA0GvZdJtwzhIOiASV31WY1wgzP9jVL/z0lybJj
okyEJ0MWrkeyTnI7Lm5aaZFrDfMsXPVbl9N3VhPQYfEh5rl1mhmxHT1cqmE6m79zGB6/mNN9MQuw
JY0aevEq4yi9lRvX0xcIZwKqqtFUD12avWqRfYWWX/jLBDkoKzJ2xhKGS7K4yLS7z8JNkkvKEQmI
qLtEFmEXgVU2fbqs6jktuTp6T2TnUdJDtZr3tjQAvsuC3mdhkAv6Nsf8ZCxmqDtruytS9rBZwId6
YfrDVN337koIV7qsPpagl06kFG7RtVNlxrk1F0DLufZ8XTLwW8dbK2HynVgsjMgpgufVex5sRKre
xKrT6PdjnJwoW0/QEQehWxQOTsbxTE2AireGcJ7RWXR2ssPARdZiZN4PdYGjYWLyMlTap1f/JkP8
3q7MH430xX3pWPLKm7TGF1CF+xhIcVfVXC4gTiqcZk9hJRFmgMWDyNhx3Fsev0LCGim5mccb1dSd
nJxgelLo9BOF10tfabzn6/ijhDHelfqLxjwisKR77zGxothDN/Qyk4pEp2Sr6kRcYMwNZi/NTcvG
ugC0791b4kevTJoAgDQPtbS7mELTAST7M36hF5GML0hsSVg0jBTKvtcwCxbxmdVQ144dPcV9X1CR
EyFWgZZHi/wmcy0KiFQddoUdf6ajCytUrvcyZ3d1VVpHV0UvOhnJUnO90EXu28Ue0XyEI7RHa6hI
3s3ds6tVzMI9vi19tj1SLIkzE3NKUpSLV1cYkLJOAd6Z8LlLMYR90nQQ0+QjQasKvx7s7xadxGc5
1ByAfVcIUgxbjGxpglmzk3CqZpKdluLFXjGGsnrjtlUwQquISn/M+qOMDLHLU2QrLZ8oeeIhPWO/
g3DRVvEwTdSAXdUXV9Ll+XF5JUZl2U+GhVPTtTeVxf503RbQcZ1fCUgi6bNh0TOv3bYSkVag74hF
qez0bejJIXSr6Sgy5gHEf11AW3m0iVH1l6gE3YoN6feCedVKlxCQe1Ydq9V6quA98cXqBX9hgH0Z
J4Yzfe1dj6DcdOlMruq1uyqjdaUIxghaRm6FYgVOaU9UqkvkXtvZTFxXpbONfaiiUCj7p87UTBhz
wa6q9tx79fvsam9ZDieMrBZYwuLllst5SVHdIO9N38zMd4dR474YenIqPfcYN9pusqFs6tzetL/K
DFu9/ZrnGdNPR+uX5CQJzL9Mb72xEmrxwgAdZHbzYuLD8okvsFGRMceWuRXAGPC92kW/60UBLtoQ
XpaXH1HfnpqleR9JZ941rSbDZiZdkuHAW5PLvTdbBdmmRn2coRqIYpZp6EQL20oXcZeq/GZyXAIF
h8emFW9jJizcDsMxtsSv2GWmQoaOt+s16FWQyF9zBuVGF4Zsz0LjJzPpB4yyLpzZAmgqi6LzkQ1Q
jj2OocQYceERb3CbLbI9L/hHgzm1kMe6ttxJLObBxDowX1trl1TJUafDmc/lPMTHdO5s3xjTXyN5
lCDe1ZFPkUyllO5yhE31xxnVKVPcg5m5wLJbfNDxwJGmsT3mmBT9TdbYD3ZJTx71S0LeYH8mYcz0
mT9wx9cWYjHYWEDiTcfRsu0Bysprr8YxwutEKmyZoWzD/O3LEXdobljN0e34oRorerHm2PFrmx+2
dLkJB4YbV27Xk81W7ks9WS9FSwomYtQzWUIegaHxfMrK4j6fixc3ielkpno66e1wicu4OEcWvY+e
M1UaJtIOM0uIk906RN/gMN7Jqv3ILK0lVc9uWOfs6ECknc6EHPlcOofULI/GnN5SUeAngLsJDVK9
gjxyblN3ejIbgln1vmRJydzQ65UmFCZvdjNgZki3mDcjf0f1ljSSNR1f/+RZ2rHUh9M4VkdNH87w
5mmwZNN87PJpDWNPT0EreDEtM1ahWMAQ1RZi2WmbUXEseDZk8kJE2lZLifxU6rgbvZ4JQpsSL65I
SvatEZNo2kYViVb5VRHTdE4ju4dbDmR/aHGhdDSRIk158axMhZqp//DMLsGsAL29pLpZ6wgc3KO1
WxwnsO34qY1xkrvm+i1a1p/3svsYIBeU8MABSZszuse0bBOCTuvk7DbV0WWYHuZD+40UFvtmEd1w
e627fliw2aT4i9dZb4JGyu9UTQiXrfFY5OVMRukib8zB29tDoe71gn4zm+51h8jqZlzzQKTzGOa2
dqsSi9a+qb6GxP6KccGHtSe+mGfYoT1RiW4O8N2IdIOe2WR75bYCrJKP1Io6sltH/dXJmBDWRXRO
4jR/MWoSAatGjtyA8I2dApaktiVva6SsrFMyDvRl/coX22QlGDVPn4zZWfL472tde5wWgij8xsEb
kJXik7N/7y3qWqj+OTdJfqxRjyHKsQs7PC4hcUIYBsb0zbOwD8jMhimv5yvLZb1nxmjTt8r6KVLU
QU6t/Sbw+XEtjduhd25GyqQt3vjC764NJqU99pvmjzcs8oa7YSh/uS1ueDkdtcrN8BE7L9QB4F1L
fD+aEaGpxtGU60OkDVcuBEhAll98Hidk8pwJMW98Wwe2x9x8SY3jYFQrDfH6NnV6ebUsTG20rLiK
U/saVt26qsk37TFDMy1NH3gRrtotZBbH14+YsvXJWdF+R2leu1Wv9unIFGqVXpCN7aGt1wfX9H6r
dqGcluJgi8W6hSUiEYGA5ZxEhn6oLo3Xv7jr/GTZPEY14apJMZ/G+WB3HpGv0a6zxUG65cwhNecg
U+WzlcUs8SsU1ud1PDomjCwJiS1WVSavbeYgKVgWekkcxYdlmh6LNH1PlonHBodu0MX6a4lQtYj+
lxzlxa3nh8wt3BOAyBuQyls/2o9Nnx+xeVascODiBlnajlkyeRNrfB6cEi+BHH65y3CNsh82RLkF
BcnupOwf9GKUfmEuDDZUyIaxal9k600cz3ifnGPiMhXguKq9FkXBFLcWYoahRRGHVfTDOXRnOb/s
TuysyLjNouiAABZ6tvekiHhd5rtojo96N3GqsVRlbH6sCJ4JHdt39M8CNpWRZ33JR0KO2zg62NmN
R4b6aazggCAeurCdvXLnoIqwpau+qdg/QCVcMTAfNCb42mvH1oA7e1X3rH9+l5MiDdP8vQ7ziQxE
MDTjrKXpEV+sB9+cTqEoKi1MjP4rns5jZ6V4ZfaLerQZpU6mvq/QOFa7uzYMPFcrtNSQZ4RzM36W
7snq9B+rNnhOLONl+nMatcrUz8aYgIceRUyz9nVMFmfH9JLvjx4p4bIFPNSAAsxaCyu7PSdKYyrP
0gSHWFkGUi/rQjLzjN1JKi/0WnkfRfXeJpsl7yXx0QbNQcX0L07fPWIZS9aDB6q0DstI6F+/9SbR
CorCaSUJrGs8TtnaC2OKrTJ1DoMWh0VEGQBPRXx+Z93HuBpTgqjHgoqd0ycEh7mLU+IOJ/N3OaEZ
mAahoqnjPjm1sy3GZVW3zcoHctmeBrINfZG7DQsF6xC3i4vRJok5QAiRTfvvSjh7N9PPWU5SuSSu
wycRdtlBOl6vnZf6mh1dscDuptvUik7vcUeKghZJi67VYDx3cTUTleJ+uQNQSLlkpClsSe2eHFys
oXbN89mqHTETtxJo+xjP2sLLb55qXF2TRjB6MqO3kiWas08Ohg9vhCravVKe4pQhqFmuzl3uDHbg
DhmkJQUQL9ZkJ0dVtk9Fn5OLn7dnN5c/qu9OSXylT/FxTSwJcwhbYcXk2w5sF3HcST+0ufWqt5IH
yIV8M/J8XwNSEAeRfzVTdz2shdjDed2ZTv9UVWN/j/mWUJi5Jr65Tp7jlmDn5StOLrjjDka+vjiD
/F0V9i9Vlxfyja+mWt3jC7F3Wus8Rxmw4FgsB5cQABLz7ZeeWa0T6ReieBXuT+LmjF77VN5AsEHk
pvtkRCgj+/KhlVyw7eqSJeGoAKyG0BFd7Od6PtvGaCHs2sRQxvV1F7tfS8sswuSfnmgoE+Xdp278
Yi+WT7aIhacwSXYjaf8IEqxYtNRK/lV300X5SkLCZzJHN5VWHXgFjmwXYyjcueF/sXcmy5EjWZb9
lfqARggUgEKBTS9sHkjjPPkGQifdMc8zvr6PRlSku0dVZkmIdC+qpRa5CEmnGY0GKN5w77lFPTww
ArgOJwQ5fUmX05yG0um2QeXe4RFkJ7WKxvgrd76gB/TJkxkutele01tNZ6RB2g3Rgm2czDW0G44t
SuWejT6epm9opqi4635tpe6+npqHwbC/NRzHbM0vSd5975folDRtcqiFsaxQXDzMufjWsaELYrEd
RfTk2FV5COlMwBUle4CtPHKq+TC2tQFCRgfzTNkT4xGmww7eKcpXlmdk7MmB3cEsCAykukb2+pSl
2qIxeVD3C3vjiz7ctWGLzCGheMjdmHstc8g4yczD719ilLvP1Zg8i3HhO48fRT2hxfVMyaFCSkBf
sv9E/l9jhJiZFngmusmxOxfd8BzhHIKwR7iMNECzN0Fwz17S43AcCECA/SvHcUPQodQkoXiNM3rX
Nv0mTnMCvTI//C/y1H/lIv0xhcOmDuIJLS87yb9M4ZzCTRvHRG0t6Q381FpJ++X/1YT2vx/dTDJS
/edSIm07OL8XP89of4iJ+Mk/x7Tub5YjbdOEgIPmU/EV/Dmmlb85TGmlDwPDUrbDl/enmMj6TSEY
4gszHQCKrsnL/fAdoDvCFYEngdkvF93fGdQiWvplTqvFREyK8Bs4yFF1hvJfjAdo5nMnqtIS22JL
QTsJc9M2aHB8GFVrB0rHvmmQFPuGsNCAV+kWvmt4ytxC0F4s37IE9nMx/g4oKG4LUXnpKnZTQaXF
rZjI3F57PouQ2AYoUvTNG8AtYsK7Zr/EORLzJW92pZtBOlDtW8OqgwVbuKuJA9iOdnhbZYgV/KiF
c8C6M3e9xzThtrHjeCfm6ByZ466Os+LUmUXNg37pD3VmD3s7Ns5IPb92iWXhMXB3ZjOxcInUEx4J
aENYotm8i+ecmxB/dqBYjUqGZTxFC+kifrFIZ/DrjJkqCVBmVm4dn/FVKDJn74f0JfOE6ignl2FT
zhD5bcMvkZ9gEijG8mRXLNnlCEM7sVxcCmqh8J+jlzBngoDXrL2ppKzZxvTPg+me2nJ4jAxxFRt5
gZ3UYy6Wju9jZaXboZzJEentJ2WOkKnDvCflqFEbF1fQ2sHnsJ36Wjwuo38Z/GVbUFmrLvysx+kY
NQaI00gNq0qm88nUiTtRizDMbZZhE+Z1fEYThjnBge1s4xyf6ujV9L3P3E3d57mYbkcyuZSaCWdU
SbonF4ox1yStTczQfhWEDVgrJqBbWQh/A2Td2EB0YAPmlduW1daqt7JLqLkShVPeVeHymprZ7852
b1MX9bjPWwJLRPGlJ79q5ZjWVc44e9XZ1mNSL/oBVRQrCn18vziztmU53lYFA4RIYEyH7nRlF4a1
6wYjuZu77qkuEO3aeFq0uuADretVFKirafaSk+mXH35IZ0Zi2l5V4SdNwzEeCNfqrfm6LceZJr2i
wxzDknlTFq96Uii2/lDwkO+uWgoZCuDSvygXimVtohFixcK35JLE5jsOMUU5oAq4iq9GPzW7qUf4
HcDIWCOjfhFEaPFLzzdOVwY85tSwrZKy2RY4rAlAbvRjwbkZZn9gr4cZ0Z3ib63jHwvMAicn4W+D
RZr9/7wwyu/McJcS/qODnUAK+ejcowV7X+T18zn0km5dTOZX4XjVtvHmm6FItlaU3k5MlVG2s9XI
DLzAKc/S6Xvs6lGNLU18k8WeuGs2KJPxQXR1yax3gfO7wdEL9ehRLg7s8qy6H0rmjk00fWZmvRaL
vrZHltFCezQ7We48eNHAQUo0MviCqmjc1NX0xu/lrTK3zGiNqf4MX5Xb0LSYL9AxPETV4pH3s8SH
xgK8ZC0hWA5a6O2kLVD98ty28kIwsLz2pvmLlQ0HKGPRWlpMlErFNC4U+XCObazikwnCT43RNbsE
tON99kgk/CVl8MUcDBldlsoFr51/5bYFNP3C/J62yWOKBJkK3HiB9Pc+hCiTFntigRI6Hym6l2M9
GPm+4t7bcJOb3GvDjIzLIPll7ifw9m5OONc4vw6jdagy8xJ78Usb0FNmyg6/9mUGYZ0SuExa85DY
AXwyKlkO0YuI8keC5zzgZwIBAruEKVx2YmGsOkig3b1K100t7vMay5GTGe77YJIJsHAGl4HV45SW
N1z1l44zZxXH9tmdOJkYxbDFCPC3+DF2z3RBQmdlMjmN5ihupjkngGsWR8cr3hfwBmIyPP7ecDTa
Nn0IcNpaSXDr5CkmzMJ6blO0x81oMhTomJqjRjPWY0XMB5yJ7yKXdBNu/CE7FBQegmeJPUAJceeW
Y3EVLikEJzkSCbIsG6/3g5Utg3RLmhavNNKEmCXCNl4FBEUZXhP0xBbfF1+HsWHxY9/2PcA++FRt
bZlYp2dWGnZ9z/QSoFrBmNfPe6BxEWJBVB1Apkb30NvzsUhYV/Gi4dqT2Adml/lzxUIxqb03xvfu
SiFcQoiR76ZgwUeU+8XZFuW3OWGxUxBWVllTuk8D2r8SJUhk+J/S799xDx6qXJ56FTKUb/JdgjY8
htiAqEXuDQWJD2cQUlJEHHH3zIzeAnbifZUjURa19aUNUnYYnZdeitZ5CVzrtAj25bJADOsOipLW
zh+tykXuDshvbnNvy8lfMUos7gPkum05P6N2TNa+OZXXziJv+fM/x0i7kMtF2FsMfLSNnXjbhJpv
7bg5KzaVcVUM8db2WfI08XyrGt4lcGPsWc38FIUozywd2iByccJ1hrggyPINYThXWLW+kmt7jatl
k3mDtsWYIdY/R6x90Ei43iodFldd/Lg8oe1VX9yx/loukbfteCYTbhV/byLOvHFkSFVoB4RZkVIU
SHESUE62g57XR1HQbvze7c5+jZhQBHaKm4orn0XlQ7hYigmz4T16OQOctNUTS6UXBTOrTsBgxZbQ
vWZd2EWxieLuMwqZzJdN8WK2rGGopy9zlbymbfw9c5uLz+5Qg+MYF2VMR3s+6m4miurvF8T/bUrd
P0QFHjXpP69zsdYiRfhFNP/jx/4scr3fPGULClmNpcfV86PIhbCFf5fniC+Rv3s/ilwAvhS2tufb
Nswri4XZP4pcYWlgl86TFZ7Nm6Fg+BsAX+VoiNsPMYIGsDkggoF1IXsQxCNp9+3H+31chPB+xf9y
cosTSZMHJglNpBhg5LnKnDfWnNWnOFwQgmW2jXtLmpWx9fuQ5C9jgL0g46fWzt+I6fHRZje4Mlvj
DT2GxITZdCAKqxeZT09zs5ztgFVJDgyRm3Da2HUDKwi36sqzktsoLPd1Bpknj/J427mBzfkjyfFY
grcMfw26K26whXU+82+Est7MorD37KduqneZa4YswwgnK5yU/aHVXMLWeoyk+dYNPhzSIGeU0Q2r
oeeJ3KikePMpFNYeIblnlZhMnMoiXyW9+5m4yOnd2XB1jVOr6wIm6dpURMBYOcKsCZ0smx8vcW5V
XV65DbuXsuuoKlJHbsE4IUGlRLbia1NBcBJWdDWN3bIhwsLcEv7KemGGMztW176V3yah+VFHBswW
uzu0SfaeA4bB5hYgaAfJQO8L96EYzEPslDsrZXTZpJjhgI4RxTaNM7f6aG7DoKdumXNtmmXC3goU
EdLbk9bKnk+NHRB945Ka0jxMjRFtZ5Efs4mzRvYIIRl73LEdMDdLEL4ZGAhZOTPjHK2E3oa0BuyO
JsAdmyzG0nG/oTE5DGbxOLSgY2L2NUY8djeuF5VbwblGveuF+0oM2CIGigrF7YC4EMphonmHEeDD
GT4mWXKwENlDgEXkpBUrpK05y/XhFJXWJdUURcQd3Qnq18BXCmOxmJFJm8xmGNL5pxy24rbQTEbc
p4b+pHAaNbGRafcFHYvm0cIM+p3q2NhfFs15rDXxMeKyTqDLbCYN3NRUyBaaaAImsm3hhSltoQYg
uWiSZBjaKbJt6v4mgjNpUtXslhoPdqsplKgx8T3ZfgoRSHybNauyoorblZpfSQZueB1rpqUAbjlo
ymXc6qVLG3drU8DADF1omCR12OT6Fm+MqYdvk2Zm5pqeGWgmFic7C2dHsFeEsTlq2maiuZtji8O4
0izORFM5DcKMBzJwdkAleRIKC5FZgBHD9AtBuTfRNmrGZ5979znUnwWvF+uAmQFs0z1aWf9UakIo
og88Zpoamlcy27aARDtNFLVbfJPNH5RRQEF+VrBD1AxSZA4nYADGda75pI5vtud2wOdS4fLQDFPq
ob2lyhe37sHC9/Jh5jkbxsTRSraYVK+kl81IimyNR500KFVoZCrXH/PA3zGqGqjqWYxxjVBNG7/N
jY1wAK+2HuN5LBcmE9XoiN6uxVAKrFVqbGuU4m+kqrsJlXUpIbs2GvE6ekO48dkdIx9aVhhqUEyo
i5+M35qgfRgcu99MQYT5zqFbTecivyv9+XrKc7H3xoylqw9Go5cFKJComNdR0Z6UqNm/ofg5MoFg
5RIIb82KMjtVVrdcqTSD8WcY/mFwfGc7NUt8s1iG2tVo6ftRPAOEP2f58MlQ6jGW3xN3vlcqvqJB
QqA9AA92arEGKgd8p0YHNEM6vHVTHATSi/Ita3/+ne/deIoE4Vj5xdGVUHU7gRcda3P8kmTZhZ95
X+zUQ6hl18e0H/JdQ54UkJnmLWZHugapleu9FM2XJA9siIdHTxU2sSzGmyrb61zSw+Q5UVP4quOd
K3TxZzbk4RTd48ijhMcEQ9nQ7K8HCz174ozfi8b6Iir/aC3T5zzSXzed/KjkyJHvUXz5+gsN5njf
sjbBqWFs2NYeIxxFdYLoOcPXuUL/S5jTkqN6r8J1ufRQBvznoYbNPEdZvUeORHzYTN3jZMV1OsV3
wsjOKosuto+IySYr/Lgsy0uAqJhvk3WhIbwzjtJHg3lkM1KFDl575XTWg7KB8LhC0L9X17VfmNdB
sdxEAL3OEUFZo24rwmm8Nyw3uRrQT63NYX4Y2+IFVQej1nzS7zCw4sPaAA6RqACPa/Q+rpDGthMe
UTQbDpg/1PSsDbtHc6qbK854C83IgIFDYaFl6nqoI4slc1g+Vnle3U3c9VWCuWogB4nMSrmZivkm
yysuOwRhUBWINB9ksC0ri4eEaA/1UAKQiUmhxsJNzzx+QTiTrULpDlCf5z2pdph/+xm7RbAErL2B
Y7KuqFBQJI2zk4XESJbbr86sNgP7Yj/iG3PIp7zyY7LQYpwnPA149HhVn8HSwWzfZ3ZJO+zJx3gA
Lie96iXqR/+wpNrtYFkby2YZb6jWW4+2ppzPLhrFUOuma/lQ4orH/g5/ol78PcMQF08OFKQiU2o3
8OxcVXH+MhfEpQOb+SZ7VCpG3mToO7hEHHQP26pmemJyZCHcP5iE+O1jBDBzlxRb32ut8+TED2aL
QrIboCqlWpDTGSaD5DjMMa+TyJsNDvM8N6+3cWSekpJVDUQDb98jRb5SyCT0pfo4e+5wRaf5GZkA
jWLy3PfYh14iIjHXaQ9MPLHIfCRO46pvTUjwUWh9x8eGZb+qWNNllso+bBUMICezqrmdwSIgvgqB
O/FvZ3loM9OhzkoMbv7G7MxpCx+AZseCbnMux8oeNkSokwbej8TiAgMzgXk1pv3NbgRA5r5FraCJ
X3Zq3OWaAQYS642bBGCC5oOlMbHu9iTf0jBmRQVErAlqhjLAIWGLhwzyMMmRxve42AHnRv1l0Cyy
wgBsFoAn8zWnjLjd29D17xrGHSyo0aDV8ikHbWa3BPbkeXYPOvNEThgckDI3UcxDRJOajdaTlbSq
IwRzCDJCGmOdScJ8CCGA+YLUDMuB3fp3RP2mLEahr3GBB7sixO9OmQf8QlPaANDMqxJw2zTG7xn8
L1MT3WzQblYRfMKAuxCc8EEAyXkCAScX/8nVTDiikr4mi/+MpnQ5xH62ByxF6mVGrBD4BiTmSA1X
dNHPgR/sSAG8d+WRs5I12VVgMUQRlE5xbaWbUo17j2vLMUzGl+SUCcUcLtRsux7GHZ77fCnB0wG/
E/2NsZzbPMYlBxqPXi08uGyyeVu4eciV3mxN0htNljBucd2A2Cv5yjoX1ZLfXGL7KPjTDZgsfJ63
uQb0GS8WD26luX1qguBHO3xgI7lvQftRH20CzfoLlvK5c6D/dSEcwHKZmLhqNiAafDpLzQs0Cnnl
a4JgJYe3STMF7ST4LjRlEJ6YBDpIHD0Tg4h6ZCr50v2wDU6O3pH2bvEi/fZl1jjDIXDJJreIZCjm
d1+0z5U33g8agahgIbZTjz+kQtSVDrSipkGgKuTE3jfQlDk8GQVQRT8Br9iaFowLjVxEZ4pQOQTD
6CjrNpX9odGARlVMqEg1tNFCxleNbfKlDfNLXLrBLUQR+hGXKVeuEZCTTPYBTEjgVFiRPPsD9R+3
RgU4krYGhKSGSfYaK2lqwKSMIDfaGjopYrQOGkNpDDg+LNldDx50GQGrEm30B6EdNxWioitG+HoU
uGQhA47cYT0F7nJhgWZrACY5wQh9oAGK+ZG18A37+ttZ2Xu/ZoITWJKYUSiapsZp1nA1KX6uS3Dh
7H3do6vRmzYMzv9bLfbPYv///d/IEqAAt8CY+ldt+GP8rfiPmKt//OCfjbj7m/Ici7UOvgDicuip
f2ybPCGVhCgkHPeXRtz8DfCUafr4yn1bYNH70Yibv/Gb8VpKmOyj+N/facThWP2lEccBbyvb5gUF
Em/b066Bnxpx0kKpUlMH3YTpHccqexdR904oQnWfOQobEcwShp9Bep/2VsgCmJsO353JrCY2LvGC
CAZVLYEVRvrm10YltoV+Dvu5Agjr9GH63OGchQJVOcumTmpbIuMe2/sMpMgar0K76QE+IO+wyF3t
GyxJeBQ2ePmXFYcZwJew8W5y6tYNE6ly7Qs3YoXOIEDkwV0/2jynijo9TLZNEKc/vXThgI8qspAi
DKyau+aY06GupAIINSS7kJyBbUNveGyJ01zFJZr8lt1yg9EdJu7Rg/hLII19JDgeNHSY7HujLPeV
EeFfrR9jJ3k0nOQYWmyeJ1gmuFWhxxnTQWrnWtYC1bVtZtNA/3AiPOZRvWVP8BEFLHrdCZ9/WZFs
QTbPDZwVY92PwdlLKhucq/Xe+cF1wr5tUb29ydT86ljg6iqfUkGE8QYjP6Zusiag68RrGQ6nIDQX
rbf/wnD+mAcOWt6hrFauS/J56RFzR1TnqlPjxRL+qyMb3t0yvyD8GFG7pBJiT3YXRRj3rMi+K2Lk
AR0TkNkZelCBhAHICAXSnGNS8PISAB/8GkDmabN1wOHUU3RYJoafoUmAR8H+EdlMbRC64UJAq3lo
+njICq/WCLDezDaMlpKSDcPMcMOQTvaEcsDmidHO9l1L1YsbkYfDA0pUXUPVfpPcL4HUATR56651
U7/LvOwyyNi9l00JSHuMrxflddiQR2PT475Wi1/sRcm+CFmjfQeMrNkZoomfgV/zmqGovrpGLtFv
ev2bKCbQCoYldgS94IQeMeAxINE1H6qjcU39wEOhbMKjIZV3CYvgQEQEvhkLz+BiDYDdJOyWSlmk
MBZS3Hm5SfEhwhKtnZ/dMjsasm0/QJbMuYYOrhGJZtvP/LeslHlMwrB6GznPX0nXul5Kr6PJ97Ci
oRZl8xPj1tiaElAhCPLwkCKd+5JkGDpWyrW2ySiSzd8/wv8/I5D8MRTVC/R/Pkt9bN7/Tfe/P4sG
fvzcjzPcNaWrsFDZrvw98+zHGe6TbGYy8vgLqVCYv+HB0hBDzldpIxr4xxnu/yY5a6UP1+DfZ7B/
6wwXfx2mkpFhKZ47xE3BLPT1rPfnM9wpyzhp8O4cQmRN91ZN7kyMQ4uy+K3qyYP93T0/I+9xMGgJ
zPuq8xHTJ8wP7+ogZBnbFeJz1MV8V2mxv0IebHeFqwvc4TimQq5rsWAt5jTxv1O0YvEX7VhtyQWR
MVuWsgJTACmJYaHBDc0ySbD+z23LK4nodeRD4UeK9WAWQC/AXsC+1DPxcVOjQTFJLO6/rIGCah7Z
Vn+i3dwmCuSPGRE+kPWPUY16WBZsKGXP4cazE5FS6nmHwu6/9jnGK7ch1bsI1vOUPzs9kFaXec9G
dukbzjbyZu3MvM68uTuhu7aOjmWIbVt2PhFigXec0AvGsLwT7AIMny464fAKrtW0H6zmGI4NLv6l
uS2N/DZMMWLWCsLr3CZb4P2ProA4OtiKSVFib1HgMiYVpf0AmPe2MlAFYMyqdoa0nBuRk79bJ00I
PwMLKvFjiXpp5BAdMOh3Gxfw91OT+whlGyvHL8QaHZl2F3pfY+FX53qpw5ekG5ZPUwUdzt3BaZgj
5DaQkahxvsFg6ZDp2e1emVl9O+BpfXNGMKsqQVNdcEBfN8q+6pr2A3dBsf6f84N7lO0giNF/cX5E
/fu/PUa6FDz03/6TU4Sf/vMU8SjdeDkSdhwF9JQD4c9TRP1mChye3MjMscgv+YfuSFA9IklSvm2R
ueib2lP677ojIVnJOBIdmeT/EgpK6t9YyTiCV/ppJYMyTfh6VUQqAEIgfKzUvr+eItOQhYgjj3O9
AF0O8ePDep6RxaXGoYEbsi6n9jAO0+2QzMMtMr8BoBCZfkwKNTITYW/XwOz2cg6DgZUPqADSFxgc
+rt88eESNPC6Gea9pVlfbQ3iwXDCm8HaCq18F8Xx91g5D6Gy509gMPbGjRSJdQkeE8CP1SZUGdXC
SDkxT9Y9+thkXWcLKnemSbDbyPCzAGhDRAFmIJmulkH4BBkm2y5Bcd/HwBYcGVuP9qJOkcoIBpux
AMVRctNGxM2h22VmNkFJW7IR2L4RIg2G/cemnnh2Cwlh6RjiMgjDeZiygborhjc0IG050EqShjBU
r4NLGxvl6LBmZoFYwPt0t0j1ytwaU2w1Psh5ue0imJBeTZzJApf6GPdltc9msU0T0uUnNrf09WxT
EiLpMW1iCqnDz6LOXuQUn2VJvVUqWmyEi/u6Bhs6d6SvhoN5snNHnYtmuY6cuXbP82TvU5s1sili
dUq78SEhf8vP8npjFuWxbUH0eSJgBx/PAKIcfp8yRgnbUaascqmCizsg6CXaAiFTUTyTFX62M702
tjDWxNZD0iTTPqpHvkTB9G2c+4ix4DJAmU9qfL6sGaPqULDKwNxbi+ItzyQdeNQL5svG2LsnLFGd
9UYnLMmlQQ+xmqLxTpbDgwWOep06/lPINvCgYlx7Rh5j2W065jLGsqtisN5hz7EXM9Jch+jXwMdE
27xXd2VO1oILHq7DiWlF4f3iD805KK3Xsgrxzz04jO6Y7gw3yF78fR1zYbb5MB1EUC4rhTYap27l
3BIkGfL5EC+IsD8NCRAAmVnJGXMWEv4lOgSkQazHov0kic/TyoccwqVwwXnbn2z4l0NZ4i/Aw0Ko
iNVhnG3FyQxz9cVp4VZGfs2ef7DurDlnpMXEecRcilSDRaareSV+3wJdifuvQ+KPW3yTtAKymQ6d
kzxF/owGYwnvGBC8Bja7I1j+YILYtg2NuKs8h+gxJEewHQBKma4ITpNpXDK2em7V52iO3WXn2Mlr
txQEvVXhl8CU6MaEnQNcYn6bI9PB+6VZ/QTrMuqri5UHTKfL5uPMP72KCpwp2uu9DP1GOdz/Zl1c
6qk4WYLZLeKz09xyXWX9pye8L2Njofg37Fv+evXKrKDJ0jAlpFwAYcyGC+NKftnWPw9RfD0ww97Y
0N9XdL/13vDmqxDV2209psZagSo7xGkIrzMHTFuYRg2ACvbwylnYEbaV9Smc+Gum3A7ZQYCmrbgW
TvUlEc7ZHXq55+8Kc2LuLhNrotXE9KVjVL6xWxSCuDYJusiWBweN+tpneFWreAN017oJnddG3sbM
R7eqvq7mvT1Y39q8/q66sAbReR3PX70qt4HtQy+DiKIJb/k35WLbzuNDVSGFrmPjoxKY2F2iD+XR
LQ8p0RDnqYy/pqX/MTjfFObHEQttn15Dky1RsIlzdYmi+DPtaSmJZYBuKM65e/Kr7sbLajYxnbpP
80Wx8h2eXMUEtscrGivx7laS32SwzgrHERfiWi0FJ5aGwiXioUowdI5IDMFQBa9BXZTnmSlkNt8m
CDxz6BXz8tVc2ouGHC/2d5ByD7XX0HG5nFXmhF1drVpfdDsVp49zc1W39hU0ybdmSb/QEd/PCdNo
o8L63MWIVIjRXMiSYALfTVcywmQWl8NmkOLNdfJvKPqKA2QiLiz27HUHt3SySIVZ+WYz4sOF6Cvj
4eIX+UPozOdJkRdFqOAlHkDpqX4aNrbJWLZ0TvHiZVtGebgYGTByCdXHFn/0vTKbe38xyZoUe2An
pCy1zl3agohssvyaB5LaKuA193ElCQqYm32r+vbRq5EIDQZ5D2SpAN7os68uVN8N9xTCw5p0hjBD
7mO49rjNnPA1YwRRhPZVZVBVOot7/J8a6/caS2Pc/3mNddeDkv83YCL/sbzSP/ijvGKBxpPKp1xi
J/STrFtB3wC/4fk69A8wx8/llekqSfAyDHqta+GH/iyvnN/o7LQYBmwHxREzuL9RXvE6PxVX6F0o
qFxXp9rx6zmoz38trkLQCWKJZ3lUTMjX5MC+eQmKRP7t3054/ss7MW/8uYxzgbMFRdHLI08K1l1s
4Ax/HdR/aKqY1v7nEdz/+edxLeWaNMT0ub++S6UM0ld6Po83au9tljxRN9WazDqsfvqqb//QBP0c
9q1/31+UQnwez3awmyiPfhHh0S+fBzu7VbFhJCwqZcncJy92buz/9VvYv5a+f3w7HqNyGnzJI/av
nwbunxO1uSOPhlF/dfDPrfN48ZHN00hiq+s2FQ8MC2Xc1eTiWcFt/5yJ5HbuymU98btv3RjRPeLz
GuhV8TFjyhQzIzMRlVdhoa4MP34H87mVJJ4USbt3zR6MgtXSbrNmIRLv4pfjy8hKcM33d+hRD+7+
9Uf865hXX3+YCV06CCRclPq//hUpAGuiaXnq4HL91rTDc0VuZ4BcHWsBpSjZX6umE0//+k1//7v9
9bvzbYbflonjgjnJr++KKArrWmRAeOJTqZjMRKIGYqkp+2eZB9UqGr6MtbzKWXVbdfS3r1GuGZPE
eVDWhEiov9wJ7ZzY7ZAPzPtg1QslT4bF1l3+F++ibKIvfrpCdeOEaUMoR9gW4fau+5dPCXvAcvKl
X45TN8Ib6221TVXy4Dszvcrosv+Pi+XsV0Fy0ymDNXkSXaupJF4lmJEaSXjLTkX/Mi/21ZSV6JhR
guAzhXQOUWEYWkwIhbVBnxGuW6PDbd74iJkdUF2tz+K8QC977fbIOIBeOWSj5MTusH8qLfyjzkcM
U2oVxciGJfBZyVvtTGQdx87vxSMsT+uQ1fm1k5js6qqxPgnIn5QXBcIjY5+19jlOuhOprDdhYB9T
vHGtt0HAFZBJNov0Ka+Haz8qGbFo9Ar9R1DswlGRZZhS1JWgF1uzNDa5V+JYMB8rI3vuuyolc6w5
R6XxAOKKdSjCwL0Th3cyomchcvbG09HqKQT4tWqIVcIR98IQ3944bf+VaIppGxtBRCW7GCtQEpBr
a627ZYaOFtxKXwaYQdeRzbqb8dDJJzxrB0Eg2zSmahAktVyOhcG+OJTvzgh1Mm+XkWE+knhlLa9F
jLpwzKkvipL0KLc9RbP3wYiZ+KMSv7Wdn2BUXKBEy3VUgh0bO+uZVSNMt3CIiKRAeNgoebEUFsHA
rd9R4FE8L0c2BK9T0V9yI64PKdKlVeBARa3Z+FYOYEYmv6+9l6iNiffinFfOOoNNajviUxE80Q7I
sMJwfvJkfR9SrUWL+eRUtYavlOthjup1byynAc/4xnRqi0VflGxiRdyAa+fAODv2m4osRySD49KJ
LST2Y6fsZluZ4Fs9PJd2XJ/jQn4Ohv/QtiStl138PuMmWuUTwAZMN85hnNQhMrl7YwtGGloPdsmB
yWLCSr4RRtTsp242rpKFpEbgh8LZ4MNBxpNoDQq89HgOv48ynw8GeZT3KdJP9PCYOreWT8qw3TTJ
3uFMdbfw5uuv3B2QJ0wEFBwWAIko3b6TPLVnnHlMZwRh4fyh8v5MFti3dGjtXWmSzLCEy772h6OL
xXQVYDZcyYQsA7+/s5L4PPZlvRn7qIZKaQKG4hG2Cl0FComeq+hrRDrWpknte3wABwuIhhXXb2Vb
Yf3n3SIKCFQiPAdYY+iWctgJb27W+TQk10p5Yl1iDt7QhQ9PDrK6VzG0zD1qJnaRTain9KGzq8q6
5X194LbTlYhCdbad8WFY+uRgBHhGPQPNfylODrj41UAW9rtMbeeGuWq6q1X1fXADMr4nNCKrqjHe
YokGD2iFc6ImfUIXmzAI0YhLFYxrN8kk4Sfz12QYXtHM5JgqVLY3AIXduLCrkWgGl3ZwL1PEpphq
l3WcuO2dKj47cRCvs7i6gPskk9EDgio4RbYwbN5SPc4p9GAHmLQPYpiecdRjH6UHQCzQYV5MKNLj
hnZ2gie2CqZu2DVGPtyO43BbME0yyo4leeYFhyUWd3ESn3DD9+SqEYYy6/q5ZaOEZes2p7DOKbAZ
D43bSNfcja6+ha7Dla7IBaV5YLjBetTVuq/rdg9Y2KNVNA0OV/lhwAtgiUmdX1Pwm9qH3tACLHic
Nx1NgTTmczFX953uFpa8OgrdP5S6k0h0T1HTXDg0GZ7uNmJ01OuBBiQbMNOSvvHdy4E5O8jZmxCc
VpEAbe7XS4jLOSKcdezXE7jecrGOg7WP7OTIMN1e8pNhmHAKl9c5hYhpv4f9uU+GPZ0qkmMnuXb1
OSyXR2EViBVRLrmMMtJXCFdXxowYFKdNsnF6rXxYp0S9cs4A7PZX/Yi8LQCvZaREwrR7+tiVZxPm
6vb7zpqORvUBC+MGnUaCS5iE4nolGKClV2Kqv+cm83h7JLOsU7u5dJuVKbttqA9Oh0yxufE+pgiw
myFfXCbQcJeZy5gGViGveak5IN2sfZ/n/8PemSw5jmRL9lfqB1BiGA3YciadTp+H8A3ER8yDAYbx
6/sg66W8rKyuFKlFL1qk1pkR7mSQsGt6VY9GH1X4Plf8crPGtyamBzR42w3u/KZ5nkmsAJxecli7
LnOuRFWdCOTczGI95eNzmLjPOoPURLRondXuGdvqC3SEa5Xx/wfVrlE2hrhQntIWj4vmWdeIod1P
5CSxXIBTz+VeB8abmxvfWqkDKd+tSH1aOV86WDgluFvtHzhiZO0cQ6+j3N4O1mVKS0X/GEmgxJVH
V5CLL8wcr3CmXyMQQs6DEZWbH0GT+ThIvT1hnHmDBGHuI+lgL21m6tOs7i7R/Hp+2x+lISl7bLE4
Y1EcMfFU5yLvPb4o0QANTizeUNjeoFJjFBb96NTILJUJ2SyEjbexbXnVmWW3a/3gxFLe2bEAuvM8
wB5pb5lk1hVw9hxxKBmrk4MYcU7zrrxTlWahOsQ81yz3w9C9XqsMNjoQCSL14EK7MLjqehSs0bMu
Lg2W1dC+9oZ57Gl/g7LO134046/E51OcWcOj41beChjtztON2E4JyaHBHog+4YIu/fhzCoMnt41e
xQDkXofxlzvMFx1R1WeX9zTsRGvg6MWmKdytJXKc6mn1PEj8k/hrxLqWxcdEXA1Ha75WqhsYpcis
KaFoy7PqfG8J793m5LcjB4nCxRoVPbluKjaNr2BOzBwcLQnEwi7PzIOrAIyX/a2szwQPe1tjoq/D
G+w5h0TcT3Wzxe+zzqXYaKenKPALO+JDDN6Mv+g0etW+aZ6C7Mt3v6mnmi3MZH1c3syj85H52SmH
vGbHVbeJ42cwogZQ+7DI9mWoNt6S1CW5DxEUX9NqCRCmnznLr3mCutXunWJrFzcEb7djFL2a1ftg
WGvPr4F683AV/GcrNO+ABX1PVnxJFCZYpYFOzSc96WNVtksgIV1R2uXyTIoeqLsso1NiOuAIEVwg
nVaxuc4dMODUYqQB3FJHnG3VbU2yVbUMdqpjNCJKu0qmNyc3SUU66j0y7WFTLjmfoss+A1W9M4bA
dJjjHIwap3vEho74Us8py2IsxprCNUVGW5yNt4nFICAlHoaU0NU4qG6nnCi+MQcTooh510w9H4gK
EzkFiCMw7+LJr0jpRfk9GLVjFZCu7dUyRtnJ3qNvxurDnyhLdklZ3hXteI5bB9+WU0IZwQWCwhWe
sCYyByVUl8C0/OkN5dxkdqLxYcLHAzcmd9om5hy4RXlKkomGEvlCe4i3taaMcIGAFZD5NkBd9v6B
0T8LQBC7MEjMDSr2DTcWrCsggTaz370GEya8ItDBD6MMEPsIijszBAZw2ZkE9xJJFDW+SCjgdIzl
OOMA7xEJpn6EfzM7wDwSErKA2bxc9FinFLV5jmf0NZGNJ/CW3cmeuAU1fOV5kENPGz3v0cDKiXMf
N/wkgwdbui9+lJ5zePJman/08JRDe9w6Ax8E5cgtA919ZfIq89IQn2YmrN3cjeMGo0vLMOTnh98u
dv8PILD/n+Wu5F/WGp7fi7+BZYv+VYZa/twfZCjAAtwI6S10uA7+ccuH+BSgmCwBqz+2GpKuQp0S
kn0eVjHMAchDv8tQJtoVISn2gw7klMCy/hMZCtfZP11W6UzkJy85LhdNy5LoW/98JW9YMIx5ayVH
5Ss6fFzrLmy87zqOJir2akahylOHwU2zNUvj6Ab0T7kZ8/TRbwHuQXVBrp2wEoZIHUYQ3WhMSvuB
SOu20J7+MOku2qbp3F25ITg2nVAd0DpR9VSrcGJhjU/ay3N5FgW1u5SsQWxEesC3Tf25nl3I4vgY
x1KD2w7Exakahyc8EeUxMDcNHL3EnpMTj2tiIZm84KNhOlUtBxh8sZVb58mlrXPqq8eqfgq5UnP7
nra1zWTKbYDmisz5iHvAdGPuPXBFPDrlQhpQfoU1QT/1afOLqXOxt8ILFfIqKIhajn3x5ib8ZURy
wPRQZEyVhf6EMsBKSJhcpUY86/QTso0zYT+NXQddgfsEZgvrc/ZZ0I0K5AzNis6+F8gcES9sLV1M
Xb4qXkVfE5jJGh7ss/OeZWV8cAbvKjWIAE9iPIyZ/QEswN+A0uJ3pdklS0DquZXtU+lbQIBMrPsi
Sl7Dsb3UZvyS6dnnwh88KcC0L4NPLyPlOd69YJsQpuoRdvVETpwwVGR2GPAH9jhUk5O1c1S8syQ0
+6IO+7XdMERaafvmWNV0mMPm1tHRC3tfvBj49V7pQ3oNNQE4/FTVrg789KituqRgY0lu5DTCeHk5
n9Hviu9K5P2usB31IDtZYtNQF67LvEVcey6CYXFDOoudQysejIzxk3ZWWHr0AACF9Cl4UDfarl9t
zuKume2d1J7YOqmKNwNrqg3RHufOEOoEyN2iTl0+cV8HHWC0HrddV26nPodoGEQ/tkGjoJ17XDTL
0bselJXseGV7iBbFpqNwa5uiFm3GqJi2k0USG1N6tRe22WyEnf60tWDppGu5NkX9MNrhnV9TJQu+
KuDT92KZyt04uINdWpTHPqu2ySy3psQHBr3Pww60jUYifAxaausYNN5SSbnrR4uFS34fmOGPTN3g
3KvhPuooQSsa60zdAF5pLmWWWbBnFt3t6Jb3UtWsdAwqYyxt38azntd+mTLjLtni0tVvVUqKOeZt
2pVe+ejY7blMkydwEcV6jlN4/KI7U6cAPMN8G0tAI34SkK4KLm3Vsu4fwy/MouWFNezS88hBOUkg
8sUYlKxmM289647mLgOsSAY7yamtx7Gb9mGHR9CLUgLLeX5kJ3ifKO8ISuEeEtI3/RRMHr0L67a4
2KN9bRfuLbgvb2UV8sarhFjLcL416vTkKaS0oqzgDiUuO3FmBpJE7j6O1FdnIGg5kZsd7LK40Dx8
OwreYFL6U9Tjex4ZifDJUUD3YXT6wsb6B5chr8BKUvbz5ntQcvPIJK3Yg3nP2WlBLjN3I64n9mVY
jjKuqb3T3ja9+rCU9WCgJK4GM7wJmZodnkAaKKmAFATLzzvxgTklAnePG9500jpWDZg4j+3fVgv5
4+nu1RZDQxd1/YusLkS+anaPlQF4RHItmMpA04jOexhNdb3jUXJXV/KsGjgdFJ48i6B/sfnX6GIT
lFMYfVZLXWs4zvW+mssz/lNKlZwELFdm7ewixaig+p8GXvee5qRzIHjQQnD5Gcso3GUOlRwEyAgK
uT0zX+Qz/4ayAVktP1NtvBnIZXtr7MwVTOVnony7mSNk7RvDzbRUIhcgFehxZedLkrUqnR+RUClX
Dxdf6w2hrGtmpyswuNxHouYI/eMzWwqYMcN9zFZwyKrhSdPQPE4ZJVJLafNs9p8jLc5Do8tj2hbB
LeIOecml7LnpmzdPxRoGDtnxppGPckzfZ6N5UhJNNOboQVGBMTYkdEp1OOR7j9UsuZZSQmgT8suM
DNKhNHjOzkwRS3/Ei0xvAKYQjlyson7y3ZeOv64a8waR5M5h8crm+Vxl+DNd0Pq1fdKGvu3aem/O
9cvUocNORriW9HXyG439ah4JtUw1DNsKAY4vafAriZ23BmZHPyWHGW4JeQZ7XaTWdTn3t9PkQjAr
uFhOyYft+MG69uTDOC2sS1ef2I4+YtGn+cDedmX5HlTGcyyCG2CsfHV8fZUM84+aZzobAGmMDiRt
+Unf06MbGD+akiCiXQXEZM4bUlN3nU+MLeQxRd5wn07RPbuuG/ijIX157r7jeEha76uYqMWAw+WH
mFNLkXAzNx78ctiIeNjjk9nnKZw7q+W7Pp1KNT+W8XyTRVzLhgF9Y0pPZZ38Ur1Awk2BwitqVPKW
5uJkL3myW1ZerMy5uiqM9mqGO4c0iNkmbI/WUPK1xxiY+N02GfoPE8QPnSbhTerhH9SVaW8St77C
U8Hzz0fejPPtWEqCUON1XWAcd/RwDON2eRu2HOgcZHbylrKSqumqiKMYj0E4ne0Z8o8B0D3tevou
Ja075rkJEK1HOIwGYTVkyR+QhEvuBwpuZ9b3k9nsDcoiENYPuug9quPLz7y27LWR1GhCWX3yQe+u
awKmpp22XGeIxlq9PokeYBElcd+TXXpE+AJ4RKVHOJ3gz3NTApSdhaaJMzXlDp/fnsn9JvSMc5fv
4qYSO+Kt915bPcNUeJeM+cKQuK30idAsf10cvMCMfy6X2mQFsXUlenXMp+4mB1PBw0VfuQYvktQg
ABHvWOJQ6gdFxs6+CuFkDMI9oO5fvCI6eTa1EWkCGHc0q4dOcvWNsvCzH1pg1uTLfYvhz7Vqwjm1
A5wHN9W6bcsHkY8tSjFU7jgAYgQIWeKfTi/UZce7HIoaLh2OmDk3zqJJMoCS8ouU91fXUxJle3MC
tZtWqLpkHx+1SF0s/H/lnfFt63HbmwNFMAIrVUqObvDY/6dee9V0UCqyKOJva9V+bot3n6pjGL0Y
JymBXOybwfsginMMRaqKnJd0EOiUWmYXXu6TsNmylBRy7ujE+NVnYbfttXNwmuSxl8kH7U8xIekU
WZEN8wp/JyerHq9xylXkG9VrNpZPo9HBShd1TBdO84M5Zd6YbX/yE0VMvA5qWmM7nkjx+NpQjFuY
s3FdW+I8DFAi/ZnobKckCpiyHxvb+FZRAJxQtfXCZWyvMP0nK8/3j3M8bBtHrengvg7z6WEeu/w+
q3GVFDNLxlTi3DfN5YHUxhFGcBRGvPf2KcnCvU8WgmigmZ+qpFmI2HLYzGZhbIcgPhnedKNS/r0y
2w42Cs/q1mGJ2TlQi2HmgPbBcWsCVr62YsKrpuhPZRYEG/auYIMgDrMh5P9wlPRuOz8hkmnRSRg1
UC9VVXp3eZ8+sLRh5imzEkysqdf2xGKDPGTyOJeZ5pdF1BEwesLpS3LPukqHKFrrbCCcG9nPPdIm
x6x5CeiIuIrj+TJZTneMbZ7zY1l+SguxEfAgzVVh9DAOLLNwKa6qiZcqexluhhS1I69uexFcY+WD
mZUMDJEI+LMeJDXHwt3lPUpKpOy13Vlbvy/uW1fWxzY1u10etJ9UgPFtkBWs/zTPDo0Mj7GcEOLQ
40u67FctQjrDj/C3ue3RjR6kL5XwD5h4H3yX3ZVMo/fIsqNjIkoXWm0AWHy2o1PgDmfZ+JfRr6kb
FEu1U0WQ2tUiwKhtPSVzSyU3mKFVHav70e+wwREINPvrglIib/KClWUnn07HGCBYva9lwvQs2Rml
NobDMXuO2+mYq8ZiUwPKKJiXIgEMSYGV8phMvNs2yqIdHT87v6QsKiRaj7MO6Wbrkj+uI/Kiwwd6
QbEG8dWvyCR9h8088s9PvMUo0xdRhS/YhBb7n4k8k03Hzk2yfWJ6+SEz6AS0BnmddktBUSSDdQYk
fsV32VmQmPm3GefxL8WuiMtQU3+2aRYfxwBjEsH7H6uh7DiaefxaZrOLqxHKVRhgbhxe44Qsqt82
rDfcatMNkqWi8GcgvhQbizfbMg5xTe+949hPhs+cUPj9QH8rAZ16zIBgFGO8c/v8FzEfZ2MS240q
M3yydaHX2IigVWACIoZYf0XeVN1oEX8BA20PumQ3K7HRLxa469zSNP/Z89VUD5DObQToAg/rf1WV
39w93l+qKv9w90D3iv9VV1n+5O+6iofdGU3Flb9BFhcfyO/uaffvHnOL7/Lcst0FTfM7tdH0yWDA
HQ0w3fzuCfpdV+GvI6WFkdjG8Lw4q/8jXeVPqoqHTRx/hcXvBnPH+rO9B2Gg9nsaqDmIh2obl5yW
Y9F9QZPcB0O4C8AJ0BJOU81fGyz+LObwY7GRoyT5js/rEH9yFdlRoulZwBszt/09UfTbKJ7u/vpH
LOaFP1o4fvsRzIssAhd/lP0n44jpz9QJZfyIrh52aX9FCPzUOJe//iG/GUH+5af4OLOQpzBK2X96
IX5v97NnYMDBvs1wB0CqqQ+59QS7AHjjoSPLDUu8JRflkbly4dUxQbDjNrdj+D9fw39rbUKg+9Mr
Jq2DIcxy+GS4gD3/WSETgk7TJuR3afBqkJxk2CCeMo/XaBIPf/268cD80w/DO+It2SGHpQQfQTZG
izPpD/HLmDKD0LfBd0BNGVd+KV7wRkyUiuCI0cxGpBOxUEoTlZxd9bs9Feh0dqB2k2USpVTDsoyA
jR5mmpZXAfTFYEikFiI5sz4mpTIP80p5dbV1RzZVdvAsh/I5SP1b9EjvmrvQVatpcVRj+jU1+smZ
Z29HAIoiqBquxm/AIpeFWqYN5hfPJeWGdN0p8V7CsHuFK4rblFGhfq5mm/hbq3FXkxt/g4TAth4r
nA8yPg5o6CW00lV7J5X0leTCoIrYrt1U75TACbUaWt3uk9Fbp0387uIVoNogGZEGGnz6Txyh03Pb
BPeTPYHQT/HEHFQbbOPMBqOb40bbOzC4SefFIw2H2DfSNWxN60dSYX9fixERolLFYwcldB93odpn
eTHwBxHcx3w+D2iX0OMGwOBIc0OlvAUWfh9EDSuHihFLWe1dPXjmdvKy5GpMAFcUbpYjQw77gOU2
LlKPubGPyn0noGQkZhFtw5FOIoFfYAWlot1x1QSrFJZPWV6lt0Fn+Ye88u2T09VcN7OJG2NQk1Xt
WeR6Jt3FA5yblVvNn/MsBHwMFhRY3/MdvIZm12TVoWAXNwTMQCFbLNAW483gjfuMwdePHpSGblW0
7yK0b9seEbA1QFepBkNyi7Nfmiz+QxZQxowAG6hk2IliSLcxt5etOUj5hikuPDUQt4dB7GyrrKFd
WPW+1qz8h0nzcV2EmKjI0wuJKOYrQ34BjC0PLGdx83RFt/eC7LFT4XwF7KdalaxzPD/o9uWcsVmm
JONtJpB2NBCx1iA7p22iepj8maIWRmWXrKJxbw7YlE6pwicgDXs7TTEZFCanlCTqBlWxPgjsXxQ7
5+KXzYh+4Hn1K3a9YV2VMVmsqr5Jmx4QmOkf465Kt6KaTPr00vLgZM7T0mW2y1DluKHTM5IkSbN1
c0oMmkA7W4986boWbbMZbYwXXY8va4ECacK0piyjY5CC2raX1oI+1MFxNPS89Uvk0NT5Rbn1BdHa
Q/KKdw0lDTzWspyu+2T4RT0X30vfHRFzE7ElFcNeG8Vq1XGtWvcQfvdhXkX4+a1wCw4HTbopanLC
4O/9maWgkTFKB4sOaV3abGAs710YKEvd6WAiriYgPXI8MS2vOESLhoOG6Od0ziGjdYWNPjecofE+
cos0Gmk9yc6cG6WEN7LShEuT0f4BUvBqc0HFzXCPyI2j3mi2WG8jagadO0io5WbIvc/envSGUfDR
btstMnB952aiv3N6455/j/LQNnhlhEEHBECdlWjPqFSPWQ3panDFxzJBR1FMF13ykqW0MTfmRCVF
EZ8qB7hMkIDuEmZ6JRk4wyyiLPrO7atNZrJOD21atIv2drSCV3OiRoRC0Y3lhF60A13h66Uumul2
a7YZPVmZdu0NvW7fU+Y/eRV7RxwyQSah48o9LkUWuWm+5VOA0mJu4/A5E4mxyQr1WRC6BMqaUJ3D
3taJL8aUnKPOSVnuDfdWMj/1SEFJG92A929X1hTSh4OKy/eKdTlwzMDF95jxJnf+8FM3aHaRwHci
2IzzMEN3LIHortvMMrcJQHpCEYVcatq6tTfW90Y62LeRjrCox95hoNsWwxR4o7kdj0Vp8eQigaJR
smkv+jUaxWcz2W+QMvHXt1oQ8SleKfvKN7JlY7ncdshfWu58pylBWHKG3lAepxIkB5Eu40S6E5m0
d3c1YJyVFUa0bFIRyCdXrWa7XdgrFi19XDRUJN2dE/JRDYk+ZmAA0hGGpzs+OnFDdp9l9aacI6qs
2XjQfdoXHEVKbIlDB/BaXHCYVdEShkh+yTE7oDWDTfW+RUEo37Sv0BYuOf6PYrrSuBcDWHwC2wQe
FdQ20ExM8R3VwzzcevqzHa1XNrXZYYTw5MNY5cqQLLVCHf+3v3gRy04/AFSrN0iR59F9QShdtAtj
VZT1Xk0UzpcQqqru1jTS5iQo99p6rY42sHexpwqX1Y4M8mPlmmjvcNNwJdPPKvVV7maPtK59zY14
GxIWIintCRSQNzSDdPD429zi/kOZ6zwoALORCwsupGFj4WaXS1/AEPEs9nGREJJ6Nzrl7AwDTFo/
BMDL4qTeqiLK7lnUZKu6jtBBdNwQDhns3cT3TypFF1jryH94hv+75V2Wov8+bYCpM/7bv7mO8Af/
9zpiegAsPSiWpA6Wif9/ryMuq1VuFq7gThDwZ36HyAvImwyUrIB/Q3csQe3fryPB35eaz2XPCxeT
kpT/iK9pOdyT/nmIdWwpQNHbpLA8DO1/GmLLwihSNsrRaUh68cqqMlgVURjsBqBH9MXkeD3ayfiu
eqe7CAI0xzyxOMGrKNkmacxQidhHgskrv9K2zG/VhK6pSTLNG6+01lagk4MRFbglk/BWT2xyfEOf
6ogG5taqD3bcxu/5PN+VUfRQS33rQ9VbpfyPZ78v1TVQlGrj132wgRkVXcHPwnFPaRagJMpodIpi
UTveuwGOeAUosdj1iJQYXNPuxLXbvLOYJG6RO0NmYVG+C6Q0hF7VXbOLQoYThAVbet22GQexdsdh
ZymWmpYfX+m69bZQQPY4VpOtmqB5N7TXt5Kj106nfFc4Hvgy8zuykcBdY0X9RL/tJ/9CvRgLtQE0
X+2BI5pzaD/KKuEFW4BAC1U0mzpV5yTqL7BJkDDxJx1wTNWP/khbnkrcxzrXH+xY3Z2Ymhd7KFFT
a44CN+4/5BwCbdKuuJij2Pck06OZ9m4lmy+Kk8yVGItLjyIBhAtdF767MNJz7aCxsb1mfzU0TP6V
fJ2AN0HqjepDYdQ3hQuhcxjHFwCDuwZUppfNPdFVQie250C/mqqPeCwea1nSHRRn18xqSGzBfLG7
/GgUFizCdjOYyTXtYl/L9isp9HXmzKc5dbEl50ddyRdhZ6fGG19sLNFu7Ge48DoAXKze4Bt/po3a
F7FW+9BnmhtjH3+0lQX3bQxisfdFskPk45xr+yxeezFoPt3kt75FbqtInzKjD68zXILPVDIFR1Yq
HvyZ1t+1OW3xdpky4RlTA1pGppuglzf02+MX6myWatF0hdWuYbU/sICNJqJqNjsA5TXqUoXupRo1
Dh3Pzc66DqvFe5X9jPSaZGp87WKb/zMrnmds5SvTaOZtWJhfXVt80GEKf9WAkr/qbH+HVxk9uXqp
jUARiqN5sJu8zzkyDm3bUEtkZ8y7PSOZA7N1pyY6Z/x+LNYtYbZ1ZZbTeeCWeABV8+My5q5l7H8n
sCBfOq4W3czgUWt779ThQfftsG3HsTtgZeMUM6cHDod+26X5vO307B3aClfTnN2kiQX9y+34Z669
mneVXkm8Y+xLxsHSm8r34gPoz+RC5XR/ZRo16kTKEG2AXiHOx6xihT4NKk51HmX8ladkHGGaQ2dV
zpOLTnzHYyeJ/6Fm/Pe8WY6Af3/eLEfN3265enz+q/61/MnfDxywzZYX/N/ibd7fHWyfHDk+Lo3f
6CT/c+DgK7ICcJUsmzgFiLn94cAx/87KA6YyoSeHYFrwH8XboI386cABretwm7c83wmw0pl/8hWV
ReZVPgi3g58Cmgww8PTGc+qXW6z4Nyqryc46G2WS9WbYqrHzRQEJCFWferPbTKH3hAlk3QLZgzTi
bkqf6kbBlDaWoKKSEwbkq9nGyw+n8m5IWfP21DTYyTau8X/aPjXt/VLeLPVrEpkPbWOe4LC/LVD/
TLe/CrO7r8LwPQMQQBcc7DzZXutwONFhfCTv/1K54zN1zhsO+51S7VEp/zKoctcmMbcW9nh0GZVn
dsyHSLTXrjFTYQ1XiYTwkBNYp3ZFE35m+UgjVEeJmKGsVZzC9YChahrT7QANcl7GN3fMOG+9+1JY
37Mwv2vZDGuobm8E5z704B8TY7yxKrEJApbvUWaB1+22spY4pWkYqJW1R7x5H/PiYs6kXrRsUXLk
gfeEMwjIWz4iwjsc3oMjtlI3HzmpcOwsn4ZBCMDOr7gZHwgqbQOKPBnq01Mdu0+1456HjsR4zYZ0
FbfqI2iXfQTO7i1WXcZLx8b8WM1fWmOpHZxRgS4Wk+VR9MB6RvVDd0zY2ITL6sYZ7Eu3LHPixn3m
MSb22bLoKcshujKmL5MNULasguxc6W23rIcAgQ6YqTnOACJArlnWSPWcP0xy8u4iIbjJLMsmqymJ
As2FvC0nt4SoBeqpQgTbSDsJud4E/Ql82WNNguU6n/k/UvZaellwRYIhhrjnVihWWnyKaMmagrUa
YY7H8BpjLbHAck91u3E3FH6xcht5NKvsrU/8I/13m8SU3ObdQ6GLWwG/qXH5d7Yn91FH6aGtWR/Z
6jzM4j3q80fCVFuVBsWKahaaJWnac4rld7XHclOySuxIoOxKaNXr0nyaIemPBJGN56rqTrg+AbwW
8P0qJ8ChNxgvEZeUDfb9NZT+5koUoFaRbyDuOPSGNfnI/ThmDx/nv0Kf9YSQTDUKOk7Ogc3nFJO1
GnZBpW5npfapwTsNjlcKnKeKmr00fKrCeBtyqNaEHaJ83Ope3lN9cQsuJl97VfJVjVWMuOyD8XIx
PkPF1eDJx0HAFQNpKFliQsl1O3+N1fcCj/roBgiPWgEbcpPFIeyqo4r7O4mTHmYS9tmEHD4SwbM0
gPWO4gEJjoQIrI7A0Sc/JLIDW2Df8jBImWfWtcutd7RQF0GSE8euumpVOOBG7ABGhLt48/1sk6fN
wfMSZ+Wr5ki9rYH7Gw5EkTTUWjQ0zMVS/UqJqa/Z41ABPdKjUZJRXA8Cbg8DDiYs65SPkIQzOV1l
cybuFeslvGhjWdSHMVF3Ygr8nT1MJ0SaTe/R2sMHwBF8P9pMv1gtJiXZHOs5xGjlxRiV5FUb8LvR
lXnMHP/YYiSyzOrGEeOFK8HOFB3KDDiL1ZLFsIV9jYs7XGlbPYIeOiWWdxMM/sPQN1vUlC1FHreV
H2xCr7yx4vaYKn0fovFB72RXGrlQliqmdh0S14iyu6COFh3j2KuUIiF5FcYmMkF8Cvv+bmCc2vtO
ct+mxmEuP1PnZCfpOZ6YFiA/wTur7gYCqau5Y3SLYxNyOKkQK4jQJmHDrtvROcJL+GjK6iWbWCHH
9U/a6V846hDv2icDvP2KWPatqd07lpZbJcxTToVrIapT7oYblc33vaU/Gzu/Bo59BU30JlXiaBXE
XoL2uldTTlStPKnUP9CcfteTSlg6LvD4qMVCqobnjCbyuGR3GHlkpYKMzk+Td3QY9SOUpH5Defsd
/bU/kU12S8oLPRaoiqb/7Ka8sxYWkQCPwujTfYGE+suSxTef8N+sPFDvO/O90TyS2O70O2HxZmR9
EK97TNWnwWdTAYodMp0aXLDFbrGJxtE/xWX8JmwgHQADDO4LdNmlIQ26dtg/NCXFN03j/IrrjtX9
sIgQtNcKjUlo7oyrimDsQ0lNspVaDh9T/gn94DrXOM7iRSn0xgvwN5oOLKOjvh2lbub1xMo+0kqE
XzPLb3pp9VvD895UL69M3tuFhP86m9VdSicy3dnebTLEZ+GXG5oj323yj122kRSKAXue7ikNpLZ7
5hVFSnI/CtpTmLe0P1bVXaSYck1lbyI0o3HMf5zBP5vsU1Zdyx8om/gxysVRUQ8t5uw+aawjOdRD
qt2ryKN7oUncdWDpg0yIS3WefB3K6tEv9a7P0AMzdNdKJKTeGC7Lwn/va3XSo7GTzmyRXHKxNyR2
9aRz41N71UVTKghv2eo2teU8NJrLH29NtC194d/akPiIipXkOpvkw6OLd0llHKvUOkb8JeuM3zzV
6nX0yNDMqUXwtag3iHbiAeh7Xl+5LZizwrRu+RrvYwoMUMEmcojSPrbykKTlhlfL/WCNRWxv5PWX
1dk3s0cPTtM11xiYYALH3opq829Y2c7On7kWxgEmgaVOPoztW221hzJNvxqjvVjiO7C5A2JoWYFo
J7MUsO3eYEfasYZ3KMthUCDZhyGnv6QQMP0SYw5Dy9mbiq96Qpm1ndPYWbRWqXzf0NCTkOT1+RmU
3FQ8LfvhIHV74lF375CNmaTaO1NHMHMRvmMig4Qw9WH2CKhHrn6oModC7BbYJUwWOR3wzHz66fyG
CExswnEeDDcLyTqKhmhrdg34AHIcxoyKnp0VblEePXi4JFm32W1fskwfAaCgXAouY/Le4GRIHdIw
IXJYKFB6ceN9Ti2+OsWzZ+2Z86bre6ic8jHtK2ga3bZp3a1h8n4QQaFDndMavffUZDYHVnjsKL/I
gJdnWD0jp781ZbOfzLRZ25UdLdJuwGPCwWSTMtnMwtvX9Iys26nw1izphvXoYiOQdtxsWyNs77Le
GHYT4PVVxtFm9/I9Gnqw5PSJuQalSUFdKEJBpn0BqPShez85ys7i6TTPRv2Qd/2xd2qDt8Ztd6lR
nNmsDbvEd7M9TZcJpU6esa4oodyXTWism4nXpQsb94NdXtdhE67NiubY2J/Lm6Hh65nTwEFsnBti
SzvuTvWdulEq/AZTd1PAyjpk/4e982iOW0m28C/CBLzZtiWb3oiUtEFIlATvPX79+8CZuUKDGCCu
7vatpJAiOpFVWVlVWSfPEaMTvT93em29eSqU/bGIbHbIjZe+110CNKmgUAG9TAyRjPHDV5WrJEyf
E1O1B4AzeP6IhnWbvjJOS45/0EKqRLD6052dUd1mtocma1vblyHis3mG3GwcSqckSm8bxEHpu+Pi
SAdru5NS+bWMHWHPMRFG8BpMhx/KNSTyBlx+Ob2nsTRw7pTQBDV69lPhgLN3yzS84NCICqrIaQq5
jf7C7OofDhdjksNdA+GriQL9AZDVfQb6OoWgauvV5gWv6ychrW90WKjFMP3sR8A6Etf87Nj1tyLN
foBYfW3k8JCHAowwncSZViPuy7x9cCoPnZQg2KXXEV2MJo8lrq0DlIWlX7bt7jIJAaG7aYn+DIjf
nZY1UCZ2r5bNEarSkvwoqpoABVIm7a3Q/gYV4mXdFnsqWsE2zdVjpUOgaDsXvGyhP+ZdWr302uYc
mStK5nR77MPSuuhUXrXf75D/f5nWF6lirgemmKfkTANU+jcIZcQUY/yL8tZAmgdsBA3QEZRE/xek
ywatNsMf8tC889/arfwvlZYeKJI1HawHpDB/1W5lrtIynR6Wya/KGh3efwdKwg3/vHKrUa/lJg8o
gB+kJMz/jxABXBBlX23RNSS9+SflclRauP83pGLMpvIR3HD+6xOghagKrhCkbXWyk/AmtQwkhT5V
NrlBdeUV5Mi5I0AbBkJBaahZQHY6sB6eOwI0QTJrsalOmmPSQ/pIIWnZF6ZpNFIfDUxGKqaJpwsN
DOgll780J+P/bELhnj6Io64fl42dD9xHY5OBC0IPdGfOtHRec0Gbw6MiBI90VB+9fMWSdF67/7cp
cCGqBjU3IzgFExkkoCCFPfDUtMnWRz8vCyl0mCIQz3sL9ukmhwbD109OnO2WnZwb0bHlYUpHsac7
ZaTGmVadZIXjJMVEnQsoF5lCly/Mi2VbH5AvhIcKoNVkFeKkPAmPIFN97klcQmP7ZGUPLq97xspI
zkXg2MQkQMIysHMj7rlTx+V3NKAunTb89xvZ/wQLSed1r/9O1m83JnFhIQ9gZD5ulJnm75m4m6xO
2RogkoRopWpAsPh9CtVrdonKN9uPssZeNPCGflgHYzcns5bH1LblnHVgZM+a8AUOCVA0RXtEJP6l
l8uTkpg/0hZpgQhtMj2voNSWqqey5LauQLtWZEiTBXH+J/OLYpLCmxY1waGlcRxLjm2rRqISSzAp
HPQ7f78cPrNzO/r5idPcv2p0nHQWicnp7wDNwfLvvzMi/Yak/WdiRwYmL2gFNe9A7JnY1glAj1AU
jJuMZjkmtAubi8igBRwOhVvOlDzwyxXl/kih9WqQjKzfqMujsNZaV4IBjn7AAwpD43kaaytZdnbJ
jj5zCI7RkoW92XEEnWEuYAKqW/sqVL+yhjdGVl64nrpbGZVh1pZGZfickTkh9lT05TCXy91l3t7D
rUI/mrxpjV+eHFJy0a+CAmrpqLm1jqEDHYtgr3zD/MzTRQtmjjw03VfoRaFHyzGYeRiLuMNk4Voa
nLOg0UzB2y1WAOedO5mYCGQrg4W81zaCDI39yqTNrdixgUmxXFZsGY0tDBjGL/BhMGjsPf1T0f9c
ni1tbicZXpsHxQiNNDtxJIvlABQ6s1W5/Suq10iiFfeCrCMCY3+R69jeCaVi70RKzaIW3Ef9IPoi
ed7Od7g/INH9SROgYOjfVawhgAhj45k9AuR4adwD2gHp4NLJAOGAVIO6Vqv83vP8Z72lgzOO1Tef
RwNgIFW5hcoadRt6fzeSrN9rVBAdUEZ3XmSgdZSZ9Lhk1ba26NNP6gtb006QrzS0LFawrVEn8zvv
kr7R/ADH2mNYel8qUdobtR2sxNbcahoP2GRiEmjWe/qQqpP/Q6SJVpV5xuShmwfFFcTrkD2m62hs
aAKrrSoJZBh3OHpwQMUbB7WSDwK3rOUAmHcHdAKTDw56CmW1K+Qww9IkOcT1T896UfUMWtd6Bz8R
jForW+HsqhkYqf9jbJKJcofretER1CXKUWaaHDqkiZf9mTPBwld46tJhU4SS8Sz7QONYDtGCP4J8
7XnFMdC/LluYGzEd3JyuQI2h8rdzC03MToYULUuf6r5Gs69lhy9iqIKHa2n+hix+2d68R3/Zez8L
jvJp4ojo4NnYCx7g2LKTlXieCzNcAeBO478KSfi5O0LX6a1WqZyA1AMIV91AwVL8gyAb25ismUwR
U+R+Oa5qMHDfyv02lo9QX/zBOI0cmcwLqMLA7WUyWdAYSKq8At3bL1t4v1hNlyTIcxNJXM1QpEGC
d7y1dYjJ67nLCR82Y4sbUShfwNAIzdhht+3NF1FeOSDNTv3I3mS9UIhxizrB3s1hJbms/fJk1s22
Le2w49xbxtGFZsk7p/q8PFhrFiZzrnodGMIG7i3YHiJY1laGZj5sf0/FZLZlB2hQHjXVKRSoMoOp
NozPrWmt7MIrTljD7jlae2WS0/RqMwFF8EoPtE8H3z8aJZ7Yzw3wi5aVMUqwSHQ//MflX5c/7u4y
0GZqGLIEre2HE7bvtYVZxCXf30IhBJVm7zuHwEt+qrLJm03pPfN+fOmp6eey9ro9VOwXeSi/6NUr
YjNfM7U50EUOTY6IEmqv6nT6KeVFYXor+4L08cx4/p3DPIzG2c2VuA5M9rrmKG9j9wiDn+wcbeGk
vCgvFGyXh2VmHZ+bm6zjFq5AEKIVh6u2uvXSgDp+f0QXkkcV8UbXuwdF6p/1qPgc57w4Vkp7J3nW
SgB/3EZkxF8oBVnkEskAzXfmsp5WqldUBXA1H9ZXhpW9xtqBeqetQPopdc2XZac/hjL2IPyUgHlI
4EAmCyYU7dDRKbaeOKTFL/+h+/mfl9zZX9egkOW4hg7F9CpXK1XqWHVK7UME0Vw8BfHfv82B5lBk
2rggax3QKOfjZWV2oxQBr9/o9u5Krdqk9cpq+ZhSzixMF3vVOh7CiDEbO5hur76y052pRSsLfs3I
ZMGHaL7E9HGwhUCiFvhXscNT/h9M9YA4HXA2A7xzEt5eIJaODjPKKdcvIwRmV45Yw0if74LDOP3+
+cmu5NIlqjQm49Rl6Eq+Qd8jX6H1tlHSQ2Le/P2oHduarJIIOEWkW9iS0FjWgn3nr2T44WM/OIOG
HosDgBPFtPOw0sCOlomIATu2odE3ELq4iGJYHb12ZUOcnfmRpUmOK504lUMDS6VY7hTL3mk094ed
szI7a2Ymk08nniPTOgL3fHThVrT68oBdr9iYy12D8OB/B20SAV4s6gHUIhRu0hAQDhqcXLev5IzX
JcE4yWrX75fDYG2WJmHwe+wCCxXNGj4Fi+kKIzoQPG/FOWVtBCcnFy0DOqlXOTe84QHWKZuvIPBp
8lVkn3aBQqfx2aJhwUUMVkX/lXaC6jIPSzgXrZ9G1/z0C8W7TNLyqY2zH50jwqzRXepp8UWAWrJB
FIvLVfw5rRW4Omvk2dtLbi3dvZ0rj5ER7FM9gADQgLQYbrqst61jpujCyauCEI4AmBGWh3amlsxy
1tEf0/FAohJwvgIKnk4jr2Iy5bbYluX9dXYlgHgQq1/yymIeBu7DWhtZks8tpWnUFmUfkZd2Mtwy
JjAYOHi9Q7P2hDHnk0IvqoKSIH2pXDjPLUn9fy2J6GFAVBZm+xp0Gf1oxVYXrqr0pK5lxZkd8Mzk
ZE1omhW1cC8OxeqdfFULK/vG/M9zUKAYLtKsM5klye782KRh+ATT77biEbIoy799J6BWJv02MZme
Qq6NODUCAuFXr+8ye2Vdzazhs59XzuckllvUteEIPun2i6hQ7dx6qQlZgrMyUjPF7nM/Jok2cm0x
7IeULtTAr1rV39P0U2xDkI2Gmf7oatDmFfKkBLkMCKDqqxiQREODaRVkIA5tbWuACS/FPL9eXmsz
C+BsCCZhichTIpUWQwDpugrzCPoB8IKWUNNmernR6zDfyNQQlo3ObNdnRieBqQaWTHcfRr1mh8gM
xHY7Xta3IgTJy4bmvON4phu0Z4NlUyaXpRRZ9N6xPC7g2sF/bd10T00bvjhYuVYOODMZmqLuILym
0cGCvMR5KFlSDo+15Fb0xXZH2PGv6VLzi7UlN5tFxmamI0f/hmkXmJEEduwoh+OiDE5+8DZgUeCG
gTgIiuiwU4f7w9q0zeyxnNS5HMhstEML/7mPWUCDTiNwiDMC71tddREyqjQRq8T2oS/ta0WzD8vz
N2uRXYCudu6MEG6dW8zDAaybsG66pNtwJfXto/AABnOrScdlS3PJTFehmaROp0JAOUlmcR3SbwDb
ElTk2+ZHf7/863MBP/71SR6z/ca1KTqXp4YmuYtd7ux7oGkwPa5VB2YzDcAfXtagddAYtfMRQ9Ah
dNDUwg8peY3BUmYbM3Gtg5LQ1hHJ6AVQTade7nYvkQU/d647Otg2NTs4SfsUZOWNprdXgIY+Jwrt
6MvDIM+O8ujrJucYGV0ASQrYMmz/Z+P/8Ek1HDdfRK+BsxPIKNj0nWj9VIDC6EP8RgRyM0S0lQFv
Cd7iWr9rC/dTOnybLmYP0GBdCmr1CcY4ZQ/zrfukqx5tY8vfPRuGmgIgQEbShbeV80G16kDxe9Mq
T5C8PCH/kB0oJH01q/6iNmHVkvz207LB2XHiTknxU5UMLsfnBnvBDdIgp/igRXdQJHTFfvn3hw+e
HHug/fn9+5N54PBo0ILA7w8sXKT6YGNa3/7AhDm88VkQyoIwOXfBtqSsi8SWrZuGMv81TcFwvy6b
mKvRcO74bWOSDeGQYOc0h4qbkw6cPNplWwHbpsSBYKBaXfWxdjLLtoIJjF5bGpnbRqOWkdG5HBT9
iqTK3JzRT4ImkwEMRplmR9Omua0ZKjiAeq03RGqWnZ2LwdHPG5OtzFel3KeDkQ3GCHTeeIJLqDk+
Qb9ID3/y2LfHZXMr3rx3zozKXz588+gSYK47yZfpSh5Y+/FJOhRCw2GH4TqjOQLY3w5eJuWfzYYx
Odq5oSNntGlXp+/7p+WRmVs744kYnBuNjGqKsV0Mv+wGfbS1mQRYKSGVx41lQ2ujNFlBoRj3uWIy
BQ0TDAf/Dj3FFV/eM9c0EYydmawgV1A9+q0crgj0ZCOfCrg6LsSX3IKilB68hn7Fg+E4RyFwbpy8
6A9SFtY0FYa3npyEu8QESzssJWFYVGoUUUOCTaEI/K3ZuvU2UevHSkdSXU2zx16TrjykC7XQfI3a
JEJPyUE9tG0BwBrXTQoyPumLYhMW5VeUK6+6Kj+WjXhtRf5L3xr3jahUCKDUYFN8x70o/YTO2EAE
9Q9Fobwt4V29WJ6Buaosr1DcbiBJgqto+mqP/jHEbxb3j0qm59RVH4y0ptRHw8ct3NP02aJh30KJ
u6deDiOaU98ZZnJld2tPC7OhMPqOyYLRc8FV7KHP5utXe2VvW/vpyUKhlbryEeGgBqQMZe4mf1ge
w9m8Nfr0yXLRS7+K3IrfL4CxpubRUR5sK76IJPdaM5vdsrHZtWkasFzLcD/xInq+Nuk4D904xpiz
LyxYSrLXLF6JiWFFfFgxlOUglrLY2aYHfdoi885D7YGe7mvRuUs875AnwtEpnv/AFbAikiap0DpN
ayBwsvMiLQzzUub7MPavbC+4ChN0V/+ZnUloaX2hp56KnTsQKegi1+ofGDAlXnJFcKgQCUxuDbLh
SpktcAdrvhr+9i1aQx7Ozfno99+vTKN8DE+aQ283v9/TfiP86oJvK1vJmoHJ1SBqYwnRX+5cggxr
zJ2iHM211+jZe93YicksCLmIGpOGjS6UjjnsNZ1anBJB3QhqST51LqHwuyz6/GdmrcTZ3NVkbHmy
/uNUrBBThqMAhH3F/JfBc3+jyIeoexTrH8uxNrd2TJmlqVvchj48MNH2KtEEji1Dv4G0gO5ECGBW
ds3Z2RrZmBxtTfSsEHXEhtLcJ1tR3PHM+M+8mAR0HmXoH8lYEPdFgGDOps/gIpVWls0MlA+16d+O
mJMDn6Z2Llw0LMyqR5dYEQ4K+gOQPldv8M8wT6Ug7lNJ/9xkqFEJtOmjVSvRZxEClewiaAk03Qi2
quk/WTYVnIp+zQFyeSwqIVpJu+pMThx/6mSFJAK4BEViRKAdupZq82S2xcpwzJkAcGLyMmkalHIm
mZ1Ddxu0MqMh2q+CEN0oubpyFvoQnFQZeCYk34Kgk8nw53tHoFapKyNogjjTvvavZekFbaS/X0OZ
WBn8HGUrW4580YEn7qR3X5vqsQu33nNuwHaQ7Jej9MOADYbYBGXYACWW2yRKfc2G1suxy1OnVj8J
FUMov/8jC+84vpErfqUGUplSatC/DkIX/cpGOyzUs412cADlNR7AeDVk3s9HSksVSl2+CUELCmC2
pRzDRLyCHPtIk82DYrVDH+f2DzwamZzkDr8o6DJk4z1Zrne0FX+v+nfLFtacmsyKoCFvxiUUeLNw
khHPyMVHVdg1d8qL1q+9684G9G9vBlbScahVjSYkPmqNJ3raA/mKZfP4a9mbD7n2fIqmx+MatmEl
KPBG89uhx9GjUbd/6BJpLdJWhm1KOGmgCykFNgkmbISdUkBAl3WNvYGx2t6EmgZAQaAdLa0g1KE4
o/pvXoemReDmL6mUvsSVep1pzpdCqK8zWXrzSvtTq7d3UGTe9z4sPlpdPkJBf+uqEIAZEgQxaHnm
CHWZavUNjhuIfZziNQ+TW6tKvlqug+pb/Sq2wqeshPozHLiGRbj1MvctR8RqgzbAIzQtn10XcmIr
vjVBLnJ5o3dQsn9mTbJSw1+b6Enm6tJO7sRYL09opWn9VXNIlK1erqTH2XwyiqZJ4uogL9KShGjS
L7UbVBKXI+nDLWGIJBhMgfsCqEBm6DxWxd5J8hi+4pNkfXPzQyTtBoQWff/lbtnQbMiODE3c8CJJ
MFMZQ0VMA3RpbDP5pTBW7jwf740Td4avGKVGAyohxQygBMj9R1/4RqcdQQG1wNDAJ9EODhviygDO
mkTKF+ZE1KB5ZJxkFni9OlGnK/2EQKnFo2JgbMxa+KKJzqXf5Pku4QixSeHnrHX6MFU6BGCzQChG
Wzktz8UJ0zjgMViWtFGcu26T3QxLg/jfUpGSToj95+UZnAuVsYHJYaNBHsZt0Ns4GfBLBNU1DQ4b
Va2OHayEbrtibC5cRqM6BeDoaeaSRSTK6b57zMPsnlLBTVPTEr3s1Nr0TVF3ca/T3N5jqBYogXf5
V413abgVQatDPvbQY5aWAYQ4lEvf1eglZI7TduUr5uZu7K18PndyLsqZKvARUXEIRQggV/bXj31H
rIuxgckyNx0uah6EKacsDfZF+nNg94LS4iiW6bUdXDHcGzOvH7XgJZO/LY/w2kwOvo+WpJILyXBS
YuE36UPfCo+m9kOnqL8yhGtmJitfdlNai/zBwxwCNwF2xraAfHFNyX4u5Y8Hcvj/kTct7WmR6LLa
o2SfozUVdtc0dF0GifoHewsM5apETwlnsGliDvtWjqISfxq4T5EXiDZpUd4UgopuBt4tz9HcNj82
NpmjCh1iq8rxquusb14VvqkdElL0qJkbq21eKy3eioG3kqxnh3Lk4WTGmtz2SinCaFwru4rmRddq
7xLzm2LH+2X3ZmODshQb3IBqmZZ0PFuOszAVSdHSNzUD4ww/7toSm13CIxuTJRz6bt4KDTbK7851
tfaAt/brk/Vb6HBUWOh2neAJHHbPTZx4f7KARg5MYkCS6txohkQYNdEW1ra7KFNvFb1bCbW1uZjM
egxVj5CnLXNRoFGR3KTSc7DiybDjTi8wysiTyRo1eaqXc6cp2WnTJ8UWr3oYIgxBvRYCC56DKDwI
WnnQUfVYDrP5LDsyPLk5pShUVCALy1N/Vw1rBy25blNE0L5IrgJRVFLcJo4FMZXsPuSN88XxlbWi
3LzvChxtKpiID49hRVdJUaukfEKFDg+6ZcMunUbsKXHyGNfdXYJw2qbiPX/Z9/lp/cvu9JUszHl/
yJscuyXyRI3Q7nUZQTs/jB6XDc1mDf23ockpJKaL0/MEHNQkmOHs9qfV9hugGRnK2StxNL/oONFR
bbZkY1r60DvHhd+rIitSL4+Dx5C78LIzc0cq3oP/sjC595IyctO0S5JGHPLkrMHom2+q68qyXorO
2i0bmx+538YmB1XfQVq9dGFmVZrm0ou8u5TqN+ygyDuWsvh12dh8PPxl7J1xdrRPulz/HKnHmN6h
7BZdBUiAW93KkXfOo98nUkBA55ux6iVG1yHFeZLMo1DD3LMJv1moTv19V8ZWJukE2KBXmFJQnsJe
2hk57ar6UBNZCYW5hTu2MoTKaMCSNkosq8MXXdtob8k3F/6tg9tFm+2Xf+bOJOZ8zi9IG0Zkx7T9
qbvhttfhxW61FX/W5mYSbUhBOZDI4E9tSd8dxM87zCAt8VWMEd1cdmluGf0eO1mUz8fu9wy5fv/o
ZnB828Zb0EoHP7BbSA8h3v4Tg9BCwUXAxvsOGx5NluSVjalD7HqKC+dNdONTNdjQghZEh3ehCXRU
Lxuciw5dG8Rp5IETeopLaVBAhF2Ou1fmg01EZ09U4dDy262s9gdBhMWv/bnWZTE3qmObk0BJ6iS3
dDehDhjVPLcr0VbQ642NZgR3hQpA+dopdC7f0qepwGMjgXyaHtMaqHDFzCG1A2HJaQWvekS42vvl
kZz1Cregc0EvyniXWBlNXcIZTSlCVnMUBfsAvk6/bS5M764SxOvAN1cCZe5gzaOLDK6NPwBEnkdm
ZnaJbkVY851CghW0PaQirFaFiiiugfHUh2oLzdaVcJnLvmOzwyCMnLQdpbLciKlLZDT91Be/7w4o
Aqw4Nz+Uv52bBEjtdDVc+GSSuAifWlN7dqJXO/V+2Um+jzt7BTH+8amOOyyIRDhoJRUa2mmhxYeh
PMiigpNjKCGk6NBdIGcwawe7HK1nzvhc0JW9gXpaan5eDprZ8fxtelqNQIK1dEOF3ayKX1V1E+kv
ytpr7ewK560WEKsuyx8KcaZstUUvcmg16CW1EdFAa0HeyxBqR4j7ZFl4qMrXZa/eDzDTgzIaSn/Z
nBz5kxYdFs3ymEAJ7ZOQhAnr30Xj0I6kmc4hG4KzlBFfRe95A73jLu2Cq6Qzj5Ef/goS5zWKy/sG
qPsW+MgzbA+ngBlwIu0U1SifFvm2t7LLNtZekcX8UcFTvUtrsN5auw/8CgJD0+Dl2Ifz1O9VCLJ9
K/nhtTYU7zJiHE6h0rISyyvXTiTQP14Pxl5PTg0+wthZVzGZnqnAihpku6zKL8Wca6dv5C9ybx4a
Ld5JdnQlu/JzHwnmPobR0m4NEakbicZrhZ5lZJopSsfbUG+3AXlqoMKGwd6C1xcfl2dqNjOOJmqS
RgIpjwxlINUPS/mHbcTPOUwHyybm9mvw/mB+BxQ1p93zlKHEhlY6jk6mSuN9VdnbJi4vBeQ0i1R5
XDY1t5rGpiZh5yGn5XgurxddeNUE4UUH9bEhvCwbmRuysZHJLIudJIdFRyW49y2klbJdl14uW5gt
HY5NTGalRViEUzpLtmiTdqP13daVixjZDygLXRW5W0IFuI20r5LookiQkgwKCJlhtjwuf8mar5N0
75pFkxi2wjo20yPA+10jPi1bWIuOSaq35F4sGpkpS7p0K5j+XdU/GOVbm8U/lg3NuiIbOrV0TgEf
YNSRKCAaXmJILbodhDhOHKwM1qwrCqcogx1yYJM6D3TTQHHGhB/4FGTNk6dntHDd2sq33Kqel11Z
MzS4OtqEZanT8jjA0EENbitIhvVjLx2WbcwmM26m72Ry8Ml96AVqXBcyFKbeN/yNVPvyJi1RKm9R
Nc9L8LeJV+ybAfPeJ8mznZow9CKIrCk2Yltts0lSF/71MD6gzn3jCtVNL3afxEEsSWvD67asxFMj
R2vQt/mVM/rqIUWPhqYsHNf1oec4FTn8xap8a0ZIKHfdRSOi446+HTLC30Dd7v1sE0roT9AqsxIG
s0lo9AmTMOjQ77TymFfuADOFivLVZ7RdV5KqNBvOIyuTGChNq0dGnqyqVPcK1Ntq+0WoClCdytaX
tV2YNEj0FBAhxVvZt0++WsPXKdLR2G6XA+UjZHvoSpBMnvWBtlBTnvgbeUVXZAGwhAbJLjXtt4KG
7Elsfw8Q00b6lXF+rq0KPYrmc5vY+x7iFwFdquXPmFkTZ18xGY9KYdsP3mGvSHnrz5S4N0V/m63U
zmfm9szKJPfLfaUFsQuiJG4PhXrvPCdrTClzh9EzE4OjowiuES2E6fgdN/YUauKNr8Wcl7qj0x69
qPglJtrFIBFluCvXl5mAOrM7SfU9TDlaE2JX9TelvQ2Ui+UJmv19WRseanULfYjJtd3I88JyDWAy
vFzGPWoHKwEwOzW/f38KGoQu1nGint+nRIjGwZ72y6bbLfswc5TWoNj8rw/vZdrR3ABZihUUiQYE
50kxLqz+EqF1nn+R+LGqldPku1LF5Ax9ZmySyiIlzDUrwKFEL7YI2V17RvvGmfDeqvV7W2gcOH3L
cKdKGz9ERtPpYNAzbnL0E03XOCpV9pz0+udI9z67aCEuD4QyFEOXPm6y6OUsDLS4Jskx4u7Wtdtv
sdl97lPnzfDMhzSvXxwBmYlIDVpk3frPFYXyqkzvzPouSKQr3/fujdI4VVr/LpYmS+E29y6SAsmX
ONsmvnAwc+9eoHE9SbXPeeXu3US/tkox3DkWVwoxydKVyV0J0PeMO5pcrzVskC+Md9Si3dTvAvHT
8qDNL21IJeBKoS/tA1gyZV5ylza/Ux7D6PyptY8VVPymtPWv9KvSW6lhzi+I39YmJ6sWvvmi8PBH
kW7dXePt9bUO/VWHJmtaLxoLgCkOXfab6KG5KZ/qJwvd7ecfKyM3G26wt6tAjpE1nh6tZFuDWU6i
yywMkVpwY+FV9HvotR8D+ZdYmtta7jmeqPdxau/NCL76P7JPqd6iDxQSh+H7RrFRN4oUKUNSzqxb
PWvkraa61xCnoiYoNcdYlj6pEaTdunHrJzVyStkaIGiiTAwN5LDLIucmaaJiUsOaDHUhhVWRiIDU
U60fiLNV55IV8j3qjW0SurehJfzw2d8TJ7ksPNqdFS/jxcToLmvd+JQ57a1OQ+DyqLyrIX9IAr+/
aQoXRCNZy1AEZFTQRie5HwOpOZQkIVGPU3i4H5TGOCJGf19X9NW0nrCpyvIhYbQSRk3LctRWwTlu
jULY1679xUysremkl7qVH3I+ue6Vyyxw5evY6tBotMRPaL8nB6/TTy0qUX334PTiGxA/OoCTcqUq
NLt8UK6TKOUBfpk2HqAP1jSexID3CJPUsdFtc8u9hQbf2i8P43uJ9cMwjixNFmouVwlqbbQfta/O
Q/gUPQTtTfepvm+fm2/dvkY10gO2Wu897Y6niGXja15OwopYt3MnHAiCFGevlig+R+Kur9Nfy2Zm
c6vJk/zQ+GsBuDxfP2obyVHX0EkXtNvkrvr+z359cmQK1LrK1eHX4yjei4G603175XQ0/MTHOfrt
wOR05EZG4TotJlLh6sK7sx/1tYPfMMtLFiZRgAYA6FgfC+CtHqCjYcGUwh7974sE1L7r69e0LT3+
s4GbzH7QWMgYD14dfq4F1oo702fbLM6VxJcIrL7PT+WQkRzVuO1wIXFQqfDTehO3FBSWHRqmYWEQ
pz2OsePDjS3jkN/JG/RuNk4K+8F1Xaw8Qs6mYxWGPgBxpqUOMplnGwKqRwXYFgzlSnXbdMLJQA+7
L5NfcaU9iXp/4fjyF4Q5y40tuJeNpN7SE5TvjSJ6Qj0eNVUnv1p2/WOfODvE+JOmAWTIUVl0dAAL
InDETi/erC4QLgOt6nd5h5BMID15HYDSqvQv5eHTBE/+YkbSRcQ3x2L4q1aDg+PYf3AOGX/XJMjs
DngiXb0DNQRy7i7n1lrw0BezV7LA/5gTipk6Ld0KhZjzOYlJPoqYNSQZJSdpSj3MmXVhbPOiTPYx
bGU7GcIwCuT9IdGVQxsGVF+NLUeYQVKsOAjcF9pWWCE8mb0fq9Lvz5pkJ/qAHBPdUtrl3Oe61K6T
9hPVw2cBi1qYos9cBdd59LkFPwdRfXjT+v5dopQriX6uMqJpuo4UK1yPygeqBzNQtFQbSABThNP0
Rr7NbSXl8G3fWkoh76Sgko+OlAKdFuAjE3P0ITNXeBMK+FOWI3UuNYy+ZJoa4q6MzULvuUV59hE5
I7gAXOuUKNnG08KX3vSutGrtQX9uAxrbnB7gkBE3Cr2jSWOYfklHxh1K8m/Ljs0agQFR1mRTG1rj
zgPQ71DxsB2G2PDTDVzvBzkQVgoQw2KZJjiKcdyhDQlm2OlLZsXQtW1KMMVgZbehVPnXObMkDdMV
mnK0ccow2SKGAC3yGh313FlhbFs+d0+NQ6NKS2zbzbarLpr4QhdXDtpzoTE2MblWprEgWvFgQk8k
XnKEPW/Cbxqq85FYHaLyiYFfsbjm1DCno5O9UhitbsfDgJbkwOqgZcUmMNcazGatUDcwTR6IxQ+A
HyWFA1+12Q1997GrtRvFfc71v83mzQagj4xMNoCeHiS5qTBSv6XVvX7NzSB/Wo7wuf11bGKSy5UA
JV1pODCYWrrtK3lfcg5vfF6mkurCMP82lfO5R1OsT5kqZiNX9MuXvLI0J2Tgl92Zq6LSMwewDo4f
CamVyYpVfEkSlIH+WoglZSPk0t7WKUnIGZppaQzcV8++VEOzktZetI50LYbeQbLDr33XR8dCqqWX
5Q+aO2aOv2eyV6CWpCXlcOkIXRXlPfGLVbQHIy73iRf9feahYXRHzk/OMBDDe5YVQ6cple3RrZOv
XiZfQFFynXXisYgVYE+iERwD+b605PS47OnsSjd19Gvee9qm99lMN2uvGYw7oXXUBonhwYbffjFE
YU+ZdVv4krtyOpxNnhREVG4iiOdMsS69aNiuh14CODUxPEKw/lYMR9AqtL42efuMBvajWoUoSCHw
9UeRNrI9WZyCWflGLGKb15EcFCxmytp/rLFry8JXoy4F3kz671aqPFhOfNW7dvSYNmK7TYvwl2Jq
yUrimy3eAKP7azQma5lXnEYyHY5LoV5egapgugtezduOlqP8UwKBQ9T6Nybf0ibSw/Lsz84EmjIU
dKBzBYZ+nnVVHRGKRGI7lnbMRHPToLSdXUfFTde9lO5K0poNtZGxyaICr1IaTs55Q3UDAMioXweK
eldG4caxhXDD81bbQ2ix7CGwn7mtemR2srzswoPjwZfzU1Eq0bUgSk9aVaSbDurZjVPRbwXfk3fs
40bcBEK212y5OJai3e3VJC82vqNzRGnV7uT4JXrD8HluzbC+zm3rq1U6LWCIUjiUXuDfJ2X9OcjE
ax2p2I3p1PrOUGo04lU9YVU5+8iDo6E0ZHQNhv4a5OB2sdshnWp+0wT9e+RJ6TZC/m9nBP29E1eP
xaDuJqYe/9yhzhSZAthm9Yufu98s2xfAK4golSb9k29L90GrFZs8yr/5IecCu3dTjt6SvEls9buN
8t4VJaovRSU/UirPd4JI71xTfGps/btqx9D8iIOEphFvI1F8Njy7O0YO7BsFhb2y7345kfvqWj4S
8UKMFKdYUOKSU1rJ/H2YRl/8pD04na/vikxGIkMpHpWuQJg+z1ASd/N6Q3MwDSiwGu6aUg9OpmPc
VU72IHuGSWtRqKGS53/L0Q7dNgEyoK5Qg/mxY4RvvRde8ba1qtT0SCCFF/fmtkOvJk1lf4saPBWv
tDSvSp+35MzkxdNBkMmt7XhXowlhtkG3heowPwRIRghIR3StoT4DL/agCDNepUFnouoDc+/V2rWj
Zf6dpCVHV1HvO9ULN7qbIUAYZSWveeIBDavrUOzba/n/2Puy5rp1M9u/kso7zwVIkACrOv1Ack/S
1jzaLyxZkgmQBAHOw6/vRZ90x95H17rp51uVSo4j+8AkMXxY3xrg2OzAuZnAwdl0UNlkzLloVufO
oCb+dgqWSMLQU6TTedUOT12rD0OTwwEzeJkHUV10YR97w8s0yV3QtF/Kye3QXEJKHZUOrGH0WU/g
RyhgTMhWh8Jp9SoEcNPCQyDfwJG1AkMJrJ28QlgpouobNt+2SC+4J6tPF0o3gRjYvseVatmHbddf
UoiP3FgSnCX9au5SrDYv02r4Mq3WL1lPkUsLVRk8qg/oYA4WN+P2i3Ju17S7iddf7Wofg3SOm5bJ
TYk9qSmfp5Ydc2hxAr9QO6SuSlih1WWiYOaCgmGJLZuD81Yg9tI3aDPZln+FcxZW0yqh71YxvSqy
xwLCTbMqOAtYdw66jj07bHKv/2Yy9SjYt1A5x3aVfrqrBhROJxqa0GYVh7YmfLBQi6ZQjU4oBlqo
SCmxT2SVlaYLcEwhkTHiXKf4AcpxiAQHXHKEQIqu9JvvZddcUYTwlpD2KOFsSZ8imKzuntqyvBPe
WG0CZNpShFT3c/ieyQwJpQRSVuvRhOGWG7OCeyBw2Qu/di6X2sRQ6AUbcMloTDus+R9oa7WGeHop
yuipPFu88JvPb+AgCEbiEGWNmwR+ttdmeZcrGSpdaVHVglRnauUXileGiFTTVREC4uBbuVKqSu2Q
KEWg+Ti1CPAcm6NeDMWZIYEoLBWSh7Hm5rWvjzjsI107/RUQW4XWfzGOz0iyCXaiHSwSIMsZvto+
vhhaOgiNQkyqez+WVQJH6Vs49m1ztIBwM048dIUYR39LD/cKOcJcNefVYBAi3JvnOVXkrJlANA/8
2j0ui7sl6N0ls2e2lZdfVqE/RIoUa3DriFBr6y4b3tcP7orD4Cs95GJGwrdTXMGlvrwguA3CX2ra
KxiKeRlSwOzcob/X48YxU9NEadEg58OfOmj5UPxlnO/SBqmNo8rueeC4UU8zd1dLzx5LP7z3pXvT
I8s38qQpo3CpyWYoOr2bW28Hw7wzjPmMdNMXhD3AMam2r7yi6I1X4bVj4ELtAsmKuFd3ScNreHh7
BhqT+sGwfAa0g5+5U6+QQw5qhf+QpvnXrBq/zZMDH+YcB/k43PilxxJvEjvaIJpez4huH8rqCgwz
FTuwLoXCUtzqnj6OmjYxaaQfZ3DvwwVyfofhQx+VhFxb2KScg79VJF5ZvgfGKoQxszfRiGeLXX5P
GaJqgy6TsR4431genE9OLTcDsWncZ7AxJqZscRSlOhL6FiqRYpzh5EYyuTHIi7psmtBEBnmYeOfI
bcWGdQOefbVFBHoQcdueK2bO2FgNiVI+mgsk6LcmdXhSmwWrDk3rOODoLaYQAybwfc1jFfjwPk7p
gSy8S+Y6d7BoaJgYZtQmzBoFCKomkZh8gB5Gi0Rzke+qtmPJUIWH2QzXZVAEj0so3jovf049BAJ3
rHsyrlyJCzXgiWYZklAO4IjCyjDqpJjOwhnrrUN1iajk6QBJ3KtGWlEfLhuH8Muxr+l91k7zZta1
xs2p5HAxSbu917SgPfXeQ573ZWymsdjoYnwxTHTRLGSVwDf82JnhHoHFZwVrHuno1phqeXsldVFt
7Syf8rGT2yHwsqgMU6QngEsZL44+E9IPEIUSmnicXQc0DGUT5VZ2I7IZ7Eikyey8UDfxBFr5BhQs
iNzzM6TXVjEWU4ltDqAtq7ybzEs5bkDIh9KGPqKIFlHeAz5c6vBhaXDygbm9haDF3emw/DaQBl+u
pue1S67J6H1HTNaU4IM/u60WsVm6Pkb2m4rqca183MzfpDR7db0535ZTfQV/ruugRjItsPApKi17
qvxWx2Xvn81Tdc8W58uw0D3DbWxR3WVYzQZzx24lAejHihK55qK60qlOFmfe836Kg9x9Qt2BTFlJ
AEMH5MV6xZU/TG9dsYAG5DU30MkCK65kCJqFfDRp9pRykCxKgsyl0VVfM2feTKJEAqsQbWK0fmjV
NG7EwPQW5vpDrGVXRoD1Lr22P1cFRiUQbR/6PjjXyCNK4MmFNi93dEy64iBqqjfKKZZo9Mc945BL
2LLYL0HxMC3NGLEOu+fYqu9aLzSq8qK9decS6Xihd9bO5dvoF0fapJcZkd8WiG7i9T1T1vsJ2iBd
4maGJSDFvsyUdsdicV56xtKLlLUkaRR9Qrj2WygEum+OxbHLhk0N7AhVf/vAWQ5LVmcvKr0JtOBR
h+A4pNjjYlKaJ+5BiI6iIEyorK5Lv3sogZ3s4Pl3XwWkwb8mv6grpPsWfiijufKbqG2He6Q1n7m8
T6Bj76Op7BM4v5x1JttNU+ZFVYbE85KRzUK8xB1LEou+OsKr9LJy5Sv6ImhoqhfLkd5lGQjEju7G
yAn874XTP8yjvKgXN2KIGVln3ZnfkA0Z591IDEhIXRxmcKdjidTTFYwirrB6anwnrNUmlSLy8uB+
ETLdgTGWK70VRJ2XQeVFcKF8b8axTazfgrkghusBrniJ103nrsFXDNTUQMEKSc3swPmetPZx6vXj
tLRdDErEQRtxXqGGRCCijJEQ7ccI/n7txvno1n4aoW+5xAUNcC6NxR387EVsJ2SB59qYHbbI4Gjn
MI2rlPpnLfFfSGhQLhp9LOchj1MPV8i65yYJu7SJ1cj3Di9IEtrMRG6J8rkp+csypGHUC/98yGt8
TGwIzeqDoxccqjqdt9Rc6WHQG+sMj5NGJnooKicqZt+JnSkTydIuXiJl84rD4MIN4aLLG9IkTPU8
opU6Bl4l9lrSOYYvjYh0dl3LAc59YC2PHh9jmPpW0bobJGCC4HCX1bnwR5u0qPDGrgZxTSYL8HDf
K1AAp2cZPFEdy3eVcbdDJw/96pdVZEnbWFQrrAJFOiffibb8oN3xHWGXDip7dT2WMEryZF9D9Jn2
mymfxAUueU40zrzdNN6AwynVeVKO/nXVoUixXf+I69jBVP6jqpmM/FyrRNX6zevh29NJ8iaL6VAE
9RIjWPa8mGAsMXh8iZzWEftZ919rRweJ688qgUNgnrgTKuaeTwMoAIGJ6hxH2RhgwwpCELfC7hq+
b+ys88E3zJopSzxkf5/lAbzBTaD6eMG1Qo7Vd0kEUlXzHvxl3HmissdxXHLnrvHZsikVH9AZb78i
g65IRM93zYx+OfjWD5QUJPZL9ywYGQ5AJ70GJw/GhvDCcHT2lWWFBcl+5tEc0JuWmqPnYO7P3nzE
VeQzt66PICwAnAISP6QGg2z769Uebjtw06px225cttOOs+nHi37ud4OZDr+/Yn8Et/88kvfrSHKp
9DQKjFQBS1Hbyv2so7YaW5yC7T8PcIINEypDJBcBpSibfAuUcz8NxU62E7qK/taXCE93xL3W7l5/
Gv34IWD8E3hwAhe1ouhDb8Us7HbODm6OiubL79/eR98JzY7/gWBO4B/gAZXbFisEY7GjiBlVPyTZ
qiYmdteS9fejfQQc//wq11f9E8xuAUvk7trzQdwYtFdwwIiIbSKn+gTV+gh0+Xmckz4PVLW4+66p
1aWDsKMCBahtyHJIiSij2u3nvWELyL8y+7Mh/P9jztf1+3/+8z/+zGhKXrqXv71Xnermyxf9/o+/
n5vqb/e9/vs//8/D2z/+Tn+knK9/7P2l7dZfiz9AifdXcWEAUvyKk43vf/4E+ef49dpDR0EMjtP/
pJxT/w/o2uAxCvMVTta+5f+knFPvD8j4fBigCfQxYR/xb6WcC/aXGUPBcSculNgQXQKPPFnkraoH
hcKsOeBqEPshH5DQYKckVxky66qgT6CdRNGjujARILVHVBR3snTd86nLq80c6jPas2wXpHIviZJJ
V1QwNyjBQ+tQZeRmLJOyHnmkLH+fKjIh9Ec/9YSP0ZIpsa3TBbQA0QXbGVrxHZ6cId60urXZ0iVQ
EwwRC8YN8wfcXukk4j7gCqcSdxMHTCTVj+G+M+1TYHUW8cIG92mHOwgc98Y4tH2Z+COKsJpBuwx2
r5uwdddPJTJ6HavgsLtk/s5RDTzsRcui3FVlnI4qjHTOwiHyWHhPqDdFUHqVUZctX1EJAjHNDBJ5
BnNb0naPwCE3zgY/3Uwoz4CioKrX2p7RglyVSFVrBEdrcpZjRC37WuNHN8C1kM2KJhtJw33NSR7r
er38EgT4QkLVIG817+6V9nU8IIPhvJnAhqnrdNpwpv3bVFcQUamGx/k8mFiBr5lU7tKAYQIQhpA7
ePOTmBcF6goy3xr0peIMAGU2tuW5Uy1XypnIRcXtxWQ4TdAsOGYLuxtFe/QIMrIzWe+R3X7Pa6QY
z7gYOCnKFs+hT4Dw6SHPOPYvcO78uTpvp+KGhebCmV0eWWLYdpJlvevr1AUUmz3Zpd8tEgLJVBfP
cDa3UZEtQ1SjhxsptbzU83TwC+3AbI/s+iDf+X6q4loAnKYVwW/s/FcEetuYLtOba8ODbtyvzrR8
b2TXxM7SXzRh2gMThbEorbr7phm8SPUTi8JgUtu+8CD680kNI+D+omTOFzE3XtSr4b5rGtR4ysW1
b850PC9oNYxj9wVOSEuMpaJxt3TqQzXZ9dKWvlSOvkQL+MlOFKikklOFSqM0ByGNv+lDcUU7ZPUG
QqLWJLmfLCYT17wOcdXW6YQg8AE6ZsXUORyWQf0pjiqYb5VFazfLHgo9vAW+OkdL4hERH0fcV/l2
bBaoZ1nINovjhPuggHzDuN1yBJ+5PAMQJuJ0Vh5uWigJPTkuiaras2Fu5titZnI5MqY3fha88ppn
FziC3uZZdbGn5sciLM4znn3zzehGUNl6kWkkQM8uAxFCnqkZnrm8HiBZFOgHg5B/Bjcd57alAKyo
e+O6otr6WXGpS4XXPQNWx93vCs3/HWydXPAZFqDpHjlHj6WI+Wz2ZM66vW/d/aCMBzTVmzZejmJi
7jMQjTWU+WEY7pSYx4QjKAmorzmiNxWNRuyLciIvU2vfUO84seuPcArlHD1RoAkj2uM8eKLp2G2y
YYbkBmjERubQrbphfzZDrZBIp73o1dRd1Bk/tH141GLOop7BzTs06b7nJY1sOrxIHQANZX0Q+XO6
X1jnJZ0eBQp50yZ0QqKq8dEsKbkL/3L3wqHBdizT87EZvmugs8ySu2IuQ4Dz2YhLtyOxwzV0ryxQ
IGxMLRn6qAn4VzplCKOiXwQzT4oE4NQi/dHpO+BZzNyO9XLH+/IBgMacGJO/KZs/5oA1xzy8azOH
bAdp3MjFfRRSovDauPOLEtm50WF1UQzdANI58mXbJiSbzummfUtpFiOCOuEt9g3sk3jZ2epQvuzG
0vAEx9DRs4htyiHsR8b0XGyHCqCVo+RFy9EgEjbNrzgP5/NlDGwil8HgJeR3TTVxDIFgnWUR5X7y
yzaGufiUIO0abrvgMrxaKvmT7rNbRYPN6Bs/dvDlxwb4Xe59mxQkUY08Ys0+LTy8oxS37qxmOIcm
aFj8PujiCf6lMZuHr0GFqgbV6FlIOp1Ulh6DfpnhQQf2a4h1HHHsO8wG3cFkiL5KlXuoU+RcC+58
CXJ56a13q4D39ODl4JM6WasjOaDrXYVd+D2dCb6S6J/92ajEbdHFAXR25YSKJlR0oCrR7pHPVuKy
4nrIKIVPPsfl3VA8mOJPuQJ8I6tUn0mFJckWjwPDE31SQMq4GZ2aXRUNbjhK6iToR7jmoNdzVuVL
CAtbAhxW+zH8CI9zZW+cXG11DQ0771iM5aJ2Y+3HiN6FWivVB1SQt6GZklTah5xh/4SZchGD+Ubh
HundQBx5VpdudjWPdb8tiL8THPMrd/Ge8kxfc8KzjQJHPwbSdPSDoT8fWeXCh2BccVoNRQUIeoe0
Ni9VX7yaFDIGSb0xcVj9Mg6Ti9lTO5EPkLLLhveMlMCvwojk/blYzFF09wSRSx42trrTcZhem+B9
EpeuqiIpfGQLkg0iEiiTF77NIzkXGxz7DSDxmY4vC782Uj7A+nKfcS8pU/cw1vopaDKcdfvJcc7p
RHembreWoGBx7ggrb7QNgkgN47vGTCAXw0zPK4gwwjp/rOHG5g7ZZqBVjPBMWMaqnesjlOVWSHLW
FQiICiGZjcgA5Ljt3sbc1onxYCQwTuLWQRQCcIsBWes1sBdQdxf12Hliw0aU8Lz2rzOFwLNM3HsV
YCMWVY280J4FVGYA3g5NXAKwjdz5WOhNsaSvlfYA5M83QIYfPHjH67MsJQyz5bvs6b61WKjQsCJ1
YFgSg2cHtSnhA7tP2XxN6uY+VP4NolWuct5e9xm/s758bD0U9OKbJ2Ajivfr5f7Wqe8dz7bXdvEQ
aQ+PzlxvZKgOti7JxgxSRboMo2Bgt0qorz7+/k7l3XeOrxJeioegghWLO3ToEOryuSBTIhH23FWA
I3OA90CHuC+hY+wLfDTWAKmscQ8H/1OH05prY797jpMEQ3GXcxxnlYEvk1NeaumOUYOIpXACymDF
cDa4+kqAHuoX9bULNoKPRAZnXwEWnlNs0J4XW0sPmfV21fgmlnxP5C63y2ULs8LB2G0LMBUbLZAc
GWkPX1/gbsXDTVjQ9wyI9qbVzpUGtWBrnbo+Cxrw7fxFFokK0oPTweC6hXHnjQzDJ+YOLdplhbsp
ekRstuiVxfCyzpDlEbxY2n/DaV3GFOCirtKbMp28iHEXfMm+mbYFHdhFkzMQz9Bsj1wh50QvKo97
7ld7nzVfmUGDBMRX51BKOAsj2h4onC3JWe7Xr2HQ3ssBR8K9WzsAkj0NakRxMblADJW9qEn/0Osb
9FIeWl1/aRf0tHzvLLTA4BeCdhIwyd4T6jCPlj9lUwcgiMDlAFbJz7ycc6zBGqhIgyBMwvLzlmNp
Zqn3yDvvKxsA6plCPYfayJjJ/lIsIYKBkVZEypQnjalU4vtzsJv6aozLfAJ71c1BqEVUyK506RsT
fQbLCECYFHlrsVu6KsEaX7bEryHhx71i8bzXrmR7IYb7odbPQ0q/0jxEWFSK24LMHrtQV7FJuyaa
fCnxLJOJqoACHGLUwcSlNYyBsj6peWmjIPORb84AeQF86fEBnds0zPeDQfE6UD9qBhdCV7OeBxmO
M7BKv0/gIh+Q1dsApV6PKNY+g4P2paHmXdrVwn9Mt7bQaBvNXR7LIR9uESi5gbIDLFqwFTZpTcd4
yB2KHQxHx1Qt58IpjuXYweWawKGcw6UTyohho2fUz0UgWNRW2Ck5L/e2yh6mMmtQuFCghBr2MgRq
0QhsSXT20M2L6pbPD+HcgLyY00uD+nkL53EXRbKn4mzJkc3UpDA2HRpwonh5yZcy2xJLso1p+2ID
6PcgHPdqVA2auMyiEAYTLi6zMjjkfb7Dg8OjxF3UDtqaI8/ABShHrFhPqmfRjBQNILrGVPvYwly0
TqiQS+wav4qgT36qWeFua786LxVOpJ4Bb/UreYG4qiA283TsvHBlwpXPTYV6SgfmOtdomaZkOAsb
JFgVeXgTmOCGztmdkc6ErthauJQS7c9gLpJQ2cfO8d4KDm5I3dMZ108NGQxZyNrW6BPWdf42C9Fo
oJNkhzbIG9ghs8cgRxyGGdJjIZTEgnB6vNy1Y2OAlJq5PqMKi0wgDWC3dFVFIjMOT7Up/rS//reA
j3uj8Z//WP/Mq7EzcvFk9wMy+Nevdu9mRQza09/0y59p//PHj7N3swINv/xi8wN0uOnfm/n2ve3L
P//9//yd/68//CdKcT9bQBcvb1pViWq7Rr12HwAYwAF+g3vIl0r+bW9AEP4TDvkJ+cAf/G/kI/wD
d/Y1rBo2mxTwx7+QD/EHPAI8gSQajm101ZNVBqU54BL3D4E80SD0CVowHP/7L+SD/iFAVATyAQ43
0FVQvP8bmLn+E7bEC/y/hmn/ijACAIAGERJERErhHwHanCBlYrRzX01Of2AegEx3SnAvRU/qM/eZ
E975n+MIH3co2PmEuPycUL1EiEC1VKUYZ8GuWgT9rRsg/KISqBKbaQfCQtKnj0VzD//v89nNb0XO
Pot+/xXr/OvfYf35T+hj1vDOSJB3DsvILjLFutgJQx9qtOXGIf1nGOSKGP0LNv7naAHyU31Y464x
Kb+ORnPsOOky9QdvLu+WfNwuzWdRbB8OAU9oDiI/ppg44ZY1Wc91iZLzQGv/AIOim8DT9z9N6H/O
l79Vvb42quraf/z9o/khOFxikZsgoHg++W5o/g5Oxbr+4PfODZyt0DoO7ozfJP/2MAyKMOKCze6G
yGr89WWpZoJoZRn6Axz3doQO22agO1XQT4b56wsLXNB84ZXlsxCiwpOnaXM5T6ODpyldkkUVd8+z
kr/+u4+CMXyE+8BeBJDm6aOgXkB+PLH9wZ2/tm6ZoJ3p2+CTB/nrVP51kPVBf5rKc2l7QCKwU+D+
w5zPW5xMyh339fiJ0ODH+v91Fq8DCYRzQGiAzOaT/cGtSgb/vrE/EDnf4s57VJPvxsaAzTDV6d6l
9l2PcmXecbRLLYFScYFhZmvDa12RPBry8KtgqIVbk1/kjX1jAU1Bvxq+kXK+1KkDIVTwvVrguJ9W
F5hq6ogG9qPfyHybusGUUAsE1CgLIHPQd7XpriEnC0FbwQUVdhR9ZBd/PSPpQ2fTr0VqDkZWHKYr
021L2NGYCpx+9It7URQJDFqLxNfhbi6Cay26I6rS83wFbH4/Bz6cZ4H7w0hMUGx7v36esM9CpO+i
mk3bMqpKhIfpTzocH04ABCRiseCjYLf5dQSPNPXciB4tZjSGaAD3ea/YMrQLfe/u98/y1x0Abk0h
SPEezpo1JfbXkRZEKduuTLsDbKHm7jUFFT31PhHS/Yq+r3tl4K7ouwgJ8ZFFcPI06eIh6sAwVHC4
60W9nfkmb/Vjrue4BQP12GLNrvbN298/2genUrDqxIiLHiX2Ue9kPwgCzFqgad1hVhb3Jo24WzLt
s6y4Bt3vAjnYz2k9XSnP3SgjvvqS3uqq/Pb7v8QHcwU+gQwZxqgEfH5KgZd+zsfcU/0h9DhyysME
kp1PxGcffMKfhzhVaA8iSCkZ8HonGyYLe/TC9qhJ98metH6kk60CzwAgFhZfFFE7JxPFMF04U+O0
Bx/vsrIPU4cAaH7vwabNgqj6+7f20WAUO5zr/kguPv1yoRoDSibZHZpBIhbDPdZ9uEVE0jV9p/aT
ruVHr4+i2PLXpECBkuvXFeAT5eNGoLoDBRUYbM4YkRy3/sQ/WWjrpnD6/rBX8BDlAvwF1mrw5z29
TpsixfWqPQzpy6JD0JCzA0m/I0U9smpJqgp6vGX85D1+sI94sD2Esh0rgVHvZKeay372KEVd5g8C
9L8ezI8waaubxnv6/Qf76Okg+oY0KSBIBCEnS9xj00BkiQ+mx+JhaNWL1rC3b2wbxlVVXlrfHOCM
kSUOSBGH3w/90fdDXO2PyYkuHT95RgN6jAQnrz3IUr24Mr0Ey+qR5qb6ZJ58NCfxEiG/pSh1GT3Z
TUpb1sQv5+6gWpjOFYPc9416cCgszeax2NUETJh//8nWS8DqJrKKXU+eDMA3mXvoqw9hU29zzve9
NmfWFv+bfRJe3wIzBUFduDD8OjWl5LkaIDU4DLD8RnhspEYDNup9YNA89BUcF18tge33BPFmEMaE
VJ/9DX4lYfw4IbD4/vU3ONlcnMnLoL3Pu0MFPQKBzIHwHBg8i9ul2wAsOvQKHjIZvdKg5v77LznA
xgvfDexrKOZ/fXgcWBb+uF170GiqWYARldnRXP0vFiJ0OKsQxvfhLn+y+ufaKWGajE85u+jAkm1T
BOjifJsz55PHoevf93SfgQko7GlxN/mrQd04z65t1lVWtfw8bDVwNFvA3xqy0bRXe1Bu711THRzr
bQFavi9Btke8nIzM9NlXDT449+Eh7yIMk4KhxE/nbwi9Xc9Z2x4alSdORs8qh25VyuEW5PZvYQGS
jdeBtlYHaFOELI2lt0c/NI9q2dz2Chn1AjKIkVjoPzy245KBF90GG3fkcxQ45hLJIIfQ1vUmJPCr
B83y1lD9PI7muvGzOyZYFoOAcrA2vMH7v17Azo9AH99O6ag3Y+sYkKjnDbDtKu4m79IZpxxE51Fs
9ER0nDvj2VQXX3AqXrnpQBIAkDMohdUrycrn3mfnSKB4Em14XFaXUyyPg9MGL6xhF2DxZWC1t23s
tQVc0ntAeblS7+BkuZsq90UC3hwwcC4eQhQo0QhVfzzz/PX3c/vjDxC4PnTEdC0kf53baJxYaXrW
HyTSOZAiJL9lprObJlRT1OCsQu8BvHPN2Cdb8kfjwiDRJX9mfJ9ejv2MQdrRwpmOB8NjXeorjza7
OgDi5iw3mQEljqEN9Ptn/eCoY6CjCVjOIoAxON3EdAcVCvj27cEphw5N3h5KonKk0QiCP4dnyCfD
ffSIPw+3/vynK1qBpqMOGmwbVZBdIaks2HfNVEbogl9UfV9HQJcxp8vsM6jlw8f0YCSzhrqQvxy0
oCYj7rBtmkNIqwCMV43eBUN7nNWbwI6fkOM+HAyGZ7iyA+EITz2TfZDHxOTWoM0U+2yarqr8hkl+
NU3733+7D4pkwAOgD0FUj/uoezJPhw7RO/WAcUZqoJzy3pzSefj9EB9UCXDwYMyFyRIkIqfbvEcE
mM4ZhpDW3XCc5WBulIldoLv5/UDroXyy/0JmvBZC+C+kM5wc2mM7ob9WhM3Br8iFgcI9RGEEJ83m
jaZZMi8wn25BaI4CBHL/fuQTseePU/TnofkJ/67LxlwV0A8cRn7X0jNr8g16K1Fb8m3Pn3xvgsjt
OPHPgks++Ho+hd0qR7oyrpGnJkqhlqOSvUE7ddGbUr+DDvHJO/1gBKBHIU5OygO4IpzMj9LgGudJ
0h8GWvNE0iXfeONnt/oPJjumOS6KApgIvAtPCoExJIN1mG4OQ3tYsmm72HcG2ztqPpmJH48jYBGA
6+Bfa/JRB8BYFgFn6wVOv+Z2tdEq+G3gfHaJ+mDKhzDCBW0LwO96m/p1i5oXxwAA7utDTh8zhAyg
lSDQcPr9pPsB7Z7Md9TcFD1EDpIc9oqTUbQpILRe6kNdB7eDTa+7wu4hNQS9xfJXv9MXuUSrmTR5
HY3K7JC0/m7Wg7T083cf0Y/J7Bb7smpir4cVFpu+qU6/LLk510N2MZXkWRewG03dy0w5yydlmfB+
/RqgIxKAEnxNDUB5Bt7d+hJ/2sfHHoaA+ZLVBz9sWgBapJmPS+Cg25h7rwsHv6WR7rP0yhnaw3CX
ggIUuemC9EjpF7Hs0LcKw5h17Kb22uzWQ5IN1L/ttrHohkFhs4f6uoWMk9/RDKbOVh6KUrPIuGzX
V86+ZSGkj9y7HUg9JgigTKCmZbu5s3foHWwyKAsi8ITnvQjyJ+vOW1Oi0yz1+NA2dQHFTfliU9Q+
KYwhtq2E4KApgy/uDN5Jxus9tsOVKuMiU30WeQSgALUGQR2PdXCDxgRPBvQV8xSd6MLKNgk57F0n
Br6GSr8to+ZgkZG7ng1b2RXnYqqee0O3IXjKYl6OxEVRSTk4elY192yQ5WZq67PCge6+Yl88B1rZ
Dh1l1rUXLaLixsXZCcdP2rRAD7serjqwUpIeHXmYKD1Aj2TjYpTzJneIjGcARjA9pg+WNN/GVVXc
QJNQZ8qPPJQ127rweaIdSiDTwFfKy2HcU4q0ZLcYXrxsPNeivBR5foD92TYsRQzPh4vcZHvwZbZh
U+zATOrjenAkLD4zeTTaeaLgeaA9t9dhP29tMN4HkCtISN+ioK6exWzNlgFoh/xCd/BsI5DdIdBW
1t3jwC3dzH5g9gypTTdpkX7LpuFQuWzc8Gn6L/bOIztyZMu2U6kJIBe06DpcS9Kp2cGKIBnQwqCB
0ddG5MuXDA8W+fNV5zeqmRnLCQfczGB27zn7vEqSOt4Y2aisTI1NJv7lU+8hoPBFvIFOgbcEaws6
imc4Rss6yD264tFJLbEc2Il9MP2wWadCZOzZy2FGu4muvBSdKJq+FXVUISb0tJmvOVtd7lMXNdSs
nfBIUf3syyDzm3huYeuL6RbPh1Q6RH2vz8Mkezac5KTb8iO7WPROQ626pZw8Vl32rCXqLtX9rYJV
1q1YHDEwmneW5j3B9r2XrJBNltfDu8d3oObNQ6x1UM20fWGP49GQkiv4oEuOck/K0EGKbpWjCsYw
UzEbK5100pNm0WJu0RU8W4YtVUchR8StBvSjU1VtZrKwQlQ63U1fthxB2bkLPCOjo1+ZVtJwlhle
20DGR0M1KoBlK5c55wzUUYa4krKGYyQqp1nTVK/IOLUnuAyxj6DGru8CDh0opdQAWuHk7QnJpzOz
yl5Urf7ieNJ3jJ4RItrJ6JLjMjYM6btN3C9ergescmdHqrWlE1ONtXVkHPi625lZ5oh/xW1Y8qkI
e+QiEVmw8BHI7UeYTNAix8i1zezGoBHPQzuOKW5c3WPxIGojWyoWDeEi8V+VsvMWmKJKF32psZV9
CXoGdh65GSo6WmXuCn4hEVYbpVZkJCwqCbZx9aOBnYmHy+nnZtlGyyhBlFkPIcwyDCYxCCwU85ZL
Tv3DkJLBC0zzu1GgsRvryHSjAK1+IwcsDAwgl1n15OlNeAt0ek2FNUI+LC3yBge/wOy0kvusuwt6
aSd5cYd+pV/ZA20B3dOXRaCfO1V+GdT02EDe+CG31am2wgVj0pkZXS8vGwc5bRk8lLXOjNX4Ulrk
oVXz7EXZBx1xCBloEqMrZ7JmHdN8Wq4MgwZiceUrxN1DpbVnTI1hJhDYuOqkAMLUesa7HXKnxNtV
VWUi7ga/gGIqcEVK1770W4PCBtpnyGGJi9X/1Rnj177ADZZH1fRJ5ZEIspNPIXehDflNUKMTb6t8
TXTCVVWpe0emaZnHMf5EqnVJZjP00Q6iqUGb5uFZxJ5Zzvu8Alpa1cHCrFTC7JNIX5gdwQ6Np5+w
Iu8dRDQzK69MN831K6KeraXmR+XcafNDoIaUYAZDwW7UljOll7J1gOo4dvJryYmOcdBuraq8bsdg
GXh0YaoWJJ0+JQhDFShDzpmtVj0mQtI3AXphHGTpNvaJrB5FdFsN0csQVtt+0LD+OpOkNOWcZAsc
lak0oJnQVNgBuvUoICv3Zkr7pGhWaOgEmiNrV46eupbbkF3RiMM1Kbhvw+mPkdkuk9jzXc2zhVvW
EitG0q6DSvVmXWGnyMgwIgYN1GlimQvXCXnrDZ28G8KUjEivESc9jLV54Qh9HuWAg2c+1vGqN18V
XzzUJup4AkZPOCZbdFlI7nPfP0NbwSho1a+yZwbrtlN2VZEhYjXIdaF9x3raQZkJKWA1wA3iVKdY
J+KZgh5m2Vn+D6WWr1RQ9pVhIuLxxZmDMF/VTKE9c0qYEW2izNSu2PVEM7lqa3xTQp/IjxyWgVdi
8JPNjjW9OytYWt2GFR5ty1giMY3uEwsMXugbVzry+RXesmJRD8W5Tf2zk3jhrMT2jUI43eX01PTK
GOYUV8t5ULWcThqxGvX2XrM6PJN+dy+C/jEyEmsWIEGRioFc60aa16HGhB+Kwwi/hz5IMz2UfUbD
baVKrTWnCK1DE0GHKOfp81h760TNK1CF8Z4FChFwS8rvQHRr1MHbEM6qio2lXCfXcaLtw9wAkTM0
r5nOJI0AyvtyzB518GYEV7H0x8VLapTLQXjUlqNnWXJu8jw5dpMBfxzXSd3vhZ4cq6q+iiooF1El
uSJSdm1FSpKlx08iMg9ZjdQ4x/s407t+eC2d6FzydkQ4TeZhJpEDpHscpWuZ1cnvNAkdKx+5Hwc0
s3oAmFd44XqodFezlAqtqqcsA0GWSmfIR1UO0MdnHS5+2RYnh9P5ttYayQ0A5y1SjOarPm32NqXV
tCoePSNBLVQZKLcKxFbDWzS2pyDCSah38i1FnGtDNOqMcT8s0oZdEoQQw9Wppy5QEWmzEWZon7f+
DzSVB2InWG8JeoVygJXCbCc5YZ+eVaPVV1VYAEQwgFfk9qwQ+ouIkQgR87iHoehg4+7852lPhQMi
P/WRiuzVk8uZJjkHZJDJosuBXnRO+Wa0hHkSUrkGXkX8KVpGd2gRJwp2BswCBceFZXDELaU5JcFo
LlTH539F14msoTsnA2aIYwAEo85KawTDWmSjB6VDeQH6uwkj5c5MGTCVGjSbOpGeEbSTfCr5P5ph
2BdxfA8To3U79PK8r7yzVOrppvaSyR4ih/s+FFDAhXA5dg9rGp13qu1F+473gpegQ5S8nPUii54Q
ODYH/EGcCMaCryOku0B2xC5oJURQKZ18OZG8fYafeKkJ8yZp+is19Xd4Q9FnRulNmso7QBqAHnOm
BjdfzMsohTc0BN48suorK6ee6yNPm2Udmn6PtNU7G9nk3GoKNkoyaJyh0c6WFz4J4AyrbkQlHHXD
C753iYXdnNsZ9uMsVI5xmn0fZXkHskRfdbIKtcPTbxWC3NwoS1/5Ab/J9RAdpN42XT6FpSWeODu6
dtItegeBk974HnJVIg6r26g2vb3up+08zsNhV5kOuzIlqVcGgSw46CTE+V60I94Ih5BktEzTepdY
DK5glAjsMBo8n0NyhrpCad4fnvsMyVkiVWvJ08SKTt5d0akJLyI2hGPnXxFXFLilJC+8UDpaoXPo
IMigT9ae1aZYDQgMBmwFEzcBfoEl3WpatY/kBG2wKS+zaJAJAimfx74NF3bmtAv8S6Nbq7V2JeuS
iZWITaSWnFFzXjXsKeYKm9UkU/15Uqp7qc7G+Qh6yIwMZ2/bI7Z7wzN2ekBHsc8DTAieh26f5WMM
FBR+qVhhFkhRXtaPVIErfFlKHq60yDkUTZu5em+eMq24Khz5KpSll0m1GvUmQdxK+GNoOa6FcfVW
jfnWEnxhauHkNSEM7VN50wsjXNQmTu6AsuEudop+JxvSafCKXe0gShBJwnEofWwqU953UvIN5izq
+UR6sQYtXgFV41Ub+hyccNVgpQrClaTl36xC3IAWgL/QeSdIKcLFxMRBRg8efJTRM1xy66Ql2icb
xVFxgp1IID91NtwKMzFfChtla+SX3rJT+ycZ4HWicULwtGuSaHH5WJ66NNS+OPmq8JehsDBOof3Z
DEkgn7IKX8OsbkJ1WwSB5rajGDdDTe6zjzefcNnN52f/j87OGAEcTaW/SM/h4uws0ozGe4Csh/Gy
kLr7WN8b1bBx1OAf1Qf/PKSzYE2x9NR35ctYCU7EGhsov93EoXqqmnwe9MMXANuP7kW3LMyGNGeo
d16UMVpN+Jwc8ukSzirVk4MWx5sua+apIu4/f2y/VrP+vBsdxaBNTcbSKAH9WnIg56AOk8ZELId8
rGN1hh5z/fMS/0iweQhfyrzKf9SXcsxfFJwfyzr/v1VsTkqY/1mxOc8z/7+O38LfBZvT5/4SbFp/
EMug0IfTnUlZx+P/y6pq/sHoojtP28xQ+WX+Fmwqf5D5yAmFRHWElKBV/xZsyvw5tGYIIxTKbQg6
/4lgk5QUfv339TQbHSklCfp3Uw0SRemvo4MiKIIjSG7rou7JJXTsF9yA2UzDs9I11aIxu3JZjOnc
m2z+ZrpXCsS/6Ov0mVClt3LEnmnH9kRpGm7BLnbzSJAmFudluEqbVFoZXY5Q3m7uRqMRN2OamQuM
o7w3xwKXYG2Mc4ejFZgJFeSUUPVDr+sHJ6V4VWnwpRm9eyUyr/KSakrqn3xjPHsqTDpH9/cWmzdf
m3vn0epv2rRnC++wX8plyo7tOCwqpyrnFIxuQ4suXxnFoOglTZ+FAh4hNTJitRW6DFryWITRlRM0
uDxly5WDaKcO7Q18HSoJQXIQVroahbMM8mETaOlEqyuV2yBDJaZ5j6FjWOsskQ9D2R9zxN+ur0qv
oaNbC1Ugfi/GEZZAIb8pcr5RGpyKyISWaeoVqzovtq0FhS9rqpKUXkLZEh+j2dgbghhDICEaonMt
Zx+E6aamcNDnIaBQe2MmHE3gat1zRmEDqnDHcW9FrtlExGNRYcmNYhkaximt6iMG1wVb9JMcgeCh
8O2KPp+gKdk86sq1qcKkSO1uCRYiBwfTrhxbsP3w9PuwSp/Z0RyATe/zRH/CiMgmGMcyRqlx5Q/h
Sa4BqGZJp+EHPohwozXg4ppQKmf0NF/8XHyPJenE7fAwYnMXpaqYdzpJDaoguU8K+hiyDJGMIsLs
l5DnWNrdZKYzzJkoI3MbytYi7vRdm2gOuz2vgxgXqc+YdtLbdijM75qkc9u5LV4LU/R8yF96Thdv
AoUyWiSB9cNDqxtwclatDFKhbyooHgHQmFpjD0hbJFuPQqGQWXeCECE5mFM2IZ9bxRpWZAn4lQx3
TQxbQPJcXB8/EIVsmoEtW90n6UxMAQ5weYiHjHbECGNH1Lpm5tvNs22KK/hp0szq+p4uTF7MGh/H
pVrifGjZXoQqR7sxy67DXNkUdePhQGz3nTEso4q3Lwd7gE0/a7QARbwuWuW6xgYXVaModDFvOLK7
lUmf01P1Z8OmcDEU7BAiM73T5ObaQuWBBS25G2zMKrUenZMS7GLSo0DLm/DJs4NzXaDSycbgJRr7
NWbbWxF1z9jUfY4KZHDApsPFas8LvV5ndITciXqVUjqSwOSlqIusvJgXZAUq0rZS5DdbwrBDWNq6
V5QQ9hXuDNEN6VzRqteu7Q5RbOObLMDXVdQYMTg56UwfsnU2MC2lgAJIPQZvImweDNN/LaCqacJY
1ik1rERZdn752FrGDX7Hbx7rJ4dn+Q77CHYN8y1R5O9ZNl7RsHXbst5oXUjoD9yqpd/KN16XY7LQ
ze9E2IChYj86G7z2Ue6tcWkWUbRkrm9CtQmXJTKFlZJ7D34ePRiI0NaEM/VzVM1vsg/90UwgRzVT
qGU1MzF/Z3ntNkk9JwVNzAkoWtqCrZIRkqekRnTiOnZh/SCcXdaHx0LOVKJCh02Yh/dh1j2Yjrls
E2UeV0UDwZUFxwv9lxCFFWSphLKTPDG7mhsnqs6dbosZ1PeJLarfKTk3ivs838QyDw+e10gpzj4i
L9kHI7mybAcatB+ZQdCj5tPLCr/JSppxPAxwjXjryokeAmP0V8xhe1FzynJzGoyUmEh+UusCb5C3
cXoK9gMnGlLeVLFIneoFxGizrA2r2FAOPkeVgqJBaK7hV5swARippfQc5XwY6bSAShys7L6TnQM9
+iu/Hvacnb15NpQ+VQ+qVEpi3UcW2RcVsQoSDjQQT9nLIDmyOcUpFtGmb0xqVH33avhER2NlF3OA
xsPCqPE6+pX4ntDMBbRl4HXRjX2tq3dREm3xHHHirOEcmN26ieMdGB1XKaOXVAoWmZl/b8FDacSi
uSych4R98aynNMmOcF2YzZU8IlKBXnkMeuOb4yurBK+sq0kWmTH1QooAvRWFthhThT6Ig+++OxlY
oQVaZNXKnuF8AjSXlbfRGt+wRJ7NPj7KHb5PvfJmvd9fwTKdK7q08lhrNZaLWaZVbiV6cJhJ/9Ym
7Y2KralSm2PtULOxxMFprLU3ZvtxQPplZx4g03RZCvsY0t3TLd5PvTb32/Y+7rwHAsw3lddtDas6
9FoL9awE51ja3xDJnKO6eirl8Bjqw3MJfjHylZum6B7NIAakVtkbassUwDWAem27aSmd5JF3rVFH
nlV1u8Nxu03a5NxyT0OZbPD5zmvNArlZjYAN9btOadgHFNvAEevazzirFjQitFMAQ8xMsqvBH0+x
nS3GVrqvsM1XvrOgLMBLo3bWngoCPNIWQ6mGM3oYD6kVbnxF572fnp1KfJM4tnKlJ89XPVdJ/DVe
N1qAzl04BpvRUedFnG39bIQxZti8IGEjVd5R0CzB2fbaxlN2r9Qvw6qZl0O1a41q2Xb2KRaU7+rw
2JmCPx1f8QaYC8lY4ag+RzLxuu1w9DxtibhkqYTRjwgX7UxKhlWfq5ias2tou3vf44xuZFK38lra
B2HFDiWQ4ZHR8mrD6jqWmVhBlsPbK7KbqBneOFoKDG3iJg6JH0uyqlg6Sqq7Cj1EisrqPYvxIRsG
VlIdFbuewzkV3TNm7Yq1r1qYiNCF0H8kGW0pYFM0NfKA2mYdji5LwN4M6G7JrEcwCSgwZhAkZpoG
aqoqrJPnNOkyTBLyPulBL2gRJdQDy4g6Lg5P1Ymbq543cI/k89TSMF0Hegpos1Ds8xg2Nb7C3Nk7
TKY8Ks8om82VM0QwG0Oqh2MJdk0PlWY9lvK+ke18WXb6Oh7To6Z0rD923Rz6pl5LkkEsPGop7CDJ
csjwQ5bd1HYycRfG6rGrcJb2sDrJm+DkzoZ6plagh321R2yWo/YBcMBjsUvFTbJ+NRbmMdKNcxmV
zkwlJJpiLItwERc3HoYDmmutNm9BVhhp/mbl0Ngxrs+BBuNMLf1NXQ7fu7RsV/KoeXNPrqxFrhj+
k8zO6YFOHbCAgl9T+klr04vz4FTm2uzSB6EU/lpPxCEcfAgD7VPeh9E+KSjdxkkcXAeFeXIMSVqV
Rfsa56SqU3TkoZd0Itj6GbRCMQ88DwmFuqEhWTu3McBzSFDmrdeXD0opR9QUk/Ks25W/zLooPxZ9
TVDVSGOU/BIQckKD5lAD0KzswWH/Eh2wY1GNdlL2FGU8s+Qm5FWlOY+FYaPT87JrwkWZ9CX1EMPB
Ex8FWA0dr/tWgYq88ulMzA0Yxn92wv/vxDgJEv7nE+P6W/hfc3K2/d+PjNMH/zoymn+YOOmweaFq
M9DTvT8yKtg0DOq8lCV4Y/37yKgqfyBeRzOF6ohzoWH/fWRU5T9wx4JQ4m/KJgYF858cGZF1XhwZ
TV1TkVeSG6fqyI4crvRew0AVkEpPkyTbvsR2nzr+SitiqL0D1DLEA1eBXgULcC3hTFIiDoS1uS2a
aOJuwgLJsuyYlpi5GbTAZlo6ywIVzoMPiWVhTFZ2zzNtJoXyllaGBD/U4MUmWZJrSrr5rIjoYaCW
PG/MJFiUMkDzzjKEi+pph9GQvUiXvqaycaU0xnPjwEWRe1q2MMlfSmCMM1pPYkUvdhvGUy+gqJ7p
XAwHo/eeiOFUMShn1lyPpTez78slp80r0/fOdJJQYPR1P9fDoj42oGSoCUF4iQdTx+uti40l1LfQ
aa91K27WkkPPRXWMReso42LwWWsUxJ7LvkCrAN7JwoKs3bRRsbarkZdcTpUQBGo7b0rIMp3Y2UnI
PlpYrwWa9pnVTrKMuFwkalrDjZUQDiPiIeyHivk4i/ENLs3ayMFKmSHOJmtVqHHkaiq7vVF3QClb
j3VnHUKDpnCqG5siLo/sSfdKSr9VyXw3gVlkGSb/4c05f9yQGxbMsKAu4z794U++cTscX0VSul5V
3phacqcp2U7Jredq8B80tXmSh5zzXJF+97Rx2wHFn2mwPFe6M1pofYORlgwl6r4nRCaEHlV41Z1v
6NnCcTp2grJ2NYS6fR2XbAm7Bh+nlNgRMOd2q/WOsiPAsOERshaVtXiFwsGwskGdjjV0SkALbiTk
eO57+jbAm8L5LiJpCMFPJZBP1CM7CilCKRMG9cuAxnCRRPRSG7i8L2Znc/KQc0QlqaBiL+TQ7QTF
CArA6IVLcJ+Bk9wGdvE9qZxTyp7ODXqit4LiVEZBgtQt3zMozD1EasfNWxuDUTiuDMnj473xICq4
BvwuDrRKE4EwL3mEpbDpy5oI9r7+0erSS5mZBdZVaeZb0lET8U7PxXXNOXyZhclerWkMh+EdHdJ7
BXXyTwK32R7KvPtWV9FVXZCIGuraFWDpZOUQauiWcLsQrtAZTUtddhsTjZCRAeYj79JudMutiyJZ
drH2Eg/9K5s4zzVM0Ky8WCPi7ooIp2FgohywTmzYryXPgygWSN9HP3vUpp591Btv2VgNq8ajG1RB
izZK6dUpxpchMe47XBjLURTgLYv8BbayO3GXCRVYVLJ8W1bKY2QqYtX3XuF6qCR23AbVbsmO57lZ
38Q2wC+0LP5iHAJzDSIkmOcw1a76tEq2FtsXl6iFb2qVizVZAc66YCYvmrGN6cBbzlOsR7exIiEP
LOQ9bSb5nHdjD01T4p2b0r8HQa3NAij1cwmp/Mwq+3RWlDG0YEneNEkPjKEhkWVq6ct6Dpu0scWu
lbU7r2jipYfWqhl8BE4lAGNBtX+Wdk6xlNIqd9FTzPtBmvbZPPcOummcqWCGOwcNdP+kimzXiuAa
AdaN78TbKu5InvWjZVbXU1uG5BC9BkwNiUvvrCmZIBULVuJVqKVHEDUrySe2w+ydYxszm1EkrLqW
T5Z06dKyGmdmKt8CwrlXze7Nr7BHVhmjgOGD8YcD7LyPq3tT97tZXKYvflPc4LO0NmE6gGFNRT7v
U/06chB/DAFVB792iMkt4AcXBkzgIYMoQSpvvogd4LFAfvqAJ69PgPM0hzzS1k+WUu/KFBcnwXwQ
n+JzWdX7kXbdolT6dScHZyWsv9VdJpaBMyJKkfxu2mgTTuiFkK1SqoOOnbbHQJL8ZZLUb9jExl2n
etkMk7IzyzPzlVpr+qe08P+2JDaF5c+2JP+1Cr99tCOZPvfXjsT4Y9o+WCTc4Lf62a74q4itw1tk
QyBTxtawtSBM/xd1QNX+4IhCVRmjFoc75Jr/LmKr6h+4pkEjmoACJlWq/k92JNN+430JG3ugalHZ
hrI0GTD5Y7/sR1LDd5I+UJItLTum3Nj6nJtONhlzZfuVrW7S2X92rYseVK1GtiKNTrJNbrFyqCDm
R9devnv+CHAGH8LlO5f89H3/vgZ7PkRI3JKq8lwsWb/sc1larUNuyeqtbPgbfMWLKPrxxRXULy5x
sYXLTJjYwkvrbT6uyyzjNS7ZgJUicnP7eNU7qEU6neoiTfF+pjj6tmuzTaTRr8fQA/2tD3ZdH3eI
euiqirH/YaApG0JzUZl9MSvIiqQqTumwoloRF/O2rpcoLjYxuSamnu/KAVRlGwwnX4xzzddpNzfZ
2cud+7bxV3FiHKqOLVFVSWshwGvFKJXgLUXshT5/EL92P35/1NO/v5PjFkFrDkPFc0i9ciNZyFU0
/S0KzK1PlTHpv8xH+nX4/Hk9k5047Ut96mReXC9rZRXlBj9tVfJqqTzz0HHDEjeOi2DnUw1nyNIh
57GM3njKQokCWgIohgcX1+XOUM1TwUNVQUJfj44cLT5/Hr9u7X//ftP3f/c8JEVtfF0liT6u+w3z
nSJ55Paxs/7fXYaV4f1lJne2pvswqfX4FcWkzosmKfsvxNY/5/3lPHr3sC+T3gCjgqyWuJnoscth
fnfL9q68k55U5ylZ+V9M2p/sgt+uhqPXUWhNO6x5v95TogSlSC3uadpGxzpn/gC155hqYp4OzTLs
unVsyaj76mqWwReMM2v1+VNVPprVeED++gqXzmyTo77WCL5CPc3CkelY1xRdmJ5j19PZQTwZZ3W+
jvguHPLINIKNsqF8EXzxTabl45NnYVy0nFnaDDyOZb0tOnTGcXXKHzNVc2k6fGH1/3C8vrvj6Ym8
G69DQeVGptq/BcQyr6U9212e9eePdZqTv90MXBuTVVk3nMtcsTHT4kKFT7ptwAYAgqaGshiLldrv
veyLefHhc3t3qenf390OYHACjUsuVY3NfCJ4gdYKOmcvvX5+Sx+9YfiB/31LF8uQr/iNoflcJzwk
q6/cMxe+oH8tIu/++sUigqfFCwe54C7SXem9EMlySMzi4A/1W6J68cxESa4YmiuUL25r+sOf/VIX
U7CnzZUW07BDHmi7epbidwAkPLbKmzFoyUoZ/VOCDv+LheaLp+lctNCrppNSDjK8RMwrnKeZ5H/x
lvpoYoNqlaEGUPgBd31xYyp13sxG17MtEMAZN6K/JQH6NO6o1nXVPZ7Rz4fHR7/g++tpF3f09y+I
mFTVt0O+Si2HCgWdU6dd5ki2oN3sFT3/Yqp98CS5LpgzZhm1iktr15hnXoAOk/dC2rmIGKkGzD+/
ta+ucDE2R88OrQ4q5bbepwoJF//IwTgNfcOebKHQehRZZTv86wTu8ooeIuLpbdPESMyvE5Rdk91X
cpTDP72RX6803ei7pUJLciXscFFsS/ZGu0j+Qp/0+6LHn7fgHHBHGjSVixU8T+Kq0UmP2+ZW/DCW
dArkeqcpzss4FIgPvnLw/v6z/Hq5i3VcHSS9qDwr37J8z2hqLqzw++fP64P386+XuPhpYk1NiLOw
8+1oXceSvrATaWaGR8Qg7cKmMSi7mV1+MXF/fz1N1zQJ58WRDrX2ct6Galg4hNZvxyByy/7N8L4r
xvDFy1b5fdn75SqXPswmDELCyeV8K6u0TlCP149lBFi87tt5GleoftE7nHqSWWeIgeJt0cs3acc/
Sp1ebyjfPDbI0nUjPUhxf1Xq5p2RpF99yenx/ro2//olLwZUivfAkhwehRPM5fLe945mtGnJzoQT
Tl3ALYsrQ37mNPX5z/7xOP73L2BdDCxJR7rr+yrTJMEoQxYlgZIYfgiaM86qffv5xaaf87N7vBhi
TZ9CtPAm/Sd+w7i/C6v7NqOpqy/hmK9KIz94ovuTlfj/iNz714rz9xCzLtaButQzYfYKE9VbBLeW
/eDIXyzKXwxia/r3dyuNQkhJ0ZYML8XGjUF0cEM80Fd+6d93PgwPwJ9kJlu0quWLi/Sl1cLdCXGB
1NTVnFZkW1zTEZpbKdqSQa78J+MCnNoEIsOAa13+VFqjJW2eFVtZRtefZSaoYZ3uXotMg5xCaMjt
F2vBh7P03RUvfqiqtzvKvlyR/Ud3Gh4+H3ofjnOUscZP3t1vktVkcBKFkhoRCYigbBIm23/GLfrX
QPv7CpdCwdwazbBouIKWx65NE5WsKuOLX+XD18C7a1wsEvwEvs4moNgWGm/oGJQ2+8gvfocPh/O7
a1ysCCE7lxLTTbH1e3nec/IUjXGm6fzFrPl5lL9cDGhLAChyIKopysUIC3Lae6RBMqI7uhaJjYRQ
StHmIUyYtUNyF5l1sYsT3jlWbKpA+cOXLMgOXu28hp2SLJDWI2bQknMSmnh3aofo0TRAIpb2zc6x
6SIrAtydbVOchig9AfeTOMfxZOdwpYpSx/6ckhRlZY+lNV5FeEFmoO5JXw7zM3gd6L4rtGklB6d/
PhTf3/jFQI+lNPaklgdcm+15dFoFEYlMLAaaBU9eFHb8j8+AEAXfPeiLpaPRUBVl2vSgrZe+GX/u
tzQcj5/flTaNi89+z2kFe7cMQq9uRZgFzLABODTkcAUnYsyWfFoqqqilgRAn95msLrxg6Ga9Vp8F
95pzz7UxPCsdXjllzEh7DOZaRsyl0DCnm9hJB5zQuTqS6JvfCiyiU3LSdzmhTlD55rWeyCe9U7NF
jyccuuqyipEFerSyNp/f4UdLCEAimq28TmzojL/eYKqnde2JaYIXwc4ERp4YGytNV0WhQ1Bf/CcX
g67A0gui7xL1wZu4NEcUkVu6N65lfrPocHb08pyvfreP3sn0P0GBUiaWkSj+elejpWU+aYliqw/5
C8vzTZUU112ZfTPa4DkxuyujGHdNSLrE5zf40XL//roXBw1OmWhgMDJuZZzLNc3c5+a7eLBug+iL
6fYTTnc5MM2fff3pZMh2/dc71ByiWdCnim1hDFeOFD3Tivom2QKlrhjWaeggZi3Ivqwdg9SDLqZt
ia90bOtz7hWPZZCJBfjubBPa/Uytj8ROzIKsWmnlMPH1sUBLHnGk+cLXLCwv2t5DJUe5fQHKAHdn
sxtwjwPM2I66f5Bb2XeJ0JzpPNXPH+hPKstn93mxrhS445re7MW2rcl9LCwSMENVe6oUneqtDtsC
1OG5N5QjWsl1pYW020mGZmoqW8/xbqIsSRcKe5cxTlWXtuTN4KVPVYo6yzFw8g4eCu6abKYCE5I9
htamMVBhFzxDXKb5F28h5cNxSRYVU0AGRXM525QuxW8kqWIbVLY2J3sVBy5uJNuA39TzxTy+YGYI
FecwdvvQ2EMcX5fWLQrTK7vVXkw5k64Hk3BsVXblNt5FpvdV3vz0RH974u++48WrshxEFuMIFNus
CGgT4HYc/pNZomiGAklJRtUyPaV3i6rtF6GkDcwSZRo4MiOotuRnP0B8FauPaaCeCWfRvnj2H+0A
2PLhyEAo42jmxUKXYM/TdRGK7bOcXOXNIle/WNx+5nv99uDeXeHiwfW1EkeDF4it5eEaJ8lLsm15
2QXhS4hLdWY7eTI341giQcTBTj0a+8YxpVXUCtvVLLRlqbSQSQUvPEH2FnG/TLlu6tzb937tvYQa
jsu4cpZNTtCzqUqbiN713Ey97dBh5RxkHzmDidc2teTvRlCEyyDy1yFq3M/n5IeD+N19Xiw9ltnF
UYn6F/8XzTbAA7MyG+YR1xGD74ZZC4hf9AdZq9efX/jDkfnuwhdrQVr3lHEQTG5Pi//lX77YTWRa
Q87BwF+eY/P9YrR/+K3/m7Tv2rEbZ7p9IgHK4VZhB3V2B7f7RrDHbSVKoqisp/+XjPO5tdk6IjwD
zMUMeqDaVSwWyQproULpoGKGciWfxqMS2NmkLoe5GqTnh2ez8ffNsunZHwL4vB1FC0pUVqQOMccY
AP7zPGJqAozpAjECPTRuA8ly0xVKnNVhVd8WC4/qf7PT76vYKirEfVG0uVEA2iX5WjsnKz7vm2nz
9wOJxwHIuaICh/Uy6mAcpNPZzGqwKRSnMUPjUPp9X8LWcxaNdn8kLL9gpcGUKswkc1mHhv6LdeAw
AFGOm7Y3IHj4b4I4d1Unx0gYuO3D9KEeH7ozermkUZAL3PQqwBygbLmgnPMvmamqclNpGF5M3Ru6
T/wMEOE1Fey7rdsnzsE/QjiLmWg5xNnU4HncvACay3WunJcqEXnuthTbwlibrWFanvPciKoyi9ue
hqXfP87sa5pfRXg49aJl2fQwXDb/J4c7ANAYlTVxBznzVeENX/fXXKQE574gITRVvcbHnUN6FYzH
WvB0FX2fW4o8d4wcZCk0BOkNwakBfh00EP8jEiOy0aXr7ptk8yBa2Zt7nDk9K5sEKDyhEd+CqYPd
myAnmZJj+b4vZ3srfKzrYrrVvq76hikSZmPCNvUlNMK/CXbB5vdRv8VzVgaCGl9rNCQ0ueX6QNGj
B7SA+1m9StlxX4VNs69EcKYC7FVSjjO8hw3Wz6Y2nnCAC64Fmw60EsFZKR/A+WSTkSIoDQDbGDHo
2D9l9auU+vu6bCb1UWw3NExTAjKSf/tEdpGkAISlIaG9480T+0obG3AVg/EzLjC5JA2gE59i7Smv
hipwtDttMJ8Ev2HZbp8uexj6W6rDqmnxN3knQkKzqLBmFuiOEuOXCjgT54wBRsCWAchkX9qmg6yE
cYElJnLcEjTHhFMPYJC48pCNAzeZLVjBzfNrmT5eZo8xHszdy8FpSZ28nGBXFmrZAZ2wcXWDh8C+
Mpuu+CHlU+FUK/HEsGckYUfzRECO1A2FwENEIriA36gguuwkKAIQi+EJE5L7Gmw6oLUw/aLPDWN2
BufqSR8TW5IjGqLaYnstBpMVXHYzhz71UX2s0/RuYFVQETyP4RcgSxMBtG7ttfUPsC8jkqpSCyMu
+AHTAl2TgghrATbJDw5S5nqmCcz5+4rKO/taHOcYyjwXlCwbLgebaFDkrfbUt8a1Dg7JLlODse8P
HWnAmRWB1pgAkciNqJQdkd5PfTzHn2kxXsvDeIxp9kwG49XCUKgKwkw7YzVa3DPg6KinLGu+UYq3
e1I7kwve069Uz68YkC1cWxPUT7Y8faWQyZW6a+BJkRqoT2HaAxhDGjEkhieMxFRMGjX1cd9dtnYv
ADIB/q8gxut8VVUHA7DVmLBes+gCGrArk0gAyp6poDq8LchSZfQS4o7L95mlxMnzaFJwhI8UEEqw
oLNMOzeKqNNnUxCyeCjXG8AI5u+GDYmQTsnRY2WpFWCwzBS57hFJyojV7/u2295qK1HLVl+dvfqQ
ggYb4Id4bGLSFngkmGmoAfQNSc0icjLoa4zR/peOkm9lalUAqBIyHGw0lRkAqvxQeDHI6lekkmVZ
EzKlodJ9BRuxP1K03kcpOKkT9nVkDP2MmOVEnjXEI/K50bQvNJPvnR6D67nyuG+Szb2PAj3yp2h+
BYbm5W8pGTDhogjNDLXpGfmTNqEjHbhXU+uirXpf1OY6o2F3Kc7ZaE7l4igFjhJoV6C2QZBA1AHX
dAv2wm//TQh3uAE2xoqYBiGancNrozSU0ZKfDWAD3Be0dSqgJvNHm+VIXy1iyTDG0SzaMFSxVPsB
PH77AjY6duAmKwmcswKhDjgOv5cGq9/CC2Z4A67tYaXbwPpE1cjrQWkEBDfjGyGKfsS4QBwOTOv/
har20oItA3oEfssFbGARtplkoyfQcSVXP+yruWXH1cf5fEOMVoNGovi4pmMItQRMotIKHE8kgnM8
RbL1xikhQpF9IDw5ImK1rfi/VoHzuazrgDe2fD8GVyRArDRooCUTmFhFJEtbW8gGLc8yvueoNt/W
nU1K3mYUbWKgs+zZcZIw9p0IrLWtzYeM5e8rxy6MaOoRiNHyChjVoKwxHG/Vvxw1AtjvZIiCwqY0
9PejbGKgkm5xd484l0vgekKjJMlH35DbX3L0wizSXtWJKNZtBl5MMf4RxjmyjIG8DIBtEDZOt8DA
+4HQ90RlBRj4c4VBf4B+DfIZSLWVN0cvTtk/0KwEqCBYKI5akp33PV+gus1dG8oBsPJ2igiSm+TL
4GhHuUBrnlrd6Rje3Re1KMZfuVaK8zmLBOSsoJvp4TdWk3q0Nh4tCSSsi8KL5ooko4JMr3sq4oP5
fXjzksHrAeBwE/fbTyVs4JhMIB/F+o7QrELNM8oAFlaXATjRXnFhm102AlosATYuSMq+AFDH8qq0
vUok8tMYO5T09i2xGVUxS+IAygrgSCD+uXTvCMhVJu7TsDqVh0epN+8Tml9PJMhi9NmB7L6uyEIY
5QP/YiHPRVEW6VwmCKlbaw/6AFRKF4oti2/yU+dGRiIXXYoFPfZfrJfmPhM8jEQSuNMjj1CCBXYC
DnaAZAAGFWiULhqP9625FY/WanDG1OdMbeceQhRyPdh+AljxRnAN3bqzOcDqB28lCjyYF+UOWvQl
OQA3hKkcqoXEsd4GZcRFBcjebkoqQJsYyewDsePQa+PgA5AydW1pEuzVLT+++BWcOXUQsA95Bz+m
KPOhnZEc2ukwYRpelwJcE6+H1nAJ0E2CvzbwhVjOwBGZ0haw6W1IzsDFoE+FLcgWCc27+NEq3M9A
KuomC+YFaxlemPTYKf7LQHwM/87Fl31tNq2IewT4ENQFKexTMyPGkgh4P5qwMppvhl5NwLbprpUM
UcBWjxFADhMZCD8SAyKY094mCsaczUkD9nDGBCu64brLhMX/fsqnjkdaarFjtE04F80RyaabKidH
SbAJRUK4m4fUM0ujWMHQcqw78HO7vQKIHn0SeMlvxgIuyl4oo14uYtI7Ra7TrsHVGmTTtQEEiKVl
iFhLj8JcuiPrbhs5c9wirYK5R0leYumvHKjiXlc1b6lMTa9zBnpAg6F2n9m9dHSGHjVj4hysUX3P
YsRuoo5gv+yLyJe7WXeTtFHAQYRj0cSs0Z0ex/Z914FdXXYK496J1eloz9qZ4RgHIirw/JUq+6kg
fXFOEexzQ701AdsVqEuElZdYO2Tqc9Yv+Gf3dQP402HZysOyqTvsbnkAjDO7mjs0p2XLvrfQig9A
tq68MbI2cOK8DcpoeKgKWh4kmT7FVPteUox4Tib7oRX1r8wxT8mc9P6c6BiI17X6MLSq4416drYY
QoqF+da0wSy3o+D9owBWyAdUTRUolXYbwy/Z2B4SW8DKs7kBVfSp2yB00XAgcC8woy4qPBbRBcSk
6SGRaBvo0AfkIXlQJ418dGqLehbJc6D7JOj0MpMb8BQJduamo65+BHcNi8BzUAAqHJe+Jj12fbPQ
QcFoj/v7f1MKUB8UNGeids4zV/SJ0UcM52zI6DfgqzVvTMoEB+u2CNDpop3rN0fw5U7AsSobtE2Q
TKieKsDnKpR5pi7YbxvXqWVc9I8Q7jDIMF8MqCJYq8se2XzbzwcdiKfNARMjaYoWOSJQauORjts+
OjLRSKHj37gwAl5zWR0MpQmBz0/uY/bTTm9s3QRkuP8vFmgliIsjhZPMw6TPDUjag9E4ayNgBAXn
+ca95EIX7jinFNjHCpWbMAdQGu3Tr41aPEtZgzv45O5rsyzDp6i40oZbJtVMAEafQZs5v1YHUBLe
739/09dQMfi9e3G/XdxkdXQadtFYA2AuQutqBFBvox4YoYIV2V76PzL4eTygepSzHUPGOE9uu3BA
Vb41o0miv0GA39dnY2YHaZkPhfiZuxhtATKob5tQlV4Y2kIqOACAPJMh0CTBvUNgO4PztKEfRkxw
qtBLwgTvoX8wpud9bZaQ9Wn1MUyuIW8hqygLX66OGauWVTK7CYscSCJSpQXyoAfoBgbQeNMAlqND
LxJ27L7UTZ9bSeV8DvhmKUN/cBPaWgq8Bc/JcoHltoIPQigQjE0HtXSe/jjBWGQ9NVUTDvbjqOkY
QGq9Wdeemyo/x2OE4kHk1WYqCHmbx9RaLOfsIEqWAIkCsXHQdX7+Zn1tHmagjn7TjcCRXmxR49hW
nPiQZ8nc65jGXZrT32p67Ym4gSjrvLWx1t/nYqo1NX0V4/ITsggtxoBb8qzlopmzHtxHwyMF58O+
Z2x5/Fog5/FRMTq0KiFwpE9l0XqgOusNUTPcvnNg4PvS6R0k7IkyUARwW6pdkH7/qEz5WDJA8bQl
mTCUUH9DneSsZ10qiLab+gGdeIFPAKwgX5ho0X5mOWnZhATdn3X3xRqSozgDtukWKymcFUtcgwmS
bU1odncNoFgAGqUD2cX6ub9Ym3ZcieHsGKlWbtRg2AlzonwZ8/iH5dRPRW0+TKp81U/Nj9pYRguF
2YnFq/mgpa3kcuGDEl3X4ok0YVs9NEAttfonIEpeqXZ8zvvfG1sHIqkKWM9UTgXH2Wb4XwtfVnh1
npGk6rO2WWxbq1cYCXqIR/tNnSWKguBBSx/kHkBUff6MEUbn32yOld7cK3ScpdSIwUkQ1g1wJMog
qltQQEUCF90KzmsFuas2Bcuz5siQ0j3nIAMS6CByTe4OXbamJcfLBjdMTITE6aOjjue+Vt0cnXwC
TbYON1wKVN3UUTP7NKsDjj7mAJwU+5wlhy4yPDSGBiWOa9bcW5PyUCgC59jc3R8Cf/vOyjcA2WgA
titvQqTUXAm4yEnxKBev+7tuMyavhHAxudAyhswYvH9O3sB36+V17/fN7Tyn4KRw/H1hm84AEGhw
SKvIUPLvLl1KaDQxh4XpDEYmFYiWaKLeF7F9aK5kcC6RSZqdUdtiIQDVfpKucqMCFWnIk5zvnX1r
9I4fdY4PJOhr8AT9qyN0JZ07siNJqkA+GTFkfYcr8PwEJO59OpQnh77sK7rtHX9syaeyNRVwVDjf
WGg4FZ70QLk14sQz51rUFi0SxHmImaZ0TkjchL2hnlI6HHWNndpUP+7rsx0KAVekIGsOBk/+pcpk
vS9kkixxOK7vE2c40yXoMhPhdyLZq8KMO3RyHezKNIJmEB3jm6FkJZ4Lh0m95BptiYWKlqAsy/7J
ga8uKR2wzIB2va/rVihB2mGZ+sP8pMyf27WRm3YC2g7kjtAJ5A4vzffRfE2/7kvZ0mgthTu3O3ku
CWDu2rB/de6mFzkoHMGaqcsn+LNzLYI7s7NJkpwxhQjwCgfsIF11YflqAhz1bX4F8pAKxH03u08b
960GkV4yn8zHfR0/XxoAFbMMIzmYQDU/VecYcWq171S23IC+jTa4uBVmP019FWayTv28M050BnGL
Laqy/C6dX6p+KZnzFy0tzHhyFIZhgfLQI5WA2x792kQt8ZBIGrHpx1NhAEq8iaqnyUpTgBQWpksa
M3VnC5iWZprcd3J8yttC8jp1vI0sM0RzjZfT6JRmAJjcN9XnfYwfrGGWytAXCnu+fdrOY3vAUCIL
gf77rgJXPW9Ac1eSPNiXs7GRLwUtp8Dq3AJoem5ZAIEPban3nAm43+34XiASgyPip0ozzyCxS5KH
RpSI+ny8XApeLLAWPKRW18k6C2tdRuoBAO6VaDBdZERu1RW7GzU5hW4FWC5oAVzCNg2URBNsrG0x
QJG1cFACqpU7RmYW1U0rwa1t0zwVVfYNY0cPctcJpiP/P0v1Rw6fkc/tZgCvGJw4o+WxpxOKOu9m
/C6BBBPYkb7dg7y2pD7IOATO+Dk2LUv1IZg/VGqgeCag0Q2jTn4lcPgCjl/p8yGOREFKYEseSwDz
ZykwV6Hj8khKM7S/DY82up72vX7T99Blj2ZSBXC+fEdV1iqgaAQvB+asx/eBVq8z++vrIEy2ksBt
K4W1NKmrjoVJ+0rh3Nl7P/x17eRSBLeBSivVSd6NuL2kSuVHI/lHBu0yblCi5d+Yo7uUxO0j0wFx
79BCmcqongdQtD4oJMIVxiqnMAbqQtHZYY+YSJbgiCGzk5lLd/ISNo1WA8NViSRM1IPiqY1cNnTv
AD4hblzIp/1V3XTTlc2ty4iCxqZoGNsW292s7tsYjMyTcrKS7EcjqQJRW26Kh7yu2paqfoZSqEam
SnVb4z5XNPEZlbFb1SruNbPQBIK2dFoL4kyfAwG5nQaKgytvlnLVOXtBM4GrdrJg9FOkEWc8wI9C
pZ7BYaM7x3al+Q6wq/vrIxKxXLRWEX+WLLSyjg0LR910W7CDaADMB8GZQMzWLWNtMi4cp6VmVVFZ
snDKgAUcz8rdaOvP4CEpAXzbKv+Aqm4M9Pz7v1FOs00ddCImLjmXyvV514CKpID9KksOdWW+M1MV
OTMdGIT7khYz8XcZYH3+kcSFljk30dAWJyxUs+SJYfI2BoBhM/Xsek7AMFRqNUDnFGAK7ovdXr0P
scvfV6tnaRbJMEqK1dPi4oSM2fcmKdg1yJgE+m2sH1CdFqB1lPww3s1ZstTaGcTPTomeiR4Tj1Q6
l8p4YOo/6qCeOzn7Uhnxe4ze/339Ns4EiDUwImvhIP/UN5wy9DkVVVyF0YB+hRQT1+Dblv5+MgSt
aSsp6qUVdQmAoEqZVCFJi9PCYQk+3Yd9RTYW6kIEZz99iFIQXUNEPgbt3axOrpSJhkJExuJ8UEpA
x6grMJbEbqYZHF/yLLhUbaQGLi3F+VsfA2mRyVAjazSAoeTmMXbAAlzY9LktmzcpS3IXrIwLCyvY
UkYl7IgimmLeVhMpU7QhAUWBv9mBuSEGfLdVhmSazlKPp0NV/vj71QJKL8hQMZAEd+fuVnaOtUol
pUSaXb6J5vaK9mAzF1wdt/RYC+G8TsbVUSIphPQ5wQV48sqiEojY8joTwHm6IoOJ79MlOGZGCebM
RYQBMJI0Ow5tcm7Lv8eWQ2xdtigmkoAAxyelxqYaMWsylqFpBZLkGk/7q7Fx3OLzuMSDFUuXPxXg
ZX00SsPqStBpM1eagEwOpCQJ3W25/r4v6XfjOBfGL0RxJ7tRxAOqK30ZToD/sI9SG2g2EIVOU3VN
lKOm+Q2OefyDRrvSBxl1b3vFWTEEUW9r2dYK88e+nhBmmG0ZNvRaOTWqZ1nBvqJbvreWwJ36Ztun
hqQ1ZVjMnnZNZ8Hnlx+4Z0butJ8w+x5VJRSYVddMXmd6ymPfbm408/Cf9OALzZGK2ZVMhqDY9AER
X9bP+98XrARfW65l5NNSQFKHysmpj43t5n+Px7XsnT/OzZeU0xTAHt0iAbToZ7TjzY6PdmWQSO4r
snE/uRDDnT9yLhF07WMPRb8sehfdlbYPJtx9GYJVNxanW11GNL3PhiyGjNkHVXU+gx0llIf71vr7
Z9xCwWKqtg1m5U8PxVhRmz4phjIcfo2FpymeGgmstbk9VhI4TQirTDZThAFKg+ar8DK1GdBWn1+8
bmWoiDBLZ2gFDZ1/stIrwUznq/S8vxgbLcNwrJUQLpSBn01XpRI6dENAlVsZzB3f9YWm6iingl24
6VwrUYtjrPTRswIt1DZENXNoD4ETdj9RKsZs+d9PIV/qxIUtgIoMVQVG6nAGA2NfR36B5t2skgTL
v5XUubAdF78AmZgkkQE56ujX+tVQfm804g65Z3xXVTd9Iq/7i7W5cz4MqMqXBhztokMDGBwiqwwX
NUWPFPpB06ebHmxgHRM1QIvEcdebukUlLsogrikDcKJT6AUG8ClxC4FjbOwjDc1fyCqby+WdbxhP
qKrnNkbU8Spy2VH966YsvChXX+d2qZOTJqp1iuAvvyXAf6uu0ugoAobf2KsXQri92s2gapEZVOhA
ujgFMUhTxlAEC7+xgS6EcHvVUMwpIQCUCROMz8ZBAeSlZzUL4jgwwd6y72sb8ySXZuN2qyoXiVEA
CCzUUTTpm4DqweDcm0bn+p08uFb3kynH2j4J3W7jML3Qktu9NVr7lYrh0nEjV7d2DTRUf181kbtx
21aqjd7oR2jWuNUDe9v/+MamWf16lW/tqeokU3tSl6FxHYECV74vNM+WbtrnfTH7/qbyTw/dlKwu
0iFGewVPkf5gjodalIzZdzdc2S/DjY1O0LgEUWeoRFfV6AIMKivcprvq47AR1fy3F93GLISJOSmw
pl3KKhipolTF/aaMgxqoi+lBE5VLttX5EMGpgzMAoDYGRIA5cL7VvyHdblaeBOQoYbZ/28M+RHHX
KMlOIwMwGPCwyT2Cd2x4AyVw75yV/PlQXbcpOg+xcfJj1Xj7brGBdbzs2g/JXLDrU5UVIJ5EHHoD
TwbTrx37Rw0mjYcm9o4jsOfQgfKdoPdcGo8C0YtS3G3+QjQXAg05NYbRwb61ML9d/CMbfj2ideM9
1Z+pBmLO7wM9WSKpIr/hQuJoJz1mzaAvKV2ykM4Fom4pkQQuDgL+r8jRf4/jw/oKBsoZ7HgHgeUW
596zHBfxqExVED3hRgzsPi2o3s4kbKJjJ3IOkVdyca+TmNRgrhe26oL8Z60IToztyPfH9fgSl9VN
YCqTYCjnNreDNJyfF5aWv7/Ur53M4uKEHGsEtH0Qop0Sbzr/fTM6tg8waRfwARu9R5wPo+xTWhIY
x8N8UIA4qGVnuywfzaKoMcQTJ8dUpQ/7i7/pXiuJnANrmGNDQYbg7iM/mMzV7e/7399cdDR+gd7U
VoF1cBmK9r+1eeisvsUFFyd2CkK7FL+VBNIpbm13kF2jF1hE9Iu5NaBoDJ4TxSnCGaXEWq/8uKj9
fUVEIjij10ajF0AcQ14jO8+Tp4mqbqLvczGDVYC01CJ8P/5OkiMVsShsnmSrdeDiBYZ39DoushLP
Zj3zLZv8GDIThHSjha7Y2XdYclOOYML8b0bjwofU143qyFGBaVf7ZiIJaHJ+/CcJfKdVqsodyqLw
r7z70k4uy8/739/0X4znAKABPLCgl7q8ZKQgsiLaVBdgG4xByj16Exrmh9Q4oN/0676orRShJq9k
LS6yeuyCRnhoTJ0VYTbKQ2AOVLqJwBRN9OQ6Zybovgcw3dN0wPhTjpFsKW3vSQOiLy2db2YK0GkK
iCtFn8tbFSCW8CFDsAc2A8/qB3LbrGGmphdFX4RUSl5sYLs0ium1kiwI2Ns2R5MZ5oAXXBDOa0wC
MNpCSiGGOdWDTGcDjyPdCHupoaAwR8vgvuG31fojj4dc0KuctWpewu72s/WMbCwjAgnLL/50WoNF
+P9pxKM75hOdM7SZF2HZKa51pxN/0H35FSyArvX3bQJwog9R6qUTWYrUTxOFMi0GZc4VeEBJzUB6
n7VGsG+2rYiFQw8AyWDQ+Qy+oFNpoHNrFqEDnrVWR0ZOhO+/lWnC1NqHCC7oJioItqZBL8LOeDVw
Ie2SyjMm9bscv0Y5EkEAdQUhZ/cwRvPsxcS5ThTreV/LrcC5/glcXHYwt1f0iVWEw4BEsPGUz1+r
p/xpnlGNELmJomy54loaF6ZbcwC71wRpY4kJKswm3dqkrt16HFK8PKYvdgf+ZslJHxaqdJ/MKFcs
ZF23eS+F6L2UDjV4oI906kFrrypox5TvbDN7LKTqtsAok0fY9IpI956qs9drhY/BGMU1jNbrRpDl
SvlTxKjh1g4og1H0+xJH8RTUkZ0BSDy+qyV6lZSg+m0lTLqWavZPOaomwJ0tzVMLLA2Igl9ISl8t
I7ob6vhHNw//gCFG9uiU2ncymgWf9UZ+icprMzkBdIA85nk/Bp0DXqJsQJeeI9fv/dgGcVQCzVVG
voINvpqnsmvb5NTKdVCk42td0QATumA0ncBABzuB+PW9I2WGaRX5WTGLp4SS+zE3HjGLf9Im6xoo
yYWrpsNtZWNyNptv6to62ZEUlGB5R5IflNhTEkh64hvUrNGDDPh5FqCmEIN4KgFz8QL2XQDkPL2t
bYp83SD5VumYblGngKUbAUQKnnd0E+adX8NSYK96y6d68rpajVw7019Z1Zmu0k+nQTe+WXYNsZV+
p9rT2xC1r/suK3IiLn6qWl7okY5dk+roJJQLALy0yUOHQt2+nO0AYKFRDKej8qlpMZnNhCgoZIRw
2INu9H5NDvsStk6CpcD4PwnciUhjqQCFtFqEVtLfJ5Z0kHrVLwvnYRSC+mwb7UPU8vfV4atQw6gc
wFDh0NG8XnUtO/OcRqCPyGJ8PJN1KCKNCM7+/bd9U21lljXg8QNaBOD/C+zrpQL6yCKgiTVgA0rL
28hMbgEgFyhZApSLk5SEuA0cJMu8rm1BrnTz2rIWzC0SkC9JQ0BzDMs9pfkR45JDnRy1/K5Kb1ja
HNH2fnLm5og44tnxQ0G/1PWADT/qX1Vz9LXBFpy2m16zsgS3lEXZZwlD6Th8M67rhzsr9vZNvekq
q+9zq9gWil2qrEOrAjDFVRL57Uxu2L84x9dW5c6dHOROUim3C7mTdYhTvPVKTwPC3b4qIlNx503X
VbkxJEtHdqn+dGoQkzrUjTLZMwZH8EZbfjB/B1orxEUlkDiNsoJBTQDNoIs69WTlvr2RLFGFWyCG
Bx/s1SjG7RGLkw4l+MfLG2WSHuZ5ASJMq9Moyt1uGhClI/AKo4FA4UHc0G4G7HuJVOGANjRXboC0
omuDfDJ69QU9GKf95dq6Ryoradzlrs1aqe/VEpxu0m0jgd1bPgAnhL1UZPBj631fmEg1LqAAfpV2
UkbR9NMEzjweJ+1XCTJxph735Wxup5VSXPxIm8SZCCZBw9S4kgrbteTzVIv27AbUiol5uo+F4oLC
ZHZameP+GKboHdLIeBUrOYJQDhwJjPi9Na11PQ/ZCdNYHXB7HAK8C7PzhoqF6Gb4sa/x5jGw+i1c
AJHyGS1hHSImKA99bf5ZZfF/tOmyS1anmdwodWzXkEDmg/qS5WGS/ysJyLwvrg/cb247ayCeMzDg
AR6+4nogwaBfq/lf44guS/ZHBI9la+tNjgwxq8JSR/OcYvqDogdI+vvoKd1fkO199SFJuTQXcyKa
YTCsCtv5kIPErvRN66uqJX6GoX9ynYp4gba3lmMq6OsEoiEPcStbFRqJ0WYdGjMz0MeCUtzglPc6
muB1pftnX7ntmwHaVP8njQvyadQoec+GCh2yNyCx+Zap0WPa3VZd4ZZxe9UNGhAhMAw09aImy8XN
PsX8lWTOST4kq32PF8Xk3GbdbY9B/ayrvimRADpmc1uBegBYKgtuNZ830DtJMjLE47BCY1OLDd3J
oivvlkLo51yQynQAZPNen2CkNAUaMXLJV4kfv4XpXSrKRiyrwdvMBNGpvrCcmaB1vvRFML4DbtBE
yn0o7wHWMwUZU70p8oyzIhop2NJmLYqLQ8BABSr1Ujat8h9zmYNV0deL18lUPfXvZy/Bor3Savkp
q4BkqnPdOT0MNyfHFk+rcvRjvKukSNQuvRXoF4Bt8F+hXx+T95zPZXOEoXGMk6Cf+DA3p1bzBzlI
kuN115wN+WQ2N1ES7O+wjRNsLZLvFXNA64rzyyKhOXmAX7vPc/0Ob8l9IVvb+EIKF6RIAqfsioiE
r5Z1NqNbLXo2YMz5KkeN1dAeBlPUwb+xoS4kcteNPlGREJUdEpJ75yhCutxwvouPc9eLoQOXKpWW
dYqU6/yUDImr5dN5dB5nUdfNxpa6ELXouXK+ihHJLlTokVuVfOj18tdkzuzYJRpSJOZ8pyZzd051
0XDTtvnwMjZkXHxxulyKBXOgASCppAiLlzEUcS5um+/j41xQV8p0TpiFj7d+hU7i+MGaHzt0TsuV
4BQWacHtJ4L5CRsUaEVoNIPbFjgQRWk+gQS+R2nKutFmZV6E9pTZaEoqr6JSft7fPSIZ3OZB44Oi
MpUUAFk3HsaxDrQuFkSBTRFIByJu284C6Xy53JM5jRmS40jyNmB0lUAo2IvAojYdGQRb6LdGOP2E
/VhNWmdYMRbdUQHReYrCTn/vzJN2H4sOum1lPiQtf19tGVPH4HA6SSSUiNeQU6kJXoObIXOlCWcs
2lol0kf4/hzfd7Pbzl5rCVrUt7LHmNhCZhqdnArQ5DjPna2RVbGpkrCXneqkd2YcxC047JJKvoYh
gxrMNa5ZVRoAB8AsMOaJl9mvwp7MzZ368TP4a6zR06QbHJmE6iDHvkS/VQb7PkbDUTOT3C+Y8r7v
6iJ5nKuPeP06VILamXJvJddm5wA6pXyq53ckyfdFba6ijfo3eH+W8Uouwg1xn9VAhiGAbf1J0y+6
/ZxZr/sitrX5EMHFuc6UtLnqIWJQUSxRfxG8479W49eyFdweRbpw3kL1Uk5wdcB5xPwpfohqb0RG
WqDM7yYr7nYHn0R9Br0CtmPzt7s6ivTJ7lMStkbcXSUJ6vfO0M7uzOL+QDvySEwnlBPyXaXKVRFV
8bGPUDY1s9fcnL4oeYrhX6ukXmU31Mvq/DYxI9lViJb6bWscasAl1wmKS4WOxjupO+N/iTwGSkbQ
yOWPYErXMVzQ+do4nzFEc60Q+23Mswc6KtgK+YRBeLn/Icvtt84wjgwgRj6b+28VtTp3mgtwlthz
FMRgobhqU8CEsPlnK00EtQSa+amiPMz68FNKQJYszdHRtPvYi0ZkvtMarKfaUBSBjKdPgAnHxgUs
veNOaVx6NqtuZrzCXT0mqLAqxo+szSZ3zEBVwZzygfTDz0pqbuSh789kwvgEQm1+pU7DTZd2pxQT
7UGvq3EAfMhfpdT7jSk5ntErb8TQvtWYctTJ8J4YFnWL0fypylmo1/nZkq80mbauagKgxqC5eqCs
aE+skx7seTIxG9FqLobHbqSyOSTNeJqmWvOzBlANjlreoVCqAIPSSUFPMFV+WRWVq9esd6HKlay3
3UMh1yOabXErjOeGXaPy/nOQ9PvKIdd0oI+6HQ++nBs/Mw0/WQbYdMvS1O80/E47txqgiY6TB3BL
pCgcpznSbLJhzh5GnOM3xehy1C4aw5OnAtimlKpeAf4Cv2X94EtKSlwjp+3DzCZgbMWDisPbbkG+
acdBA95Iv1ea/tpK1cDR9OgkD2r+PZ/jX1aXRF6iOdnNYAE8VSdjFkgyULGTIftSZ7UZZGk6n8Dp
rfpGHD+lSZ0f5Gms76JOUwJrnO0DGabZq9qiDhSJ5KBO0BLAjqr1SSnazsul1Ax08J26DpjkQclp
P6hJrnstI9Mz0RsgU8iN5mVzEgJDZXYVp3vOFLC9ZSyVfdTF/0HbUOwBYKV76aPsq11WP5haj9dT
YzdenJHkoJHBPMwAEPfNzm6vYjwG1ah9KkgHHPXxWGT470I5mpIaZK32AO7D80SNY2c6gRxlJyJn
k0/04Ucu9ze6LrUegCzuIrlO/MLMkuD/2PuyJcltbMlfkfU76xLcMXa7H7jEnpmR+/JCy8oFBAkC
XMANXz/OkjSqqquRpue5zWQmK8uIYAQX4Bx3P+4DfDUTVvtTXJkqSvMmerYWcz86zRBPiy9TlRN3
Pymo5xivDnTBoFTt8zZb3NHZG/yW66oVV1E/m1Q2s4hN7rxY/bhsO0xtbAILRsoNxenGoFoikFGd
2bS4L3XxKJ0J/JSzkDRHPmUmcD8jHLKz4sZ477MzPMwUV5p0efc2Er/edx4nGV5fb3MXVBtcOudN
JKSTTXlwn+d5lNaWRNwGbdorybjMTNXuW9laKRFTD7s+Z79oAwOqcOEnivsr7RVfLTFG+Jb3S5SJ
wW8TC7cKxg4LCRwI+TTCYmEaSHGGu/GC4eUA4c7gKhEAEJi4cdVVaFm3qil4nOdlEjD/XBHGUjaq
W0ZuJkQxebnGCChGGIxvX7ki74DEhS/zKHDj8BC5N0HNkqgBzblArJ1Utggx/l1uR2FqOGfm4VVk
zw+z11xU9uIee1p+mHy6q7vhLuoNS1qKJxnhxg7udOvC9lSQIFTp04sgJHWDQF23MFPbNDOYUc+b
VRZ65ZzkeBCCMB7mA5vWpLKoOcqqeXZnqZN59OqYT/Z1swakqDUqZWzEs/GQC9yQ6q2ZNJyAy7it
sACvkRRqDaeo15iKAnkVRa6BBK6++u3qsF9IfV237Vd3DorMD6ouVnUbxkXrIAxptROWFb3qcnOL
BzDCJg+/4WF1HqZkIglDzk/a58tHlH9A+d9tqtWtWPrmAxnZLG2I/mr1mGwYF+qca902m2IyU9qH
845auKVbjavUFYFM+0VBB+paEfao/lJ0K6LeiFc+dCptm/zZnv0qWbi5kiifcoPVScJdb2rqr7Xr
PUwW5q4XxG6vZoK0825LrEKxgvENhisw2ZbT8dyJ/N3wfrM07MDhKkSHjt3IHF1GWE0o0mfnEKKh
Tx24eAjhTodZl88ChjEuYdfglGdalTEi3I8FrCmU8Z+C1aRgdv0Bm0qUNFxUZxs25QlKrerU5bl/
myND+rLqIr6ZvXanc/jVrinHtTAi6xB8vNTkWS9w2ioFoOCoktdh4N56VLxN/UQQNpKf4fv16cFs
yTiVm7CqVDu3aP1TT2CAp3kDe+5vabSSiHhEQG0oHHsjo/5tNOIusno769fQqrIKd5NNyp3ynfd2
zVgD2/m4LLJMylBvMI4IyfyaZRT285TMvtPGyxpeb0y5L9Y4e4pc+64RFxEz6yIQdTEPdHMcFnEv
YZMahxwr5eKznRq7+oT5Kfvg8/mIpN7HWgYHuFarGBCQTApaQKBX2dUTok4xiYbOPJXu8khKt3/q
w4HF9eTcYqC+in3Ak50bXtIqehx6MWYuWEZ3xPBi2QQpaP6t329KPjzYGOA274Vvp12nxUHNnorZ
QuAXQTKJoV7cGS10TMGWr/O+jY03Gr+IA0gHClI/EYQOYXWSSbuqC9SqM5ilLN8GSA/4qkHoIEaY
QbV3qzqhWHUKYT7fdN+UC6uGwYWYQUPUQBkuvlgDHQKRlpA90Cr4mOn4JFc9RF7JSwqBBPKrrywI
JmhOyk23aijoqqZAT3GwG9FdzjblcUm7Lg0p1u6RWHEgpptl6XgKbUEbD4VzSZFRGod17259hBdB
cDfDTYc8ia7eDiCVUZXTDKHBJ2cOsqC18os1r9hNWqfvtqVVfc5tEOxroLMJFkqWdTSsDkpBVSM7
/hThKayDHNq9mt/pSJNEkLBJC6LPEjVEModNEy8lQn46o4tY8m446Xq+ax02HQPWXNoWHFx4N03P
HQK4YxFVdx2y73aDhgW5j0uJBxx7Nca8ZWr4Uu2V4yILj7UCYzwQ1+eLbx8CnxbPcPYrQN+VZ7Rd
O4MVA47u1VMNy+xUE9Jn3QQPIcL6h2lp5gw5Fws8uxDTOtJ1wrbkDjikQW6akV2r0TyMoVEbt4bl
vuP6PPYWR11HY//otDrPOrfBY5wXMs6DDmOyssBm0/fbalbNiY7Yas1ggs1CrHBDB9xtk65oLPxA
IfWgvin7Cbd3Eeg92nNcqpAeCUwdk9qIMqZtLWJZ6iYbDLWTfq6h312cN1YhB1q1Jkxzj9OtPUd5
HDb9EPdjL7aLwN6fC8QtLK6uUitwUMX67BoClOpB2RMKpc79amAcGTNrLLAtIkiLGfe+dfSD10e3
EN0225pYx1qXJ4/V+7B17mhHM9nY0IhMEQgOxdvdME5Hz1qmuDbYYIwT3PkGcYjeICfkhgT2BhHt
ZDtF/OzyGUemly3pb9cKVvTkOCLNC5MX47GUGGaDambA6Af0nuRTWD2yYBtsRspFX+D2k7vx+d9Q
XH82z/9Do/MTtjzbYVNOyohD1+qXsF3upincIFthT9oSllwmQduYzJadIRRxNzRq99ed1p/iFxRW
dUHkwiD8Z93mQlSEMAMcHgp/GNlUf9P4rs3gz22ci4gwuCWCbUBD9yM8UhhuW72Hjy8Rm6aScApw
HmHukEwQhWEfG/7O9/rPfs93B/wZRGjztpu5hQOqSV+5u/rv3U5XvPUvfhL9CTYQKKtyN8cRyOMC
P7DKi5HYNCcV31hDZg+bv74+f3p/fP+DfsKWbdprjzU43BKGsK2FRMrLMSjW1S3b2ktQpBzR69W6
xPXrYgePgNO8FP8fd8n3X+InDFowxgmgYHFoxyvPSvo2++tf+WeYwvef/xOKFo5wlHBDfH5PxqR8
qYOXyN1/O8R/vc3/i32o869XqP/Xf+Pfb6rBfsIK/dM//3XB3zrVq0/93+vb/s/LfnzTv+5Ujf9+
fskP78AH/3bg9FW//vCPTGqul+vho1tukK0t9LdPx1dcX/n/+sdfPr59yh3ygv/5j9f3msuU92hq
3/Q/fvvT/v2f/yA2KDYvworxX98f5LdXXL7WeHOKovGXu+K1+fM3frz2+tsHfUHgKqzoI0ij4NYG
cGn6+P0v4F1B4cHSCbkILmAlqTpdrG/6AlEnMohg6kOBHRJ8j14Nv/2JoF0nFNPPkYPI2H/8/v1+
uE5/XLdf5FCfFZe6/+c/nJ/GJRGu6+DAiC108Ym4S352Lm9oxBviWmYnmmmC76A5DFGhw0zCRz+j
FGo646Lu4c7onCw1yFguTrmbxFiBqrMBMsNDG17EheljaawW8LlNk5oKZz/BCwbJUqe80+j+ouFF
l3m9twgmngp4OSejpJdO4zqxX7IqsQaXpvMgDnA89CG1Db1D4Llia8DSIWmjzhPRaDfzpXPZMLFz
x4anJXVg+hmpA3M6/jANrNsUludeO0ogb8hQuc2lt+UwmUrheqhTf+IXFNLO4+Tz4KaKxGXIZraZ
6j5ILAx4RxCd5pptadPDXJFXVF1qX6IVasuxe4SsF6CFs1h8ExF8MCBppOh2zTTumiGid1DFDgbO
16qasRlLJ9rMi5yczNNWsedFbTkpsQh2vIEvB+V276LvvS3ih+8Gx1Ibz6ofubGvWvTVWcimlw4N
c2Z3ubXvbWQMjF6Umk67LG4VOUFuD1gKXz4srG3JejzZ6BUnkh90Ox0UFinoPJ+VFukqxo0LhhFl
EuLzHH2hnR4K9uAI73geqz7/xAhwVrfLqfKhYzWmq5KR5zeU8itbdHvkLefZUI9uvIQL3HIj+QRD
ZZdnSgcNxvt9tRnRg53ZODVXCNQt72kPjAJJqTkgPjVn8zL798NQT9k4Kkx8ozESJxc66j0P0Dl1
YX4HicKbU9RDCnSJprSfq2PFfXFZKoMyshVwakQ0xWduwRtz4L0Xk8obkrxAjGQ1iwrJ0Jivgj4X
GMRI/YuuVPw6ryhicErCj/BtLfam9etzC0Owy9A2+tZSzhhPpLPTBXNyWT8T+1S4QDAlStc7Rdtx
U/ud2UoFk0VhzVU6KafdLwoxbY2zyYuLVsikKnJ+hvXocjF1nn1ZsvXublDtbvtQhBs+OxaUbIKl
Vdi96U4GW7+FyKFrgYJE5f0Sha8RhxtZibUuQb7uo1olrLmDOtuTEIHYFcJLMiuyzLmBkiuzq/A1
zymN5YAMiNrHkC4rqb81vgewpuyefOIOm7Lqo0epYIoR82hEHeypfqZpMyt+xxzhJgBk/KQRJELj
OKOpqEBiPzOW278SLP/ZF9Za6y/2hddfLl+xNSTYrP5ka8B7f98aoi+4s5HDDa9D6n9LBvh9awi/
YNHHmozJt9UD4LutIfjiECTyUsdxbQdm46iRft8a/C+URC7y5aFXRi4Ndo1/Y2/wfRzkh2rMQ5Iq
YoEcfKa/Hm2tLL7j33I0Ch0EeO6eR7etPR41PXjUIJMxT8eQLTGyPBJLVseck7Oq7Q+njjaON91O
6HIh6iFx2yArDCDYKYDcfZhAFuIoSdA4Z4aEK3dUe2gkhoQMKm1CfZyb4XKGdw8yVehlD1gcbalr
JfMcvhNu5C708i6VU1emZKmusJ0kjTNeMeDLyHX+WvftaWoh6ByGgxvSTeRXMq6aaePKMBZCgNSF
BS+cdFpO3uHFeR7CNbxXPPSNORSuf+mx5a3RqP9MGL627YhgO29Tz3Y6KC9mCDUY8yZmfb73rHVe
wU2ddkqsBnM0JSwmJoRYiyWxZXhH1Y0Iov0oHpiG9NgvN5bwkjrwEsnUdlRu3LdjFY9DgfFMIzHO
UZ9gBJeMkGCRkh8DRGaFCMHq4DHi1PCtbNwBXNClhRhwWMzv2w7NUn2XY1ovdXC6EJqYcBdodGCZ
D1rxD3xRoP1R4rb9NWoTrInWibSZVCydzLVDus0UfpbANGCFnmn0tSCmD0HfnAFL4WNVJsttBSQW
o2wUez8bxWmo9LZu6WsQ2VvYBFv3YwGapG36zNJY8+wllKdRLX5c+qFOCx+oTFnWz+EI1B2CymQo
wi3HUtOOSx2P7KngQ+oNbCMAmlRFtDHTlPWV9YIcpzH2iuZjIM0pJ8uVNYotrOJvRceeKjVmui1v
AsQf+C151yR8A4p3GfpqN1VlG4cEAO9ooavkBYuDtRei+UVjFLrZW7iXPkHr85CbqY9bEaVQP1pQ
EkRvyOJ8pNgPdEg++867n/n4UWvMnM9ov/siA1v13Hn4MG/c6Lq+BpjJ8PBjPqSJ9KlTKulIMMVB
JzPuApUNMekRWcQHp0uObgcMx5u/imb+BNWV4dwcOaLrcRPkCUC6Bzp8MMb2PqexIU5i+HRqOysr
sVE0PmbSvXYzd+w+LINEzLB2HEmVBcQ6zV6+gV/+tcjtTYd6ZKJFApuNJLRm8P4sx/PSXhKCoXkz
5Wckmn0Mtf0WdHlaVgX67iCbCx3Xun5EVXXV+kgBrUsrcxeCDDZ2z2fzPiN6uhwLtdX5uJ1oeel1
QTbo8S6IIJXp5Z1omwv8IEB4GSWbGfnUrpOU09kl6LF7MAJLeZwd7x19VhrYYyZMn4gJbm3Q2Aru
X08sv4OT9Q5g00URzQ/FKHYLZDJbF2YUKeLhC5Qtjp1FzZRfwf5X7hypY7BZyPWiCbO3Cy2QTI47
kYsXBD7dGgzEKGfpkzmfL1rLuofgG8o1cp5XkWNFMBztbp2quZQcw0Y1YPKm2gwM8wDK/+iCHM8m
JUfQiaeI5bcKAofArTZwd0Wq74jzU1wgrS5GYukNtv3E8si+5MsrxkKuHE5vbTpufRFd6NbaCRBd
KoTG3MPQg1guyrA6RRXIzdm7EYpvO7e4cpZVHz5CMDM8uPZTA9uQqrouo6+OvJWFe6zD4CUH6IOh
X8jh6EPoAREXsEYGnXrWZblzcoJPZG0a6e5yiCpg+8NtVLBzX6Es6/ynkfnvXhHFwD5xeZeQ7fuo
wC3XHoreupkCDz6eY/NE7OVog+Bl9nwoOURcnk1SyvVF0A+3Xt4+NHDzA17XJzmbHhZp9gFpY3/5
hjQssT2PuN2mcT9qinLV3gnc6EIZyAymKySdQyE+0dgV0D10AL0KS21r5u4do1d/jimPFeqZdFHz
sQi8lLfVEc1qn3BRoASNrKSiy3kM9TmcOThV0EaxLKYPz4QHXmkMD89HRPPhFNV9hhRXwI8925F8
OoeemxlnTqJy3Drcvmn1cGit6rbJ2X0Eeg0mSLfjMsRWswAume4sor7K4nE03cXs1xunxxPeAEfl
DLE2C1AetBXzk8Oqm3awb+oQfp2BfA787iZfWgDTctlXVO7HOdjRyNraDPS0mXYcmY6z7aVqkWfi
l4c6Wp4k0XcNeDnXlF088arAclTvWAgr5bEjLyHGiREOj/V+SFEnXIL0wdLUb5GCkFbc3SFg6+sQ
QnqnTWYmEGE2NMKgLi3cx3FpB4lr2JWSyxiriQFRDG4sXzRxQYp4lOVjGwC5jloEULZYtqmOdSmO
5Qj8snb7mBrrs/frpCbInBmxoOmp3PimT7EjXc4kv2xKcmNCO0NWMEh9VwZXYedly+BuBguxlaOv
y6yU9nIITHPngMrR4GCUIxPR1uCvggvqLRurC/D4+XQ7O/2Js+nVL9cGpY6x+hzxaOJ04av0Jqu0
laAE3yBQ7Gu7WK+dIAce5DnW6+i5y58Ytze6RISBR5BWDYVYv/gNdtIqbQKhUL2gyi7R3FrDI+QI
p0oweOj75VUwgFryKgNeXV/lgd4NnJwGRcJXNUFqRqt48kLkL5Bfld7/KYtXhPP/XhbHXBaAS4ZX
+T+L4vWdfxTFkJbZsCeFAx4UKiiX/yiKAZZ4+APxIs8NUY/+jpeQL4jc8SAVw6w2hXUe3vR7UWx/
wYupi/raJ9SHp+q/UxT/qAQCXOL6kBoBzYHGjrj+/xD2dgVjlIl6D8dOjj6KHkfXvaz0CEMJbt0U
WMaS787Rb5DN9xDNT1ri9ZBQbbqe55PVnBYSpx+rcM+LVAfCku2jMYyjwQPufh4LjH3aO8s+cHsf
OW8VcAZTW3ErUTwX73/9DRBd9EMjsH4FnHO6okOeg8LT/klihSQZVrp5SHftNIPU9BaNAM8ecywg
vvNXpOn64MkWfe9RhiRZUKDgNfRUZQrKcpAweStQ/3nBc0OFmw7IxMg0bcpXZfQ+nPrqSKGZyMKm
rb6y3ivLeBybzwDqvNTyvWYTqHBKIkRnp0MhmtNUO+4q3ygTJWWrwWQ7YGyqvCzCBHawy11J7PGe
NWMD8x5z9Nzqrpzy24qFt/1UCIzideqIOuYgRvsZHgX9BsQQBpqbAiyngi7cUfZ7z2r1DkdjD8i6
yWO7lv3JjhzrY8oxkQuAcTe7Tqp6kChBp9DSoL9YbNRImLC/IiawsNVYLXZpGSR1NSDkzZ0fAA1F
sZ8rECl4/Vfp9eLS6o2fwtyG7Jq+7nFHwWHWkXW3d4fqxrJxowXWjszBdA3fYZ1o3qHraXwEWjkG
C1dTwz/I1amICHJi7KJoP9pcTs/wUhquAkpgLWTzpGL1uI1s4exa5Or6c7sdZVtB5mWWg/aCIZMV
e2JmuVRApEaQe4mZYN7g9GaBTQd9GFUNzcWwTnoHU+tBuYBOqAv691Yutw6pPiHYADda48s4AOW2
XjihjoSaDBolt77isntfcg6YEEqEw7gEIoH8qY6rUrJtUVg8AV2M8OCRPM5meCmK8GqsQwJ4CH5d
M0ypUpHDapVEDBrz3P20enDcgxQmmwdjw/xB5gDxfEzX5cZLadOd82m6bYuV17RlnYCzUDHG1j4C
bxkeTM6n1NO5g8LBwlDjQKM3naNQqFQ3nBHNF3aJQo+bGE3YufVysmNjtePwWccN92xUCwrNIUAI
qfFMbJGF9YmHdgkUIbcRVOwF9xCJoeQixePgtpeDsR5by9xAKYJdadLRyYa3XybnGfz72LUoE+yn
CsBo7E/BUVQSc+nMeR2rDoP1gygQu10+jWFYwEq+6pKu4sWhMKreeQHYucFx3oKahIkuEc9hSAvj
YIWz5ZUhSbUPtrOlUREjO+CtBpgZdwwKitGB1zC11EteU5bC4OMIMifDz2GYeFfPjLb3rPIVCpo8
jKeG7QXzbokqwE1O5Ovi9iqmqhwT5pdLtmp3Zj9U99AB0JTwEGO/RTOa2KdoVkoEJvW4xAWjl7Xv
9WnhGn6QGImguZ22kapiV3Ue8EL7UoPdP1KdD1kZjLtAWkWiyhKilh5MMfILMTrMZekcBRqAuCps
ed84NhqKmZAUPe9wbEzeZTVg0q+eV6kMGdV8W3LrcnJAj/tYt2I2+8/IuvUTYrE7gHYyHUsPLyBI
PW7M0u4st/RTVQDeqI37MXr2NSdCp3AiaLLWVZuA2S4Ud+bYhEiuifriIuJc4nZcqg1I7X432MV7
ESzqavaA8Vb9CNy003hcEJ9XKALrQ49tNdCAVBTlc1PPxaadKztjoCRi0PBTwmgBzR/iQ3kjcgQK
W7vBr+0XEpm+Ak2JlS32MR5Ge8CdRAd2zNnwVEgonLiaryDO2mCWAN8/kl4aLP2nbmyYF3DkFYom
Um8dncQGyVnFc7B44sOZBu8BA6QDesaQJtVgsY07hReVFKDfuBE4elii0YJapQJ2ClRTP/VIf4mF
QZaRrryvdY37krXLrWxwFkD2QhZKuz2IetiXzhBW2V9Z6H6wCHl4y3IPSSpwZjG+DqF/q4x6ciyz
wVTJxmv9DfUh2Kvyt8XpHv0wf++Mixp2gUuJJ+td7gU1TiWSyeW0UNyaVhDDiQSx6IOu00GSKCYO
fCqEE+xCy1NJFM0fS64vqGZXsgakEeq+TJWnd14XfpOFgKjvDwWD3GdZ9Esv+Z2U0w7A89scSZyU
wLqWA3/2+9nJINlBT+sUNwCTy8Syxb0lsBuFpr/G9b+fG4aCMprbGP7uL10QQFE+j13CK9NCi8FP
bDBId2/4VrcoxCHCTZsePbgF7V/smXlD6HhCbwZAWJG9lOK6cDwIwk1TQNMhpyRv6ncbgcZxNKHn
tfzZim2/P8NU8aV1pyGe0f7hY8ujxPqaLCW77GdRo/qesLgg1QDT1Z8VxLjRXI0rH4AtFCCVg041
DGSLO94u0lZD3be0xCCz3pG7uYEAFobEEBUOaOgHcBEpCZH3Hm1lNWK5o0gNX6SVqQAp8Mzod8cC
CYAlvQm+Nk4PIww8si89glKy0h3ovpy8YzBBfTIG/kFUQQzhnoWrO2u161Zd4zCYpO66OvEmZP6E
GmnhVqP6Ta/cg0AGRTSWOLy2Uomx8STvlRPLSn8FkrRtC/cFuyoQ9pCdZ8L2WDXfigjrVuNOWAF8
kSLt7xVE2K4eliXBMNODZzVbZgOEX1PCirKEuq1vjpX2q6yW8s4ELR58q7w0tMOjrOwdMnAwAora
AFDBndNys4WmFZJwLFlRkP+d+7yz8r9/cOLfii+EPMGCBoDwGsz1U/3HsbPx3J7LfQ7lYdzyAL6M
+eglApPdToMQhKLsLnNjf8LW+Tm0C0SqDVdGXNnDk1YTrE7D81RX1z1qjNi4M90Yjr7SEXxfm/qz
kpo9CEvWv0L/PzDCf1O2YioXM3Ae3HYRu+b8RDsTxXNAZ/jaYfuEi7V3GNbtptkhsiRZ6vp2ggdr
PzlPaCkv/AEQRw2AIJp/Fbv/p9VaaeS/aLU+5C933cef9Fl42+99VvAFKUIe+hlwBRR0wh99VvDF
Ri/tI1/lZ/LB/uKuGQWoYeBEhvnTP8gH+iXEfEkEEjkgHgVr4P47fRbIip9veweaGTRtHr5F5EY2
OrrvyQfEOhU5zLacnfC1/+JawWInTJZkW86TQIuPASdUfp21xUZgMkU6c8NGbzjm3QiQTaDIRzqZ
zba945AT8kJ2DRR5F14PlZHdoa6kzK22okdmTRh1rZ/qoCqudR/ViTZRkxUeR2E2gK5YuE/PJS/1
rjDVR+5aXopVuUxgtVimUYBNQTRVg7w6Mb+wpgDw5KvuIiCmyHrLhau2hYgcldoq0oem0xdzKMVT
xVjzHDSwGcgRWgHItkBTJC2ldrnGvy0qBpEZKs4OU/XRtvGMx9LR5JoW2jr1iBoCTBSp8anuZwzM
gmBlMJO/dDHFv58NQ07b0qkpMUFOUy8AC0kKvUUSkUBWPR/gKwCa1YTsmnQN9hE6A2RieIpjy5vZ
NZqQ8DMc2QvwcAuha9OhnYgdC8XCnU0HN5Vm3YAjUAozBfI5WaMNYVregCehQ4AikzkTJkL8zsJr
RZ7DehsOIn1sOZ5/CyPMCKMCE8GGU8DZ041rJAh0sVuoBhrjQvscDdHUZBFEmX3chxP9/PYs/GdR
WNUbf7EovL79cgkM5k9WBbzvj1UB07QQlPl26CKF97tVAeziOjyNuSEX67mLBf039MUhXxyIMTDs
jOcUgM0qZPkNfXEgZEGbuQ4afRO/IM7m36AkAfX8tCoE0Mq4IDYxZvxN9Lb+/TtKUsxwlAgGVh9s
kJDaOZPcOTe6yJyh2XQWhLWsSwSDYiQcznX3wYR7ivIZEU7ufaStlZj6dPplN3jeOediR0SZglw6
wt5pNaW/yZlCuw4pJ+pZPpmDscpMkuGkpB9XLYwPB2fvQqUKhVRsqq8eZnMgLbwq3A5od7eXo13H
ooWKdQ4OsNdIbDLca+vNo2gpKxCGGF2w0EvWA79gDsr4XBWJE6E7aKBRMQU86v18gYLWsm98i5x4
R67Q0N1BO3GqcnFX2N1XO4Dnii9mK2WQ8Y4GRCK8yPpsDvIrAVknphWmHRq0dodpstcxR5FHa7yI
Y342Rp/72LpwFptr79aNgNCU7Qv8SlBGtYBcbIkMTtJhkmo69AWHhhyDKOhKYVlrRX7MAMmjVDuG
4PDQb+GcOH3wOPlzEdOuumdtibNU9+8o6WPo51PB0OmHHoZmmhkjTjkQk9ym8FF09jqk74Fqt7A5
qGB8NkGdYnQ6Os7dwBUEDFDXjPTShqlHj6ly1LgLyE1gylGtM51XmV92+HYgJdDYTjzxZPkqu7HB
tBjdawD/EQMvgtwGCnxXola1jgEqo15PGWnNqu0Lt5EHhhTeKvuwsy84WInRo0CwXJSd/X0XYrkf
wTAtaDwrSLlVw8s4kuyp5Wj3x0G8So2hG4QaoTnpr+Y+f48GZ4N81Q2K4QtliVcg07U3PgDqSEf8
ANga8Ctsatveb8oMwwSPUQdAYKido8H/Jc8lMOuVHcnb9gDpN6zowvls2vaMi3zocaJ4HalsITSt
ynwrqdLQfePOEmy79BA7oQIFS+VeRHm3mx1xUdV1Yln9rphNUgxwJg2mMAuccAO7vg00h3vLsvcj
AT7UwVOnCq195EGprgYKV58uSKpFnxAotwfgepxz6sejC0addTcderSSg1gOHTfjEk2xglcohFol
ZCwdlEJ6mJKx2gtJkimakmF4LluwOMiMnFh7hHoMLBhQFeQ2d+MG6XbJAJzMG+kVguwSd8DcjQbt
3vK7aOF3U2FdMTTC5WCysoeoqHiCHPYEXjCzwvECJoW7bonu7KlNgtJKlQXMvsjTsFUfLporaqon
UFwwvhu37rzGKkEnoIGWoSWB7Yl/H+goQ4h0HPUE7ZjeDkOLH4L2jIJmQ4dTd9c5Aq5RevfH0aKw
Ppz3oVc9OF1xj9mPG9zTWwck1cxDIFwFGDxkGZb/m70rWWodWaK/4h+QQ0Np2nREe8AGfIEGN3Hp
jUINvposyRot+evfSdkCyxbDbWnB4rFggU1WKVWVlcM5WZgEAFS2Gl6AsoVM4c+t8JynpqUaV6KF
MrW/Q8UsAYrHxQUVooIKh+Ldb9RLUce1X3b60zOA0irYOA/Xv0JJH++CArGtguqmG891CxcbWT9i
u7i3XCwmHSUvrE8AsOwNWAGFh7Ufv+hhMk3BTNKtBz8DXGqFlKED9kR8oWnOfcq0fzzQKlBV5WfG
Jr9FIIVaKiidYcEVIxu8JEN2pAkXa+gPWOCAtvKFEmhPHnPugyiKJznsRllMM+EJhBfUOOU7XrLm
vLqeWApAu8GLGr9oO3UBZ+YigCMSoZcdLtHm0T9W/qny2qTE6zGKaMIZ86zcwQ/wV2unBGrJ+bvI
0pnKMvDU+F+pno+RU1iogfQoh8K99+CVYJ5s/gZqlirhy63ujAW/BJUPkEMZt8dzM58hwapGI0vF
I1ulNVUYEqfG+nLHgJjgeO+Ky3HDH3LmKVAXaoRaLnoqMpHNwpybgv4IpFu4XoKLshtlGTrYMV6f
bwN0dU79RawpdwWwurIL+y9wsEaXGRGxsmCiJjxQHhzu7La319HWGmW595J6wb+OalHqE+zvcIx9
jbeCVMBWccYok4+9JB1peb5GYM6emIE4zzVuE+SsUi9Eky1lJvnsxQdRQjASYMnSO0mfIScKa63C
7LyglAxAQ7TghHSE9M3VNkWrUD564MX8eh2jZxvMwwjppVlRoAybCPyVZEi4hqVML7QEFxfk4m1u
bacG3C00yh7l3mKLMluABpOeql2k2nqBbM0c1/+q01C/ivzdvVpYUw5f/b9jRsgumf+wMPZnMJg5
AIydOWbV/9WOmTyEUyYCEowSFEDBcL/qshgbqgiRECcJGl1DAZetLouR9yXyii4LCNUkBFOvjhkQ
xoB1oV+cyKOUho7xv+WYCSdYMWQpEEIyRGmIHNBMSuIBWD52zFgpl0Li42qXPNXsS2ETs3sXvcpH
RR6pAMQ4KXr358UG7JeYc0agL88BAubuQOKOJ6HnusBioCKO2r6TsglX2CwYxxzwmcjkuPkcccwj
Z9lPmgKQSYQOGklMEQMYgWisoxgjJiODhN5T2QXy6z8RwOKexhy8LpE4T+5OBnNHsw2gRlUT1Sdn
aulAVGZy8WTsXGQRbdC1PaAvJQUsPZ0AmWVumBoQmhGQmjqPa2kTAm+6QHFyBOdE/gqGgyCeRG2a
eRXus4gBAcVqKH+sCRYaAx/qs4XkChc7oEaRYI0uZSPBhbAEKQ0IXLohmGkMn2bpEPQ0LQBC3REc
FU4YP7GAbhtpBFaNCbbKE4B1TVBWlUCthr/2LoNs5/y1BeJVJ+hrQSBYCkvB4iNorEgg2ZzgspkB
6NUaiN5frr3BdwhWC/jN+saooLYEuhU3MRBZwOEmmgS2dCQ/MILoMgLrbivcbk4Q3pLAvLsyK6Zy
oRoTnluDG22r7JGtFd8DpWcrwJLZeNEuF60CN3sAHiOdKHJwA+yvd6X5sjiVJZbAkZDDmSvJ3NiJ
ffEml8HxhuVDz3Dmwk+Q7IXGe5e7ALx43GxdTjYuk251lkjhpEyicCZufFPiXhJp+wAOBc7ELPGn
Rp5G/4JpFq+8HaG5Nij5rEpVSf+JRA69P714Z+9wh6cUuDgEcWyA5K+ig27qXILAqK5wyGoLIKZd
JHWTdCFuN5QY3Aj8LfzMHXu0NDDx1VRUbouNb0xzCRzYQChXxH7jClwGNdX8nO27m/5WvNpOnGgw
LWarkHgJSY/sisMUW+kVewLIgXxREQyWAAaeEDS+9KU6IqRhzgU1+BrPoBikxP6wnLABI0A5/iT2
rSRVXJGPJKxNzDh7AZtDkIZIsxIbg9//QCBaPlr1x7w2FGVcs4xU7PGp1j7pc3rK+YN95TuNqX9G
VkEw3Ij+39HAiZgjDeAJUePXeBUJPPpBHN/QgDzEIQNNi/gAIx2tjv/2dH1rQNnPa5+kfn0x52vg
XQ2I4hC5DQBPABBu1QAbCnh6UO6QjvyWGjglLP3uGkDCRgQaXUYHw70G8KCNNQD4OdYHD9D6/vPv
qQcGT6fTXkBOi/pwI6V12AunemBDGSglGAPc64Ofb2oTZDiD3fTAD2V0VoL7CFjQ4UFP1oOko70V
T6WAb7kjgBLrpAFBH+JieEWUVKVdAwz8PnTjRJLze2qAWkF20gBsAupEKpq98e02QR5K4KMweIdf
18AXDo9X52FsO+uXyrdwVskR/fPTL9SexbmAw8FKVE9yHRpfJGroXvQbVfSPxplRHX1HH9ZHYTXO
4d8PD3g+dGOs+qnqP86dVWzGz3ZZfVAeprnnm1Ly/hxAyanIyEP7MMt1ANnKbX1dAh8NMXFQORzh
Vy2KFPQ2AvbS21OfsWe/NMLczM6j3XoEBJHdR3gkNd3Z1KJ4P9njZ0BsWv/5v2tpHg7wWgc/aKBT
ktfro6jYDF2VtTAdjGRmtaTGk9BF9F0HGJsoFNthLagpH2doV/lzosL5tZymeBxNXcVPTG9wAx+9
ltQcAHav6wAVZnlyUjR7fcWoZnUe4S/goa2zutzbED0s15E5uHdM7jEjuvo7i4kSOl2VRW9jYXq1
oMbLoOvSu8qfm0Ho1GKa0nvR0vPguolNf30L5EZ1nf2STOtZng8ES2TtetjJT2S4zYZ69j0MyBXu
OvfKpC5ONtpBPCKOruKXWYnZVzuhFkav9zBAD8pZxuaAnqFFeg/rnjgNsKL0fudZC+iGWAKdVWSb
OGzmoVmLelMQ+Xc9iHcGNxa9h1rY0QBw7XsZgKxpLepIfB+byyzPbOh++dAdRF0n/xAGMGy1nKOZ
97C1HsJnQLXasv9M7sHd2h8vy7jFMMg97NzD6WW1GZ4+jpSD/KYLcXixPeyqvfj2ZUm39nRdOPBC
BzDMtaC3lUOs/T6En/hue80oPWyoKtZ4RzE9rPoby14N/mxTTA9rHh7n4NRnO2imhyVPx2D71Hs4
qBYmQou2zUSpza4LZkGeJmxZLeloOfawlxak9VYXgVBcXed+DRMMnFMt6G3qVO7sLJyO7jPXbL9k
1B7Oj+v3D28qyXad/pwc+1YzQxTJztJDExmBtoNb7WE3zRHh3tm0pU4D6YP6e1j3NAaadDTDxIP4
HhY+Ytxlq37oIujO2jffW5iEAOgqHWsejk2Lb0AXR3QV/ll7tPfbsH0pkVSJv2mdfA+GePJ5D5+O
8x/D1I9a/T5qrNhV+WNz8KMZ6u8XvN6DuSRrcJ6HPMjvwVxW8uE6hc+1Ht7Mvd7Dqq/kv2MQ9B4W
/ginyfvsi47LZvQxirsH6QtnlbUovgdLSXNvP2YrznnXNf8JjupD1bRl618r3Oc5/Lpy3fZvzQIF
feN5vTLjP/4HAAD//w==</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_xlchart.v1.20</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_xlchart.v1.19</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_xlchart.v1.16</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_xlchart.v1.14</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_xlchart.v1.14</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_xlchart.v1.23</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_xlchart.v1.22</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V$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V$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Radio" checked="Checked" firstButton="1" fmlaLink="HDSD!$A$2"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Radio" checked="Checked" firstButton="1" fmlaLink="HDSD!$A$2"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Radio"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GBox"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Radio" checked="Checked" firstButton="1" fmlaLink="HDSD!$A$2"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GBox"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Radio" checked="Checked" firstButton="1" fmlaLink="HDSD!$A$2"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GBox" noThreeD="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Radio" checked="Checked" firstButton="1" fmlaLink="HDSD!$A$2"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Radio" checked="Checked" firstButton="1" fmlaLink="HDSD!$A$2"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Radio"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GBox" noThreeD="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Radio" checked="Checked" firstButton="1" fmlaLink="HDSD!$A$2"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Radio" checked="Checked" firstButton="1" fmlaLink="HDSD!$A$2" lockText="1" noThreeD="1"/>
</file>

<file path=xl/ctrlProps/ctrlProp583.xml><?xml version="1.0" encoding="utf-8"?>
<formControlPr xmlns="http://schemas.microsoft.com/office/spreadsheetml/2009/9/main" objectType="Radio" lockText="1" noThreeD="1"/>
</file>

<file path=xl/ctrlProps/ctrlProp584.xml><?xml version="1.0" encoding="utf-8"?>
<formControlPr xmlns="http://schemas.microsoft.com/office/spreadsheetml/2009/9/main" objectType="Radio"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Radio" checked="Checked" firstButton="1" fmlaLink="HDSD!$A$2"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GBox"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Radio" checked="Checked" firstButton="1" fmlaLink="HDSD!$A$2"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GBox"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Radio" checked="Checked" firstButton="1" fmlaLink="HDSD!$A$2"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Radio" checked="Checked" firstButton="1" fmlaLink="HDSD!$A$2"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GBox"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9" y="1047750"/>
              <a:chExt cx="3206008"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19" y="1047750"/>
                <a:ext cx="719994"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7"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0"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30"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2"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C00-00000ECC0000}"/>
                  </a:ext>
                </a:extLst>
              </xdr:cNvPr>
              <xdr:cNvSpPr/>
            </xdr:nvSpPr>
            <xdr:spPr bwMode="auto">
              <a:xfrm>
                <a:off x="1872569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C00-00000FCC0000}"/>
                  </a:ext>
                </a:extLst>
              </xdr:cNvPr>
              <xdr:cNvSpPr/>
            </xdr:nvSpPr>
            <xdr:spPr bwMode="auto">
              <a:xfrm>
                <a:off x="1913529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5"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65"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84"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495312</xdr:colOff>
          <xdr:row>0</xdr:row>
          <xdr:rowOff>123825</xdr:rowOff>
        </xdr:from>
        <xdr:to>
          <xdr:col>20</xdr:col>
          <xdr:colOff>1266803</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7" y="123825"/>
              <a:ext cx="3676616" cy="361950"/>
              <a:chOff x="6162687" y="3409950"/>
              <a:chExt cx="3695666"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5" y="3409950"/>
                <a:ext cx="1990718" cy="361950"/>
                <a:chOff x="8191485" y="3409950"/>
                <a:chExt cx="1990718"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5"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7" y="3409950"/>
                <a:ext cx="1657361" cy="361950"/>
                <a:chOff x="6162687" y="3409950"/>
                <a:chExt cx="1657361"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87" y="3409950"/>
                  <a:ext cx="165736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6"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733425" y="57150"/>
              <a:ext cx="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733425" y="57150"/>
              <a:ext cx="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733425" y="57150"/>
              <a:ext cx="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86677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86677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68592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206883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31"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81" y="3448050"/>
                <a:ext cx="51435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89"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78"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78"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32"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48234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24"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24" y="3448050"/>
                <a:ext cx="5143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51"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2700-000001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700-000002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2700-000003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2700-000004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2700-00000A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xdr:col>
      <xdr:colOff>85725</xdr:colOff>
      <xdr:row>0</xdr:row>
      <xdr:rowOff>0</xdr:rowOff>
    </xdr:from>
    <xdr:to>
      <xdr:col>1</xdr:col>
      <xdr:colOff>685800</xdr:colOff>
      <xdr:row>19</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10"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129">
      <pivotArea type="all" dataOnly="0" outline="0" fieldPosition="0"/>
    </format>
    <format dxfId="2128">
      <pivotArea outline="0" collapsedLevelsAreSubtotals="1" fieldPosition="0"/>
    </format>
    <format dxfId="2127">
      <pivotArea field="0" type="button" dataOnly="0" labelOnly="1" outline="0" axis="axisRow" fieldPosition="0"/>
    </format>
    <format dxfId="2126">
      <pivotArea field="5" type="button" dataOnly="0" labelOnly="1" outline="0" axis="axisRow" fieldPosition="1"/>
    </format>
    <format dxfId="2125">
      <pivotArea field="6" type="button" dataOnly="0" labelOnly="1" outline="0" axis="axisRow" fieldPosition="2"/>
    </format>
    <format dxfId="2124">
      <pivotArea field="7" type="button" dataOnly="0" labelOnly="1" outline="0" axis="axisRow" fieldPosition="3"/>
    </format>
    <format dxfId="2123">
      <pivotArea field="4" type="button" dataOnly="0" labelOnly="1" outline="0" axis="axisRow" fieldPosition="4"/>
    </format>
    <format dxfId="2122">
      <pivotArea field="8" type="button" dataOnly="0" labelOnly="1" outline="0" axis="axisRow" fieldPosition="5"/>
    </format>
    <format dxfId="2121">
      <pivotArea field="1" type="button" dataOnly="0" labelOnly="1" outline="0" axis="axisRow" fieldPosition="6"/>
    </format>
    <format dxfId="2120">
      <pivotArea field="2" type="button" dataOnly="0" labelOnly="1" outline="0" axis="axisRow" fieldPosition="7"/>
    </format>
    <format dxfId="2119">
      <pivotArea field="3" type="button" dataOnly="0" labelOnly="1" outline="0"/>
    </format>
    <format dxfId="2118">
      <pivotArea field="9" type="button" dataOnly="0" labelOnly="1" outline="0" axis="axisRow" fieldPosition="9"/>
    </format>
    <format dxfId="2117">
      <pivotArea field="10" type="button" dataOnly="0" labelOnly="1" outline="0" axis="axisRow" fieldPosition="10"/>
    </format>
    <format dxfId="2116">
      <pivotArea field="11" type="button" dataOnly="0" labelOnly="1" outline="0" axis="axisRow" fieldPosition="11"/>
    </format>
    <format dxfId="2115">
      <pivotArea field="12" type="button" dataOnly="0" labelOnly="1" outline="0" axis="axisRow" fieldPosition="12"/>
    </format>
    <format dxfId="2114">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11"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0"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54">
      <pivotArea type="all" dataOnly="0" outline="0" fieldPosition="0"/>
    </format>
    <format dxfId="2153">
      <pivotArea field="0" type="button" dataOnly="0" labelOnly="1" outline="0" axis="axisRow" fieldPosition="0"/>
    </format>
    <format dxfId="2152">
      <pivotArea dataOnly="0" labelOnly="1" grandRow="1" outline="0" fieldPosition="0"/>
    </format>
    <format dxfId="2151">
      <pivotArea type="all" dataOnly="0" outline="0" fieldPosition="0"/>
    </format>
    <format dxfId="2150">
      <pivotArea outline="0" collapsedLevelsAreSubtotals="1" fieldPosition="0"/>
    </format>
    <format dxfId="2149">
      <pivotArea field="0" type="button" dataOnly="0" labelOnly="1" outline="0" axis="axisRow" fieldPosition="0"/>
    </format>
    <format dxfId="2148">
      <pivotArea field="1" type="button" dataOnly="0" labelOnly="1" outline="0" axis="axisRow" fieldPosition="1"/>
    </format>
    <format dxfId="2147">
      <pivotArea field="3" type="button" dataOnly="0" labelOnly="1" outline="0" axis="axisRow" fieldPosition="2"/>
    </format>
    <format dxfId="2146">
      <pivotArea field="2" type="button" dataOnly="0" labelOnly="1" outline="0" axis="axisRow" fieldPosition="3"/>
    </format>
    <format dxfId="2145">
      <pivotArea field="5" type="button" dataOnly="0" labelOnly="1" outline="0" axis="axisRow" fieldPosition="4"/>
    </format>
    <format dxfId="2144">
      <pivotArea field="6" type="button" dataOnly="0" labelOnly="1" outline="0" axis="axisRow" fieldPosition="5"/>
    </format>
    <format dxfId="2143">
      <pivotArea field="8" type="button" dataOnly="0" labelOnly="1" outline="0" axis="axisRow" fieldPosition="6"/>
    </format>
    <format dxfId="2142">
      <pivotArea dataOnly="0" labelOnly="1" fieldPosition="0">
        <references count="1">
          <reference field="0" count="0"/>
        </references>
      </pivotArea>
    </format>
    <format dxfId="2141">
      <pivotArea dataOnly="0" labelOnly="1" outline="0" fieldPosition="0">
        <references count="1">
          <reference field="4294967294" count="2">
            <x v="0"/>
            <x v="1"/>
          </reference>
        </references>
      </pivotArea>
    </format>
    <format dxfId="2140">
      <pivotArea type="all" dataOnly="0" outline="0" fieldPosition="0"/>
    </format>
    <format dxfId="2139">
      <pivotArea outline="0" collapsedLevelsAreSubtotals="1" fieldPosition="0"/>
    </format>
    <format dxfId="2138">
      <pivotArea field="0" type="button" dataOnly="0" labelOnly="1" outline="0" axis="axisRow" fieldPosition="0"/>
    </format>
    <format dxfId="2137">
      <pivotArea field="1" type="button" dataOnly="0" labelOnly="1" outline="0" axis="axisRow" fieldPosition="1"/>
    </format>
    <format dxfId="2136">
      <pivotArea field="3" type="button" dataOnly="0" labelOnly="1" outline="0" axis="axisRow" fieldPosition="2"/>
    </format>
    <format dxfId="2135">
      <pivotArea field="2" type="button" dataOnly="0" labelOnly="1" outline="0" axis="axisRow" fieldPosition="3"/>
    </format>
    <format dxfId="2134">
      <pivotArea field="5" type="button" dataOnly="0" labelOnly="1" outline="0" axis="axisRow" fieldPosition="4"/>
    </format>
    <format dxfId="2133">
      <pivotArea field="6" type="button" dataOnly="0" labelOnly="1" outline="0" axis="axisRow" fieldPosition="5"/>
    </format>
    <format dxfId="2132">
      <pivotArea field="8" type="button" dataOnly="0" labelOnly="1" outline="0" axis="axisRow" fieldPosition="6"/>
    </format>
    <format dxfId="2131">
      <pivotArea dataOnly="0" labelOnly="1" fieldPosition="0">
        <references count="1">
          <reference field="0" count="0"/>
        </references>
      </pivotArea>
    </format>
    <format dxfId="213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1"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209">
      <pivotArea type="all" dataOnly="0" outline="0" fieldPosition="0"/>
    </format>
    <format dxfId="2208">
      <pivotArea outline="0" collapsedLevelsAreSubtotals="1" fieldPosition="0"/>
    </format>
    <format dxfId="2207">
      <pivotArea field="3" type="button" dataOnly="0" labelOnly="1" outline="0" axis="axisRow" fieldPosition="0"/>
    </format>
    <format dxfId="2206">
      <pivotArea field="7" type="button" dataOnly="0" labelOnly="1" outline="0" axis="axisRow" fieldPosition="1"/>
    </format>
    <format dxfId="2205">
      <pivotArea field="1" type="button" dataOnly="0" labelOnly="1" outline="0" axis="axisRow" fieldPosition="2"/>
    </format>
    <format dxfId="2204">
      <pivotArea field="4" type="button" dataOnly="0" labelOnly="1" outline="0"/>
    </format>
    <format dxfId="2203">
      <pivotArea field="6" type="button" dataOnly="0" labelOnly="1" outline="0" axis="axisRow" fieldPosition="4"/>
    </format>
    <format dxfId="2202">
      <pivotArea field="5" type="button" dataOnly="0" labelOnly="1" outline="0" axis="axisRow" fieldPosition="5"/>
    </format>
    <format dxfId="2201">
      <pivotArea dataOnly="0" labelOnly="1" fieldPosition="0">
        <references count="1">
          <reference field="3" count="0"/>
        </references>
      </pivotArea>
    </format>
    <format dxfId="2200">
      <pivotArea dataOnly="0" labelOnly="1" fieldPosition="0">
        <references count="2">
          <reference field="3" count="1" selected="0">
            <x v="0"/>
          </reference>
          <reference field="7" count="1">
            <x v="0"/>
          </reference>
        </references>
      </pivotArea>
    </format>
    <format dxfId="2199">
      <pivotArea dataOnly="0" labelOnly="1" fieldPosition="0">
        <references count="2">
          <reference field="3" count="1" selected="0">
            <x v="1"/>
          </reference>
          <reference field="7" count="1">
            <x v="1"/>
          </reference>
        </references>
      </pivotArea>
    </format>
    <format dxfId="2198">
      <pivotArea dataOnly="0" labelOnly="1" fieldPosition="0">
        <references count="2">
          <reference field="3" count="1" selected="0">
            <x v="2"/>
          </reference>
          <reference field="7" count="1">
            <x v="2"/>
          </reference>
        </references>
      </pivotArea>
    </format>
    <format dxfId="2197">
      <pivotArea dataOnly="0" labelOnly="1" fieldPosition="0">
        <references count="2">
          <reference field="3" count="1" selected="0">
            <x v="3"/>
          </reference>
          <reference field="7" count="1">
            <x v="0"/>
          </reference>
        </references>
      </pivotArea>
    </format>
    <format dxfId="2196">
      <pivotArea dataOnly="0" labelOnly="1" fieldPosition="0">
        <references count="2">
          <reference field="3" count="1" selected="0">
            <x v="5"/>
          </reference>
          <reference field="7" count="1">
            <x v="3"/>
          </reference>
        </references>
      </pivotArea>
    </format>
    <format dxfId="2195">
      <pivotArea dataOnly="0" labelOnly="1" fieldPosition="0">
        <references count="2">
          <reference field="3" count="1" selected="0">
            <x v="6"/>
          </reference>
          <reference field="7" count="1">
            <x v="1"/>
          </reference>
        </references>
      </pivotArea>
    </format>
    <format dxfId="2194">
      <pivotArea dataOnly="0" labelOnly="1" fieldPosition="0">
        <references count="2">
          <reference field="3" count="1" selected="0">
            <x v="7"/>
          </reference>
          <reference field="7" count="1">
            <x v="2"/>
          </reference>
        </references>
      </pivotArea>
    </format>
    <format dxfId="2193">
      <pivotArea dataOnly="0" labelOnly="1" fieldPosition="0">
        <references count="2">
          <reference field="3" count="1" selected="0">
            <x v="8"/>
          </reference>
          <reference field="7" count="1">
            <x v="0"/>
          </reference>
        </references>
      </pivotArea>
    </format>
    <format dxfId="2192">
      <pivotArea dataOnly="0" labelOnly="1" fieldPosition="0">
        <references count="2">
          <reference field="3" count="1" selected="0">
            <x v="9"/>
          </reference>
          <reference field="7" count="1">
            <x v="4"/>
          </reference>
        </references>
      </pivotArea>
    </format>
    <format dxfId="2191">
      <pivotArea dataOnly="0" labelOnly="1" fieldPosition="0">
        <references count="2">
          <reference field="3" count="1" selected="0">
            <x v="10"/>
          </reference>
          <reference field="7" count="1">
            <x v="0"/>
          </reference>
        </references>
      </pivotArea>
    </format>
    <format dxfId="2190">
      <pivotArea dataOnly="0" labelOnly="1" fieldPosition="0">
        <references count="2">
          <reference field="3" count="1" selected="0">
            <x v="11"/>
          </reference>
          <reference field="7" count="1">
            <x v="5"/>
          </reference>
        </references>
      </pivotArea>
    </format>
    <format dxfId="2189">
      <pivotArea dataOnly="0" labelOnly="1" fieldPosition="0">
        <references count="2">
          <reference field="3" count="1" selected="0">
            <x v="13"/>
          </reference>
          <reference field="7" count="1">
            <x v="0"/>
          </reference>
        </references>
      </pivotArea>
    </format>
    <format dxfId="2188">
      <pivotArea dataOnly="0" labelOnly="1" fieldPosition="0">
        <references count="2">
          <reference field="3" count="1" selected="0">
            <x v="14"/>
          </reference>
          <reference field="7" count="1">
            <x v="1"/>
          </reference>
        </references>
      </pivotArea>
    </format>
    <format dxfId="2187">
      <pivotArea dataOnly="0" labelOnly="1" fieldPosition="0">
        <references count="2">
          <reference field="3" count="1" selected="0">
            <x v="15"/>
          </reference>
          <reference field="7" count="1">
            <x v="2"/>
          </reference>
        </references>
      </pivotArea>
    </format>
    <format dxfId="2186">
      <pivotArea dataOnly="0" labelOnly="1" fieldPosition="0">
        <references count="2">
          <reference field="3" count="1" selected="0">
            <x v="16"/>
          </reference>
          <reference field="7" count="1">
            <x v="0"/>
          </reference>
        </references>
      </pivotArea>
    </format>
    <format dxfId="2185">
      <pivotArea dataOnly="0" labelOnly="1" fieldPosition="0">
        <references count="2">
          <reference field="3" count="1" selected="0">
            <x v="18"/>
          </reference>
          <reference field="7" count="1">
            <x v="3"/>
          </reference>
        </references>
      </pivotArea>
    </format>
    <format dxfId="2184">
      <pivotArea dataOnly="0" labelOnly="1" fieldPosition="0">
        <references count="2">
          <reference field="3" count="1" selected="0">
            <x v="19"/>
          </reference>
          <reference field="7" count="1">
            <x v="1"/>
          </reference>
        </references>
      </pivotArea>
    </format>
    <format dxfId="2183">
      <pivotArea dataOnly="0" labelOnly="1" fieldPosition="0">
        <references count="2">
          <reference field="3" count="1" selected="0">
            <x v="20"/>
          </reference>
          <reference field="7" count="1">
            <x v="2"/>
          </reference>
        </references>
      </pivotArea>
    </format>
    <format dxfId="2182">
      <pivotArea dataOnly="0" labelOnly="1" fieldPosition="0">
        <references count="2">
          <reference field="3" count="1" selected="0">
            <x v="21"/>
          </reference>
          <reference field="7" count="1">
            <x v="0"/>
          </reference>
        </references>
      </pivotArea>
    </format>
    <format dxfId="2181">
      <pivotArea dataOnly="0" labelOnly="1" fieldPosition="0">
        <references count="2">
          <reference field="3" count="1" selected="0">
            <x v="22"/>
          </reference>
          <reference field="7" count="1">
            <x v="4"/>
          </reference>
        </references>
      </pivotArea>
    </format>
    <format dxfId="2180">
      <pivotArea dataOnly="0" labelOnly="1" fieldPosition="0">
        <references count="2">
          <reference field="3" count="1" selected="0">
            <x v="23"/>
          </reference>
          <reference field="7" count="1">
            <x v="0"/>
          </reference>
        </references>
      </pivotArea>
    </format>
    <format dxfId="2179">
      <pivotArea dataOnly="0" labelOnly="1" fieldPosition="0">
        <references count="2">
          <reference field="3" count="1" selected="0">
            <x v="24"/>
          </reference>
          <reference field="7" count="1">
            <x v="5"/>
          </reference>
        </references>
      </pivotArea>
    </format>
    <format dxfId="2178">
      <pivotArea dataOnly="0" labelOnly="1" fieldPosition="0">
        <references count="2">
          <reference field="3" count="1" selected="0">
            <x v="25"/>
          </reference>
          <reference field="7" count="1">
            <x v="0"/>
          </reference>
        </references>
      </pivotArea>
    </format>
    <format dxfId="2177">
      <pivotArea dataOnly="0" labelOnly="1" fieldPosition="0">
        <references count="2">
          <reference field="3" count="1" selected="0">
            <x v="26"/>
          </reference>
          <reference field="7" count="1">
            <x v="1"/>
          </reference>
        </references>
      </pivotArea>
    </format>
    <format dxfId="2176">
      <pivotArea dataOnly="0" labelOnly="1" fieldPosition="0">
        <references count="2">
          <reference field="3" count="1" selected="0">
            <x v="27"/>
          </reference>
          <reference field="7" count="1">
            <x v="2"/>
          </reference>
        </references>
      </pivotArea>
    </format>
    <format dxfId="2175">
      <pivotArea dataOnly="0" labelOnly="1" fieldPosition="0">
        <references count="2">
          <reference field="3" count="1" selected="0">
            <x v="28"/>
          </reference>
          <reference field="7" count="1">
            <x v="5"/>
          </reference>
        </references>
      </pivotArea>
    </format>
    <format dxfId="2174">
      <pivotArea dataOnly="0" labelOnly="1" fieldPosition="0">
        <references count="3">
          <reference field="1" count="1">
            <x v="0"/>
          </reference>
          <reference field="3" count="1" selected="0">
            <x v="0"/>
          </reference>
          <reference field="7" count="1" selected="0">
            <x v="0"/>
          </reference>
        </references>
      </pivotArea>
    </format>
    <format dxfId="2173">
      <pivotArea dataOnly="0" labelOnly="1" fieldPosition="0">
        <references count="3">
          <reference field="1" count="1">
            <x v="1"/>
          </reference>
          <reference field="3" count="1" selected="0">
            <x v="2"/>
          </reference>
          <reference field="7" count="1" selected="0">
            <x v="2"/>
          </reference>
        </references>
      </pivotArea>
    </format>
    <format dxfId="2172">
      <pivotArea dataOnly="0" labelOnly="1" fieldPosition="0">
        <references count="3">
          <reference field="1" count="1">
            <x v="0"/>
          </reference>
          <reference field="3" count="1" selected="0">
            <x v="5"/>
          </reference>
          <reference field="7" count="1" selected="0">
            <x v="3"/>
          </reference>
        </references>
      </pivotArea>
    </format>
    <format dxfId="2171">
      <pivotArea dataOnly="0" labelOnly="1" fieldPosition="0">
        <references count="3">
          <reference field="1" count="1">
            <x v="1"/>
          </reference>
          <reference field="3" count="1" selected="0">
            <x v="7"/>
          </reference>
          <reference field="7" count="1" selected="0">
            <x v="2"/>
          </reference>
        </references>
      </pivotArea>
    </format>
    <format dxfId="2170">
      <pivotArea dataOnly="0" labelOnly="1" fieldPosition="0">
        <references count="3">
          <reference field="1" count="1">
            <x v="0"/>
          </reference>
          <reference field="3" count="1" selected="0">
            <x v="8"/>
          </reference>
          <reference field="7" count="1" selected="0">
            <x v="0"/>
          </reference>
        </references>
      </pivotArea>
    </format>
    <format dxfId="2169">
      <pivotArea dataOnly="0" labelOnly="1" fieldPosition="0">
        <references count="3">
          <reference field="1" count="1">
            <x v="1"/>
          </reference>
          <reference field="3" count="1" selected="0">
            <x v="11"/>
          </reference>
          <reference field="7" count="1" selected="0">
            <x v="5"/>
          </reference>
        </references>
      </pivotArea>
    </format>
    <format dxfId="2168">
      <pivotArea dataOnly="0" labelOnly="1" fieldPosition="0">
        <references count="3">
          <reference field="1" count="1">
            <x v="0"/>
          </reference>
          <reference field="3" count="1" selected="0">
            <x v="12"/>
          </reference>
          <reference field="7" count="1" selected="0">
            <x v="5"/>
          </reference>
        </references>
      </pivotArea>
    </format>
    <format dxfId="2167">
      <pivotArea dataOnly="0" labelOnly="1" fieldPosition="0">
        <references count="3">
          <reference field="1" count="1">
            <x v="1"/>
          </reference>
          <reference field="3" count="1" selected="0">
            <x v="13"/>
          </reference>
          <reference field="7" count="1" selected="0">
            <x v="0"/>
          </reference>
        </references>
      </pivotArea>
    </format>
    <format dxfId="2166">
      <pivotArea dataOnly="0" labelOnly="1" fieldPosition="0">
        <references count="3">
          <reference field="1" count="1">
            <x v="0"/>
          </reference>
          <reference field="3" count="1" selected="0">
            <x v="15"/>
          </reference>
          <reference field="7" count="1" selected="0">
            <x v="2"/>
          </reference>
        </references>
      </pivotArea>
    </format>
    <format dxfId="2165">
      <pivotArea dataOnly="0" labelOnly="1" fieldPosition="0">
        <references count="3">
          <reference field="1" count="1">
            <x v="1"/>
          </reference>
          <reference field="3" count="1" selected="0">
            <x v="16"/>
          </reference>
          <reference field="7" count="1" selected="0">
            <x v="0"/>
          </reference>
        </references>
      </pivotArea>
    </format>
    <format dxfId="2164">
      <pivotArea dataOnly="0" labelOnly="1" fieldPosition="0">
        <references count="3">
          <reference field="1" count="1">
            <x v="0"/>
          </reference>
          <reference field="3" count="1" selected="0">
            <x v="17"/>
          </reference>
          <reference field="7" count="1" selected="0">
            <x v="0"/>
          </reference>
        </references>
      </pivotArea>
    </format>
    <format dxfId="2163">
      <pivotArea dataOnly="0" labelOnly="1" fieldPosition="0">
        <references count="3">
          <reference field="1" count="1">
            <x v="1"/>
          </reference>
          <reference field="3" count="1" selected="0">
            <x v="19"/>
          </reference>
          <reference field="7" count="1" selected="0">
            <x v="1"/>
          </reference>
        </references>
      </pivotArea>
    </format>
    <format dxfId="2162">
      <pivotArea dataOnly="0" labelOnly="1" fieldPosition="0">
        <references count="3">
          <reference field="1" count="1">
            <x v="0"/>
          </reference>
          <reference field="3" count="1" selected="0">
            <x v="21"/>
          </reference>
          <reference field="7" count="1" selected="0">
            <x v="0"/>
          </reference>
        </references>
      </pivotArea>
    </format>
    <format dxfId="2161">
      <pivotArea dataOnly="0" labelOnly="1" fieldPosition="0">
        <references count="3">
          <reference field="1" count="1">
            <x v="1"/>
          </reference>
          <reference field="3" count="1" selected="0">
            <x v="23"/>
          </reference>
          <reference field="7" count="1" selected="0">
            <x v="0"/>
          </reference>
        </references>
      </pivotArea>
    </format>
    <format dxfId="2160">
      <pivotArea dataOnly="0" labelOnly="1" fieldPosition="0">
        <references count="3">
          <reference field="1" count="1">
            <x v="0"/>
          </reference>
          <reference field="3" count="1" selected="0">
            <x v="24"/>
          </reference>
          <reference field="7" count="1" selected="0">
            <x v="5"/>
          </reference>
        </references>
      </pivotArea>
    </format>
    <format dxfId="2159">
      <pivotArea dataOnly="0" labelOnly="1" fieldPosition="0">
        <references count="3">
          <reference field="1" count="1">
            <x v="1"/>
          </reference>
          <reference field="3" count="1" selected="0">
            <x v="25"/>
          </reference>
          <reference field="7" count="1" selected="0">
            <x v="0"/>
          </reference>
        </references>
      </pivotArea>
    </format>
    <format dxfId="2158">
      <pivotArea dataOnly="0" labelOnly="1" fieldPosition="0">
        <references count="3">
          <reference field="1" count="1">
            <x v="0"/>
          </reference>
          <reference field="3" count="1" selected="0">
            <x v="26"/>
          </reference>
          <reference field="7" count="1" selected="0">
            <x v="1"/>
          </reference>
        </references>
      </pivotArea>
    </format>
    <format dxfId="2157">
      <pivotArea dataOnly="0" labelOnly="1" fieldPosition="0">
        <references count="3">
          <reference field="1" count="1">
            <x v="1"/>
          </reference>
          <reference field="3" count="1" selected="0">
            <x v="27"/>
          </reference>
          <reference field="7" count="1" selected="0">
            <x v="2"/>
          </reference>
        </references>
      </pivotArea>
    </format>
    <format dxfId="2156">
      <pivotArea dataOnly="0" labelOnly="1" fieldPosition="0">
        <references count="3">
          <reference field="1" count="1">
            <x v="0"/>
          </reference>
          <reference field="3" count="1" selected="0">
            <x v="28"/>
          </reference>
          <reference field="7" count="1" selected="0">
            <x v="5"/>
          </reference>
        </references>
      </pivotArea>
    </format>
    <format dxfId="215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2"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233">
      <pivotArea type="all" dataOnly="0" outline="0" fieldPosition="0"/>
    </format>
    <format dxfId="2232">
      <pivotArea field="0" type="button" dataOnly="0" labelOnly="1" outline="0" axis="axisRow" fieldPosition="0"/>
    </format>
    <format dxfId="2231">
      <pivotArea dataOnly="0" labelOnly="1" grandRow="1" outline="0" fieldPosition="0"/>
    </format>
    <format dxfId="2230">
      <pivotArea type="all" dataOnly="0" outline="0" fieldPosition="0"/>
    </format>
    <format dxfId="2229">
      <pivotArea outline="0" collapsedLevelsAreSubtotals="1" fieldPosition="0"/>
    </format>
    <format dxfId="2228">
      <pivotArea field="0" type="button" dataOnly="0" labelOnly="1" outline="0" axis="axisRow" fieldPosition="0"/>
    </format>
    <format dxfId="2227">
      <pivotArea field="2" type="button" dataOnly="0" labelOnly="1" outline="0" axis="axisRow" fieldPosition="1"/>
    </format>
    <format dxfId="2226">
      <pivotArea field="1" type="button" dataOnly="0" labelOnly="1" outline="0" axis="axisRow" fieldPosition="2"/>
    </format>
    <format dxfId="2225">
      <pivotArea field="3" type="button" dataOnly="0" labelOnly="1" outline="0" axis="axisRow" fieldPosition="3"/>
    </format>
    <format dxfId="2224">
      <pivotArea field="4" type="button" dataOnly="0" labelOnly="1" outline="0" axis="axisRow" fieldPosition="4"/>
    </format>
    <format dxfId="2223">
      <pivotArea field="6" type="button" dataOnly="0" labelOnly="1" outline="0" axis="axisRow" fieldPosition="5"/>
    </format>
    <format dxfId="2222">
      <pivotArea field="7" type="button" dataOnly="0" labelOnly="1" outline="0" axis="axisRow" fieldPosition="7"/>
    </format>
    <format dxfId="2221">
      <pivotArea dataOnly="0" labelOnly="1" outline="0" axis="axisValues" fieldPosition="0"/>
    </format>
    <format dxfId="2220">
      <pivotArea type="all" dataOnly="0" outline="0" fieldPosition="0"/>
    </format>
    <format dxfId="2219">
      <pivotArea outline="0" collapsedLevelsAreSubtotals="1" fieldPosition="0"/>
    </format>
    <format dxfId="2218">
      <pivotArea field="0" type="button" dataOnly="0" labelOnly="1" outline="0" axis="axisRow" fieldPosition="0"/>
    </format>
    <format dxfId="2217">
      <pivotArea field="2" type="button" dataOnly="0" labelOnly="1" outline="0" axis="axisRow" fieldPosition="1"/>
    </format>
    <format dxfId="2216">
      <pivotArea field="1" type="button" dataOnly="0" labelOnly="1" outline="0" axis="axisRow" fieldPosition="2"/>
    </format>
    <format dxfId="2215">
      <pivotArea field="3" type="button" dataOnly="0" labelOnly="1" outline="0" axis="axisRow" fieldPosition="3"/>
    </format>
    <format dxfId="2214">
      <pivotArea field="4" type="button" dataOnly="0" labelOnly="1" outline="0" axis="axisRow" fieldPosition="4"/>
    </format>
    <format dxfId="2213">
      <pivotArea field="6" type="button" dataOnly="0" labelOnly="1" outline="0" axis="axisRow" fieldPosition="5"/>
    </format>
    <format dxfId="2212">
      <pivotArea field="7" type="button" dataOnly="0" labelOnly="1" outline="0" axis="axisRow" fieldPosition="7"/>
    </format>
    <format dxfId="2211">
      <pivotArea dataOnly="0" labelOnly="1" fieldPosition="0">
        <references count="1">
          <reference field="0" count="0"/>
        </references>
      </pivotArea>
    </format>
    <format dxfId="2210">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3"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49">
      <pivotArea type="all" dataOnly="0" outline="0" fieldPosition="0"/>
    </format>
    <format dxfId="2248">
      <pivotArea field="1" type="button" dataOnly="0" labelOnly="1" outline="0" axis="axisRow" fieldPosition="0"/>
    </format>
    <format dxfId="2247">
      <pivotArea type="all" dataOnly="0" outline="0" fieldPosition="0"/>
    </format>
    <format dxfId="2246">
      <pivotArea field="1" type="button" dataOnly="0" labelOnly="1" outline="0" axis="axisRow" fieldPosition="0"/>
    </format>
    <format dxfId="2245">
      <pivotArea type="all" dataOnly="0" outline="0" fieldPosition="0"/>
    </format>
    <format dxfId="2244">
      <pivotArea field="1" type="button" dataOnly="0" labelOnly="1" outline="0" axis="axisRow" fieldPosition="0"/>
    </format>
    <format dxfId="2243">
      <pivotArea dataOnly="0" labelOnly="1" outline="0" fieldPosition="0">
        <references count="1">
          <reference field="1" count="0"/>
        </references>
      </pivotArea>
    </format>
    <format dxfId="2242">
      <pivotArea type="all" dataOnly="0" outline="0" fieldPosition="0"/>
    </format>
    <format dxfId="2241">
      <pivotArea field="1" type="button" dataOnly="0" labelOnly="1" outline="0" axis="axisRow" fieldPosition="0"/>
    </format>
    <format dxfId="2240">
      <pivotArea dataOnly="0" labelOnly="1" outline="0" fieldPosition="0">
        <references count="1">
          <reference field="1" count="0"/>
        </references>
      </pivotArea>
    </format>
    <format dxfId="2239">
      <pivotArea type="all" dataOnly="0" outline="0" fieldPosition="0"/>
    </format>
    <format dxfId="2238">
      <pivotArea field="1" type="button" dataOnly="0" labelOnly="1" outline="0" axis="axisRow" fieldPosition="0"/>
    </format>
    <format dxfId="2237">
      <pivotArea dataOnly="0" labelOnly="1" outline="0" fieldPosition="0">
        <references count="1">
          <reference field="1" count="0"/>
        </references>
      </pivotArea>
    </format>
    <format dxfId="2236">
      <pivotArea type="all" dataOnly="0" outline="0" fieldPosition="0"/>
    </format>
    <format dxfId="2235">
      <pivotArea field="1" type="button" dataOnly="0" labelOnly="1" outline="0" axis="axisRow" fieldPosition="0"/>
    </format>
    <format dxfId="2234">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13">
      <pivotArea type="all" dataOnly="0" outline="0" fieldPosition="0"/>
    </format>
    <format dxfId="812">
      <pivotArea outline="0" collapsedLevelsAreSubtotals="1" fieldPosition="0"/>
    </format>
    <format dxfId="811">
      <pivotArea field="0" type="button" dataOnly="0" labelOnly="1" outline="0" axis="axisRow" fieldPosition="0"/>
    </format>
    <format dxfId="810">
      <pivotArea dataOnly="0" labelOnly="1" fieldPosition="0">
        <references count="1">
          <reference field="0" count="0"/>
        </references>
      </pivotArea>
    </format>
    <format dxfId="809">
      <pivotArea dataOnly="0" labelOnly="1" grandRow="1" outline="0" fieldPosition="0"/>
    </format>
    <format dxfId="808">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21">
      <pivotArea outline="0" collapsedLevelsAreSubtotals="1" fieldPosition="0"/>
    </format>
    <format dxfId="820">
      <pivotArea outline="0" fieldPosition="0">
        <references count="1">
          <reference field="4294967294" count="1">
            <x v="0"/>
          </reference>
        </references>
      </pivotArea>
    </format>
    <format dxfId="819">
      <pivotArea type="all" dataOnly="0" outline="0" fieldPosition="0"/>
    </format>
    <format dxfId="818">
      <pivotArea outline="0" collapsedLevelsAreSubtotals="1" fieldPosition="0"/>
    </format>
    <format dxfId="817">
      <pivotArea field="5" type="button" dataOnly="0" labelOnly="1" outline="0" axis="axisRow" fieldPosition="0"/>
    </format>
    <format dxfId="816">
      <pivotArea dataOnly="0" labelOnly="1" fieldPosition="0">
        <references count="1">
          <reference field="5" count="3">
            <x v="2"/>
            <x v="3"/>
            <x v="4"/>
          </reference>
        </references>
      </pivotArea>
    </format>
    <format dxfId="815">
      <pivotArea dataOnly="0" labelOnly="1" grandRow="1" outline="0" fieldPosition="0"/>
    </format>
    <format dxfId="81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9">
      <pivotArea outline="0" collapsedLevelsAreSubtotals="1" fieldPosition="0"/>
    </format>
    <format dxfId="828">
      <pivotArea outline="0" fieldPosition="0">
        <references count="1">
          <reference field="4294967294" count="1">
            <x v="0"/>
          </reference>
        </references>
      </pivotArea>
    </format>
    <format dxfId="827">
      <pivotArea type="all" dataOnly="0" outline="0" fieldPosition="0"/>
    </format>
    <format dxfId="826">
      <pivotArea outline="0" collapsedLevelsAreSubtotals="1" fieldPosition="0"/>
    </format>
    <format dxfId="825">
      <pivotArea field="0" type="button" dataOnly="0" labelOnly="1" outline="0" axis="axisRow" fieldPosition="0"/>
    </format>
    <format dxfId="824">
      <pivotArea dataOnly="0" labelOnly="1" fieldPosition="0">
        <references count="1">
          <reference field="0" count="0"/>
        </references>
      </pivotArea>
    </format>
    <format dxfId="823">
      <pivotArea dataOnly="0" labelOnly="1" grandRow="1" outline="0" fieldPosition="0"/>
    </format>
    <format dxfId="8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35">
      <pivotArea type="all" dataOnly="0" outline="0" fieldPosition="0"/>
    </format>
    <format dxfId="834">
      <pivotArea outline="0" collapsedLevelsAreSubtotals="1" fieldPosition="0"/>
    </format>
    <format dxfId="833">
      <pivotArea field="0" type="button" dataOnly="0" labelOnly="1" outline="0" axis="axisRow" fieldPosition="0"/>
    </format>
    <format dxfId="832">
      <pivotArea dataOnly="0" labelOnly="1" fieldPosition="0">
        <references count="1">
          <reference field="0" count="0"/>
        </references>
      </pivotArea>
    </format>
    <format dxfId="831">
      <pivotArea dataOnly="0" labelOnly="1" grandRow="1" outline="0" fieldPosition="0"/>
    </format>
    <format dxfId="830">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49">
      <pivotArea type="all" dataOnly="0" outline="0" fieldPosition="0"/>
    </format>
    <format dxfId="748">
      <pivotArea outline="0" collapsedLevelsAreSubtotals="1" fieldPosition="0"/>
    </format>
    <format dxfId="747">
      <pivotArea field="50" type="button" dataOnly="0" labelOnly="1" outline="0" axis="axisRow" fieldPosition="0"/>
    </format>
    <format dxfId="746">
      <pivotArea dataOnly="0" labelOnly="1" fieldPosition="0">
        <references count="1">
          <reference field="50" count="3">
            <x v="3"/>
            <x v="4"/>
            <x v="5"/>
          </reference>
        </references>
      </pivotArea>
    </format>
    <format dxfId="745">
      <pivotArea dataOnly="0" labelOnly="1" grandRow="1" outline="0" fieldPosition="0"/>
    </format>
    <format dxfId="744">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5">
      <pivotArea type="all" dataOnly="0" outline="0" fieldPosition="0"/>
    </format>
    <format dxfId="754">
      <pivotArea outline="0" collapsedLevelsAreSubtotals="1" fieldPosition="0"/>
    </format>
    <format dxfId="753">
      <pivotArea field="2" type="button" dataOnly="0" labelOnly="1" outline="0" axis="axisRow" fieldPosition="0"/>
    </format>
    <format dxfId="752">
      <pivotArea dataOnly="0" labelOnly="1" fieldPosition="0">
        <references count="1">
          <reference field="2" count="3">
            <x v="1"/>
            <x v="2"/>
            <x v="3"/>
          </reference>
        </references>
      </pivotArea>
    </format>
    <format dxfId="751">
      <pivotArea dataOnly="0" labelOnly="1" grandRow="1" outline="0" fieldPosition="0"/>
    </format>
    <format dxfId="750">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61">
      <pivotArea type="all" dataOnly="0" outline="0" fieldPosition="0"/>
    </format>
    <format dxfId="760">
      <pivotArea outline="0" collapsedLevelsAreSubtotals="1" fieldPosition="0"/>
    </format>
    <format dxfId="759">
      <pivotArea field="17" type="button" dataOnly="0" labelOnly="1" outline="0" axis="axisRow" fieldPosition="0"/>
    </format>
    <format dxfId="758">
      <pivotArea dataOnly="0" labelOnly="1" fieldPosition="0">
        <references count="1">
          <reference field="17" count="0"/>
        </references>
      </pivotArea>
    </format>
    <format dxfId="757">
      <pivotArea dataOnly="0" labelOnly="1" grandRow="1" outline="0" fieldPosition="0"/>
    </format>
    <format dxfId="75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67">
      <pivotArea type="all" dataOnly="0" outline="0" fieldPosition="0"/>
    </format>
    <format dxfId="766">
      <pivotArea outline="0" collapsedLevelsAreSubtotals="1" fieldPosition="0"/>
    </format>
    <format dxfId="765">
      <pivotArea field="17" type="button" dataOnly="0" labelOnly="1" outline="0" axis="axisRow" fieldPosition="0"/>
    </format>
    <format dxfId="764">
      <pivotArea dataOnly="0" labelOnly="1" fieldPosition="0">
        <references count="1">
          <reference field="17" count="0"/>
        </references>
      </pivotArea>
    </format>
    <format dxfId="763">
      <pivotArea dataOnly="0" labelOnly="1" grandRow="1" outline="0" fieldPosition="0"/>
    </format>
    <format dxfId="762">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31">
      <pivotArea outline="0" collapsedLevelsAreSubtotals="1" fieldPosition="0"/>
    </format>
    <format dxfId="730">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8"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13" dataDxfId="2112">
  <autoFilter ref="BI2:BI33" xr:uid="{FCABCB06-E76D-4ABB-A881-ABFB02322D7F}"/>
  <tableColumns count="1">
    <tableColumn id="1" xr3:uid="{D8BF13A4-3A12-4036-9917-AB6128C1D5F8}" name="Ngày" dataDxfId="211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10" dataDxfId="2109">
  <autoFilter ref="BK2:BK3" xr:uid="{F030FBF0-4D34-4EF7-97B9-188D44049DC2}"/>
  <tableColumns count="1">
    <tableColumn id="1" xr3:uid="{E3C6024A-8868-4504-AE1E-10D6FFA8BE7D}" name="Kỳ" dataDxfId="2108"/>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P4:CT6" totalsRowShown="0" headerRowDxfId="2107" dataDxfId="2106">
  <autoFilter ref="CP4:CT6" xr:uid="{BA39F5F3-F5AA-404A-A7CD-16C79C9DEDE4}"/>
  <tableColumns count="5">
    <tableColumn id="1" xr3:uid="{2B2CA254-1972-463F-AC1F-79640FD3FEBC}" name="Năm" dataDxfId="2105"/>
    <tableColumn id="2" xr3:uid="{AB2F707D-FA25-4ABB-94CC-0B37FF8E4A20}" name="Giá trị gốc" dataDxfId="2104">
      <calculatedColumnFormula array="1">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calculatedColumnFormula>
    </tableColumn>
    <tableColumn id="3" xr3:uid="{63DDC4AF-4E46-4BBB-95C1-358BC97A4949}" name="Giá trị đạt" dataDxfId="2103">
      <calculatedColumnFormula array="1"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calculatedColumnFormula>
    </tableColumn>
    <tableColumn id="4" xr3:uid="{4949AB23-B1EF-4C05-ADC2-B754FDD4B8F7}" name="Format" dataDxfId="2102">
      <calculatedColumnFormula>IFERROR(TEXT(Dashboard_GiaTriNam[[#This Row],[Giá trị đạt]],LOOKUP(Dashboard_GiaTriNam[[#This Row],[Giá trị đạt]],Pivot!$B$6:$B$12,Pivot!$C$6:$C$12)),"")</calculatedColumnFormula>
    </tableColumn>
    <tableColumn id="5" xr3:uid="{1DD8ABD5-C72F-4CFD-BFFA-BEDC4F4C954B}" name="Hiệu quả" dataDxfId="2101">
      <calculatedColumnFormula array="1">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6" totalsRowShown="0" headerRowDxfId="2100" dataDxfId="2099">
  <autoFilter ref="B5:BC6" xr:uid="{BAEBA6B2-288F-49A9-BEF9-8278EDB11DBD}"/>
  <tableColumns count="54">
    <tableColumn id="1" xr3:uid="{FD8ED7B4-F071-45F0-BEE1-F25B013177D2}" name="Kỳ" dataDxfId="2098">
      <calculatedColumnFormula>DATE(Table_Datafeed[[#This Row],[Năm]],Table_Datafeed[[#This Row],[Tháng]],1)</calculatedColumnFormula>
    </tableColumn>
    <tableColumn id="2" xr3:uid="{E9A2CF43-BA4B-4887-B726-EFB6AE39C4B5}" name="Năm" dataDxfId="2097"/>
    <tableColumn id="3" xr3:uid="{2DA1D101-98A7-4341-BAC4-4301BE3B4776}" name="Tháng" dataDxfId="2096"/>
    <tableColumn id="4" xr3:uid="{0641FC0C-01EB-4185-9062-F4AF4EF93644}" name="Sản lượng" dataDxfId="2095">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4">
      <calculatedColumnFormula>-Table_Datafeed[[#This Row],[Chi phí cố định]]/(Table_Datafeed[[#This Row],[Lợi nhuận biến đổi]]/Table_Datafeed[[#This Row],[Sản lượng]])</calculatedColumnFormula>
    </tableColumn>
    <tableColumn id="6" xr3:uid="{6AAF5E7D-0221-4C25-814E-E4C46F4BFA4D}" name="Tỷ lệ hòa vốn" dataDxfId="2093">
      <calculatedColumnFormula>Table_Datafeed[[#This Row],[Sản lượng]]/Table_Datafeed[[#This Row],[Điểm hòa vốn]]-1</calculatedColumnFormula>
    </tableColumn>
    <tableColumn id="7" xr3:uid="{2395E714-F676-4D5E-A096-2A17554BF36E}" name="Doanh thu" dataDxfId="2092">
      <calculatedColumnFormula array="1">IFERROR(SUM(
_xlfn._xlws.FILTER(Table_Main[Thành tiền niêm yết],
NOT(ISBLANK(Table_Main[Đơn bán]))*
(Table_Main[Ngày lên đơn] &gt;= Table_Datafeed[[#This Row],[Kỳ]])*
(Table_Main[Ngày lên đơn] &lt;DATE(YEAR(Table_Datafeed[[#This Row],[Kỳ]]),MONTH(Table_Datafeed[[#This Row],[Kỳ]])+1,1))
)),0)</calculatedColumnFormula>
    </tableColumn>
    <tableColumn id="8" xr3:uid="{5596F896-3038-4E7B-9288-73FA2227ED66}" name="Biên lãi gộp" dataDxfId="2091">
      <calculatedColumnFormula>(Table_Datafeed[[#This Row],[Doanh thu]]+Table_Datafeed[[#This Row],[Chi phí biến đổi]])/Table_Datafeed[[#This Row],[Doanh thu]]</calculatedColumnFormula>
    </tableColumn>
    <tableColumn id="9" xr3:uid="{EBB47544-D455-4DD2-AF63-F1351FBE6D82}" name="Chi phí biến đổi" dataDxfId="2090">
      <calculatedColumnFormula>SUM(Table_Datafeed[[#This Row],[CP chiết khấu]:[CP vận chuyển]])</calculatedColumnFormula>
    </tableColumn>
    <tableColumn id="10" xr3:uid="{776D0F30-43C8-4A09-9853-B2D7EBA76A14}" name="CP chiết khấu" dataDxfId="2089">
      <calculatedColumnFormula array="1">-IFERROR(SUM(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calculatedColumnFormula>
    </tableColumn>
    <tableColumn id="11" xr3:uid="{9729C4DC-21DC-4D34-AC53-2BB99DB56E1A}" name="CP nguyên liệu" dataDxfId="2088">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7">
      <calculatedColumnFormula array="1">-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13" xr3:uid="{02813682-815F-4019-9F5F-48235030214D}" name="CP hoa hồng" dataDxfId="2086">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5">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4">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3">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82">
      <calculatedColumnFormula>+Table_Datafeed[[#This Row],[Doanh thu]]+Table_Datafeed[[#This Row],[Chi phí biến đổi]]</calculatedColumnFormula>
    </tableColumn>
    <tableColumn id="19" xr3:uid="{EA7590FA-F01E-432E-A8A9-1D63BC7943B0}" name="Đòn bẩy hoạt động" dataDxfId="2081">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80">
      <calculatedColumnFormula>SUM(Table_Datafeed[[#This Row],[CP nhân sự]:[CP khác]])</calculatedColumnFormula>
    </tableColumn>
    <tableColumn id="21" xr3:uid="{EE9318AF-255F-4579-B13E-250E155C38E3}" name="CP nhân sự" dataDxfId="2079">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8">
      <calculatedColumnFormula array="1">-IFERROR(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23" xr3:uid="{62B65E09-992C-411F-B6B9-50EFEE7A3975}" name="CP vận hành kênh" dataDxfId="2077">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6">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5">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4">
      <calculatedColumnFormula array="1">-IFERROR(SUM(_xlfn._xlws.FILTER(Table_TSCD_KhauHao[Khấu hao],
(Table_TSCD_KhauHao[Kỳ] = Table_Datafeed[[#This Row],[Kỳ]]))),0)</calculatedColumnFormula>
    </tableColumn>
    <tableColumn id="27" xr3:uid="{422E3EF5-602E-4FB0-B5C7-B7930FB398B8}" name="CP lãi vay" dataDxfId="2073">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72">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71">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70">
      <calculatedColumnFormula>+Table_Datafeed[[#This Row],[Lợi nhuận biến đổi]]+Table_Datafeed[[#This Row],[Chi phí cố định]]</calculatedColumnFormula>
    </tableColumn>
    <tableColumn id="31" xr3:uid="{FB241A19-96CD-4E04-9DA9-E059525EA09C}" name="Hiệu quả lợi nhuận" dataDxfId="2069">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8">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7">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6">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5">
      <calculatedColumnFormula>(Table_Datafeed[[#This Row],[Doanh thu]]-Table_Datafeed[[#This Row],[Tiền bán hàng]])/Table_Datafeed[[#This Row],[Doanh thu]]</calculatedColumnFormula>
    </tableColumn>
    <tableColumn id="35" xr3:uid="{3945CA98-6BD9-4A7E-A831-EE792C7E1311}" name="Tiền chi kinh doanh" dataDxfId="2064">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3">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62">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61">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60">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9">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8">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7">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6">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5">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4">
      <calculatedColumnFormula>+Table_Datafeed[[#This Row],[Dòng tiền kinh doanh]]+Table_Datafeed[[#This Row],[Tiền trả gốc &amp; lãi]]</calculatedColumnFormula>
    </tableColumn>
    <tableColumn id="46" xr3:uid="{4207F6E5-B11E-4B5E-B672-017A94756225}" name="Hiệu quả dòng tiền kinh doanh" dataDxfId="2053">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52">
      <calculatedColumnFormula array="1">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51">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50">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9">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8">
      <calculatedColumnFormula array="1"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7">
      <calculatedColumnFormula>+Table_Datafeed[[#This Row],[Số dư tiền mặt vận hành]]+
+SUM(Table_Datafeed[[#This Row],[Tiền lời đầu tư]:[Huy động vốn góp]])</calculatedColumnFormula>
    </tableColumn>
    <tableColumn id="53" xr3:uid="{5D5C330E-CA2B-4D92-A0B6-79774FE8FBEC}" name="Trả cổ tức" dataDxfId="2046">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5">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4" dataDxfId="2043">
  <autoFilter ref="AR7:AV14" xr:uid="{36BBD135-DAA2-48A2-99CC-C482F4C12060}"/>
  <tableColumns count="5">
    <tableColumn id="1" xr3:uid="{FC5BBDC0-CFF2-40B0-B4B0-961E16F0FBE9}" name="Khách hàng" dataDxfId="2042"/>
    <tableColumn id="2" xr3:uid="{93CD08C4-DED5-48C4-9634-176A29C072EE}" name="Doanh thu" dataDxfId="2041">
      <calculatedColumnFormula>VLOOKUP(Dashboard_ThiTruong_KhachHang[[#This Row],[Khách hàng]],_xlfn.ANCHORARRAY($BO$31):_xlfn.ANCHORARRAY($BV$31),8,0)</calculatedColumnFormula>
    </tableColumn>
    <tableColumn id="3" xr3:uid="{EB73406B-1D74-4E47-9074-58C8F4833142}" name="Doanh thu / ngày" dataDxfId="2040">
      <calculatedColumnFormula>VLOOKUP(Dashboard_ThiTruong_KhachHang[[#This Row],[Khách hàng]],_xlfn.ANCHORARRAY($BO$31):_xlfn.ANCHORARRAY($BZ$31),12,0)</calculatedColumnFormula>
    </tableColumn>
    <tableColumn id="4" xr3:uid="{DA459717-422A-4B47-8E93-7DA52DF867B5}" name="Số ngày chưa mua" dataDxfId="2039">
      <calculatedColumnFormula>VLOOKUP(Dashboard_ThiTruong_KhachHang[[#This Row],[Khách hàng]],_xlfn.ANCHORARRAY($BO$31):_xlfn.ANCHORARRAY($CB$31),14,0)</calculatedColumnFormula>
    </tableColumn>
    <tableColumn id="5" xr3:uid="{B422CFDB-D178-4B09-84E6-7649EF566A27}" name="Nhóm khách" dataDxfId="2038">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7" dataDxfId="2036">
  <autoFilter ref="AY7:BC9" xr:uid="{FB440F6A-EEE4-49BF-9775-007470767C65}"/>
  <tableColumns count="5">
    <tableColumn id="1" xr3:uid="{20D32DBA-262A-4148-9BA5-9841285D26F8}" name="Phân khúc" dataDxfId="2035"/>
    <tableColumn id="2" xr3:uid="{024CA038-6F0E-4D5E-B596-4358E7B947CA}" name="Giá trị" dataDxfId="2034">
      <calculatedColumnFormula>VLOOKUP(Dashboard_ThiTruong_PhanKhuc[[#This Row],[Phân khúc]],CJ:CK,2,0)</calculatedColumnFormula>
    </tableColumn>
    <tableColumn id="3" xr3:uid="{F68BE591-9FB2-48C6-A949-2F2B91C6813C}" name="Tỷ lệ" dataDxfId="2033">
      <calculatedColumnFormula>VLOOKUP(Dashboard_ThiTruong_PhanKhuc[[#This Row],[Phân khúc]],CJ:CM,4,0)</calculatedColumnFormula>
    </tableColumn>
    <tableColumn id="4" xr3:uid="{20749695-AF08-4320-9479-96401DA1E585}" name="Tăng trưởng" dataDxfId="2032">
      <calculatedColumnFormula>VLOOKUP(Dashboard_ThiTruong_PhanKhuc[[#This Row],[Phân khúc]],CJ:CO,6,0)</calculatedColumnFormula>
    </tableColumn>
    <tableColumn id="5" xr3:uid="{BFCD7BF7-ADB6-469E-8C6E-4952394F6441}" name="Vượt TB" dataDxfId="2031">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30" dataDxfId="2029">
  <autoFilter ref="BF7:BG14" xr:uid="{F24DE4CE-2BDB-402B-A4D9-D74394A56CA2}"/>
  <tableColumns count="2">
    <tableColumn id="1" xr3:uid="{2C49FBFF-3A20-4D1C-A5A7-F514B51CB0B9}" name="Tỉnh" dataDxfId="2028" dataCellStyle="Percent"/>
    <tableColumn id="2" xr3:uid="{8FDB34DF-8393-46E4-ABF4-B6305ACAAAD6}" name="Giá trị tổng" dataDxfId="2027">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6" dataDxfId="2025">
  <autoFilter ref="BJ7:BL10" xr:uid="{8EE233C6-2A42-4B91-8973-74E3A35A71D1}"/>
  <tableColumns count="3">
    <tableColumn id="1" xr3:uid="{6FFD339B-4956-48CB-B3A0-7B8D0886D91C}" name="Nhóm" dataDxfId="2024" dataCellStyle="Percent"/>
    <tableColumn id="2" xr3:uid="{39CF6C88-44BE-43C6-808F-D00BDFBDDBFA}" name="Giá trị" dataDxfId="2023">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22">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21" dataDxfId="2020">
  <autoFilter ref="AR7:AV10" xr:uid="{36BBD135-DAA2-48A2-99CC-C482F4C12060}"/>
  <tableColumns count="5">
    <tableColumn id="1" xr3:uid="{2839A81E-3678-4D30-B050-74594E3386CF}" name="SKU" dataDxfId="2019"/>
    <tableColumn id="2" xr3:uid="{013F09F9-44F1-4B64-8268-3FEEFB073505}" name="Doanh thu" dataDxfId="2018">
      <calculatedColumnFormula>VLOOKUP(Dashboard_SanPham_SKU[[#This Row],[SKU]],_xlfn.ANCHORARRAY($BN$31):_xlfn.ANCHORARRAY($BS$31),6,0)</calculatedColumnFormula>
    </tableColumn>
    <tableColumn id="3" xr3:uid="{66EF6EB3-57D3-4620-9EFD-C456A801A67C}" name="Doanh thu / ngày" dataDxfId="2017">
      <calculatedColumnFormula>VLOOKUP(Dashboard_SanPham_SKU[[#This Row],[SKU]],_xlfn.ANCHORARRAY($BN$31):_xlfn.ANCHORARRAY($BV$31),9,0)</calculatedColumnFormula>
    </tableColumn>
    <tableColumn id="4" xr3:uid="{BCDAF0EC-9CDF-4108-9011-05111BF7A1A4}" name="Số ngày chưa mua" dataDxfId="2016">
      <calculatedColumnFormula>VLOOKUP(Dashboard_SanPham_SKU[[#This Row],[SKU]],_xlfn.ANCHORARRAY($BN$31):_xlfn.ANCHORARRAY($BX$31),11,0)</calculatedColumnFormula>
    </tableColumn>
    <tableColumn id="5" xr3:uid="{112F85F1-1601-4439-9E49-0A41EB27DCEF}" name="Nhóm khách" dataDxfId="2015">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4" dataDxfId="2013">
  <autoFilter ref="AY7:BC10" xr:uid="{FB440F6A-EEE4-49BF-9775-007470767C65}"/>
  <tableColumns count="5">
    <tableColumn id="1" xr3:uid="{54987609-E015-4F8A-8705-E7362082B0AC}" name="Phân khúc" dataDxfId="2012"/>
    <tableColumn id="2" xr3:uid="{A46D8873-0CC1-4523-969E-C6412BF1DC75}" name="Giá trị" dataDxfId="2011">
      <calculatedColumnFormula>VLOOKUP(Dashboard_SanPham_Nhom[[#This Row],[Phân khúc]],_xlfn.ANCHORARRAY($CC$31):_xlfn.ANCHORARRAY($CD$31),2,0)</calculatedColumnFormula>
    </tableColumn>
    <tableColumn id="3" xr3:uid="{EDF080E1-16F4-47D4-9261-82A34D69850B}" name="Tỷ lệ" dataDxfId="2010">
      <calculatedColumnFormula>VLOOKUP(Dashboard_SanPham_Nhom[[#This Row],[Phân khúc]],_xlfn.ANCHORARRAY($CC$31):_xlfn.ANCHORARRAY($CF$31),4,0)</calculatedColumnFormula>
    </tableColumn>
    <tableColumn id="4" xr3:uid="{078182C3-BE75-4B2C-B027-8A2671D370AC}" name="Tăng trưởng" dataDxfId="2009">
      <calculatedColumnFormula>VLOOKUP(Dashboard_SanPham_Nhom[[#This Row],[Phân khúc]],_xlfn.ANCHORARRAY($CC$31):_xlfn.ANCHORARRAY($CH$31),6,0)</calculatedColumnFormula>
    </tableColumn>
    <tableColumn id="5" xr3:uid="{45FEA94E-0A31-41AB-9067-DDEF672F91FD}" name="Vượt TB" dataDxfId="2008">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7" dataDxfId="2006">
  <autoFilter ref="BF7:BG14" xr:uid="{F24DE4CE-2BDB-402B-A4D9-D74394A56CA2}"/>
  <tableColumns count="2">
    <tableColumn id="1" xr3:uid="{28FCE4F9-C924-40C0-85DA-BDE44C3CD7AA}" name="Tỉnh" dataDxfId="2005"/>
    <tableColumn id="2" xr3:uid="{6B8C8115-7638-4338-88DB-6BF2A168FB86}" name="Giá trị tổng" dataDxfId="2004">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3" dataDxfId="2002">
  <autoFilter ref="BJ7:BL9" xr:uid="{265EC072-CE70-4CEB-AB95-42357F07755C}"/>
  <tableColumns count="3">
    <tableColumn id="1" xr3:uid="{28C519B2-52DB-4C07-B549-8BBA4AF7F476}" name="Phân khúc" dataDxfId="2001"/>
    <tableColumn id="2" xr3:uid="{210EA312-5AC9-4860-BC61-F2EF7A60E09D}" name="Giá trị" dataDxfId="2000">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9">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8" dataDxfId="1997">
  <autoFilter ref="AP4:AV10" xr:uid="{7EF92B3D-4805-404A-AF6C-53B7308A26AA}"/>
  <tableColumns count="7">
    <tableColumn id="1" xr3:uid="{6436136F-98BF-4810-8D6E-F2D0B860C734}" name="Mã kênh" dataDxfId="1996"/>
    <tableColumn id="2" xr3:uid="{51ACC555-ED96-4FE3-A6B8-77BAB890DAED}" name="Doanh thu" dataDxfId="1995">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4">
      <calculatedColumnFormula>IFERROR(VLOOKUP(Dashboard_KPI_Kenh[[#This Row],[Mã kênh]],_xlfn.ANCHORARRAY($CD$5):_xlfn.ANCHORARRAY($CH$5),5,0),0)</calculatedColumnFormula>
    </tableColumn>
    <tableColumn id="4" xr3:uid="{C7C60840-3138-4B42-9BC8-BE5D8DADD1C5}" name="Doanh thu / tỷ lệ" dataDxfId="1993">
      <calculatedColumnFormula>IFERROR(VLOOKUP(Dashboard_KPI_Kenh[[#This Row],[Mã kênh]],_xlfn.ANCHORARRAY($CD$5):_xlfn.ANCHORARRAY($CI$5),6,0),0)</calculatedColumnFormula>
    </tableColumn>
    <tableColumn id="5" xr3:uid="{11A9A5B1-A512-4256-B4E2-A4C63A426936}" name="KPI" dataDxfId="1992">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91">
      <calculatedColumnFormula>IFERROR(Dashboard_KPI_Kenh[[#This Row],[Doanh thu]]/Dashboard_KPI_Kenh[[#This Row],[KPI]],"")</calculatedColumnFormula>
    </tableColumn>
    <tableColumn id="7" xr3:uid="{63C5CC16-6B27-4B81-A093-37B969B017C6}" name="Đạt KPI" dataDxfId="1990">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9" dataDxfId="1988">
  <autoFilter ref="AY4:BE9" xr:uid="{509EC850-09C3-4E1A-96B6-6A3E61B6DFF6}"/>
  <tableColumns count="7">
    <tableColumn id="1" xr3:uid="{E76CF702-F090-45B6-8F64-39627BF64F34}" name="Mã NV" dataDxfId="1987"/>
    <tableColumn id="2" xr3:uid="{7C83196F-9E99-4A71-9BD0-E6BCF83CB713}" name="Doanh thu" dataDxfId="1986">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5">
      <calculatedColumnFormula>IFERROR(VLOOKUP(Dashboard_KPI_NhanVien[[#This Row],[Mã NV]],_xlfn.ANCHORARRAY($CL$5):_xlfn.ANCHORARRAY($CP$5),5,0),0)</calculatedColumnFormula>
    </tableColumn>
    <tableColumn id="4" xr3:uid="{39A52C50-B42D-4C5C-BE5B-FA5FA9A16A3D}" name="Doanh thu / tỷ lệ" dataDxfId="1984">
      <calculatedColumnFormula>IFERROR(VLOOKUP(Dashboard_KPI_NhanVien[[#This Row],[Mã NV]],_xlfn.ANCHORARRAY($CL$5):_xlfn.ANCHORARRAY($CQ$5),6,0),0)</calculatedColumnFormula>
    </tableColumn>
    <tableColumn id="5" xr3:uid="{DA8E4220-8158-4BD1-82CE-A7F238A31A95}" name="KPI" dataDxfId="1983">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82">
      <calculatedColumnFormula>IFERROR(Dashboard_KPI_NhanVien[[#This Row],[Doanh thu]]/Dashboard_KPI_NhanVien[[#This Row],[KPI]],"")</calculatedColumnFormula>
    </tableColumn>
    <tableColumn id="7" xr3:uid="{4DD66838-23F4-43AE-A1A6-CBED87B84FF6}" name="Đạt KPI" dataDxfId="1981">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80" dataDxfId="1979">
  <autoFilter ref="BH4:BJ6" xr:uid="{9D9E506A-DC0D-4DE9-BF99-A6727265051F}"/>
  <tableColumns count="3">
    <tableColumn id="1" xr3:uid="{E74E1FE3-FDEF-4B0C-86E2-E12D87C9487E}" name="Phân khúc" dataDxfId="1978"/>
    <tableColumn id="2" xr3:uid="{CFD1BF36-F37F-44C6-A79C-E7CEA67B5223}" name="Tỷ lệ Kênh" dataDxfId="1977">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6">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5" dataDxfId="1974">
  <autoFilter ref="BM4:BO7" xr:uid="{F2603CB4-9CE6-453C-924D-95ABE1214791}"/>
  <tableColumns count="3">
    <tableColumn id="1" xr3:uid="{B258295B-3240-4E04-B819-B4AE54BD2541}" name="Phân nhóm" dataDxfId="1973"/>
    <tableColumn id="2" xr3:uid="{7721E708-F3E7-4B36-8E93-E8F6D2E758AB}" name="Tỷ lệ NV" dataDxfId="1972">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71">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70" dataDxfId="1969">
  <autoFilter ref="AM5:AV9" xr:uid="{15565D60-6118-4C37-A7DF-0AF81AE48398}"/>
  <tableColumns count="10">
    <tableColumn id="1" xr3:uid="{A820E8DB-EDB7-424E-AA8D-7EEE7633F0E4}" name="Chương trình" dataDxfId="1968"/>
    <tableColumn id="2" xr3:uid="{FE7A7A82-196E-441A-8056-E6A1B3044E04}" name="Dthu" dataDxfId="1967">
      <calculatedColumnFormula>VLOOKUP(Dashboard_Ctr_Ctr[[#This Row],[Chương trình]],_xlfn.ANCHORARRAY($BH$25):_xlfn.ANCHORARRAY($BL$25),5,0)</calculatedColumnFormula>
    </tableColumn>
    <tableColumn id="3" xr3:uid="{052BD364-3308-438B-B0F3-7D2E28AFA2AB}" name="Tăng DT" dataDxfId="1966">
      <calculatedColumnFormula>VLOOKUP(Dashboard_Ctr_Ctr[[#This Row],[Chương trình]],_xlfn.ANCHORARRAY($BH$25):_xlfn.ANCHORARRAY($BX$25),17,0)</calculatedColumnFormula>
    </tableColumn>
    <tableColumn id="4" xr3:uid="{2E247858-F896-432F-A010-6875C5A3A5F9}" name="HQ Dthu" dataDxfId="1965">
      <calculatedColumnFormula>VLOOKUP(Dashboard_Ctr_Ctr[[#This Row],[Chương trình]],_xlfn.ANCHORARRAY($BH$25):_xlfn.ANCHORARRAY($BZ$25),19,0)</calculatedColumnFormula>
    </tableColumn>
    <tableColumn id="5" xr3:uid="{81B762CF-66DE-4703-B65C-A67769863726}" name="Khách mới" dataDxfId="1964">
      <calculatedColumnFormula>VLOOKUP(Dashboard_Ctr_Ctr[[#This Row],[Chương trình]],_xlfn.ANCHORARRAY($BH$25):_xlfn.ANCHORARRAY($BI$25),2,0)</calculatedColumnFormula>
    </tableColumn>
    <tableColumn id="6" xr3:uid="{131D7EFD-240C-4EFE-AC0D-61AB2E916EA0}" name="HQ khách mới" dataDxfId="1963">
      <calculatedColumnFormula>VLOOKUP(Dashboard_Ctr_Ctr[[#This Row],[Chương trình]],_xlfn.ANCHORARRAY($BH$25):_xlfn.ANCHORARRAY($BW$25),16,0)</calculatedColumnFormula>
    </tableColumn>
    <tableColumn id="7" xr3:uid="{29EE600E-6C76-49F2-95D1-C3967391D426}" name="Tăng TS Đơn" dataDxfId="1962">
      <calculatedColumnFormula>VLOOKUP(Dashboard_Ctr_Ctr[[#This Row],[Chương trình]],_xlfn.ANCHORARRAY($BH$25):_xlfn.ANCHORARRAY($CA$25),20,0)</calculatedColumnFormula>
    </tableColumn>
    <tableColumn id="8" xr3:uid="{73D8814E-2098-4228-ABE6-2EA69BF59588}" name="HQ Đơn" dataDxfId="1961">
      <calculatedColumnFormula>VLOOKUP(Dashboard_Ctr_Ctr[[#This Row],[Chương trình]],_xlfn.ANCHORARRAY($BH$25):_xlfn.ANCHORARRAY($CB$25),21,0)</calculatedColumnFormula>
    </tableColumn>
    <tableColumn id="9" xr3:uid="{93933BA8-267D-4E3D-B6BB-0801477E4F20}" name="Tăng TS SKU" dataDxfId="1960">
      <calculatedColumnFormula>VLOOKUP(Dashboard_Ctr_Ctr[[#This Row],[Chương trình]],_xlfn.ANCHORARRAY($BH$25):_xlfn.ANCHORARRAY($CC$25),22,0)</calculatedColumnFormula>
    </tableColumn>
    <tableColumn id="10" xr3:uid="{C926ABF7-22EE-4F16-AC71-EF37EAC60314}" name="HQ SKU" dataDxfId="1959">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8" dataDxfId="1957">
  <autoFilter ref="AY5:BA12" xr:uid="{1CB9D148-4698-4385-8DD3-482072853730}"/>
  <tableColumns count="3">
    <tableColumn id="1" xr3:uid="{8E48EF81-9B6D-46D3-8B0F-1DE07507681F}" name="Khách" dataDxfId="1956"/>
    <tableColumn id="2" xr3:uid="{9C6E774F-1A80-48EE-A0C0-232764C66C1C}" name="Giá trị" dataDxfId="1955">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4">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3" dataDxfId="1952">
  <autoFilter ref="BD5:BF8" xr:uid="{16F12A0E-ED7C-459C-BC66-ED2465A5F374}"/>
  <tableColumns count="3">
    <tableColumn id="1" xr3:uid="{DCD71675-FF16-40CF-B500-B8E70688B072}" name="SKU" dataDxfId="1951"/>
    <tableColumn id="2" xr3:uid="{A12AE408-6E8B-4FC4-84DC-1DA1A9C8DD90}" name="Giá trị" dataDxfId="1950">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9">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7" totalsRowShown="0" headerRowDxfId="1891" dataDxfId="1890">
  <autoFilter ref="B6:P47" xr:uid="{822B9D44-8197-4B45-BA58-5B50DB6A72B5}"/>
  <tableColumns count="15">
    <tableColumn id="1" xr3:uid="{656412B0-12BB-4819-9C73-49C79DEB4E6A}" name="Gtri" dataDxfId="1889"/>
    <tableColumn id="4" xr3:uid="{09162BA7-3630-4B4C-95DE-4A93C54903A8}" name="Năm" dataDxfId="1888"/>
    <tableColumn id="2" xr3:uid="{FB83258E-0BE8-455A-9DCB-4F9C3FA390D0}" name="Tháng 1" dataDxfId="1887"/>
    <tableColumn id="3" xr3:uid="{641B1B86-10DE-4F0C-A502-11DEA59DF958}" name="Tháng 2" dataDxfId="1886"/>
    <tableColumn id="5" xr3:uid="{754DA001-F6FD-443E-A174-CD7E0B1F5D17}" name="Tháng 3" dataDxfId="1885"/>
    <tableColumn id="6" xr3:uid="{6FA9767F-3C52-4564-9992-686AC7EBEB3E}" name="Tháng 4" dataDxfId="1884"/>
    <tableColumn id="7" xr3:uid="{F6BD0B78-CBC0-4377-A58A-555958C799E1}" name="Tháng 5" dataDxfId="1883"/>
    <tableColumn id="8" xr3:uid="{75E88C8C-617B-475C-B72F-31798F0DD844}" name="Tháng 6" dataDxfId="1882"/>
    <tableColumn id="9" xr3:uid="{20F2A264-1A70-4F0C-8BB9-D0162B0123E8}" name="Tháng 7" dataDxfId="1881"/>
    <tableColumn id="10" xr3:uid="{9E5110B6-B694-4D70-8064-B95CECFFF716}" name="Tháng 8" dataDxfId="1880"/>
    <tableColumn id="11" xr3:uid="{B3CA4AC5-536E-4D62-A03D-6901B8958F54}" name="Tháng 9" dataDxfId="1879"/>
    <tableColumn id="12" xr3:uid="{51C600F4-235F-4505-A24C-F4DF37840B37}" name="Tháng 10" dataDxfId="1878"/>
    <tableColumn id="13" xr3:uid="{2DFC94EE-8346-42BC-ADC0-510190C07656}" name="Tháng 11" dataDxfId="1877"/>
    <tableColumn id="14" xr3:uid="{28C613C3-C209-4F7A-82BF-B2F301134772}" name="Tháng 12" dataDxfId="1876"/>
    <tableColumn id="15" xr3:uid="{C1064C40-D3C2-4250-A7A0-F40BA9B57993}" name="Add" dataDxfId="1875"/>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4:P56" totalsRowCount="1" headerRowDxfId="1874" dataDxfId="1873" totalsRowDxfId="1872">
  <autoFilter ref="B54:P55" xr:uid="{D31941DA-BE1B-4021-9B31-FDF3E083BB86}"/>
  <tableColumns count="15">
    <tableColumn id="1" xr3:uid="{82FAE5A8-DBFB-4E79-822D-469B63D66705}" name="Kế hoạch sản lượng" totalsRowLabel="Tổng" dataDxfId="1871" totalsRowDxfId="1870"/>
    <tableColumn id="4" xr3:uid="{6B311055-99D3-4F69-B4DB-48A1AB894484}" name="Tham chiếu" totalsRowFunction="custom" dataDxfId="1869" totalsRowDxfId="1868" dataCellStyle="Comma" totalsRowCellStyle="Comma">
      <calculatedColumnFormula array="1"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7" totalsRowDxfId="1866" dataCellStyle="Comma" totalsRowCellStyle="Comma">
      <totalsRowFormula>SUM(Table_KeHoach_SanLuong[Tháng 1])</totalsRowFormula>
    </tableColumn>
    <tableColumn id="30" xr3:uid="{70694902-0D86-4550-8978-6631221B1110}" name="Tháng 2" totalsRowFunction="custom" dataDxfId="1865" totalsRowDxfId="1864" dataCellStyle="Comma" totalsRowCellStyle="Comma">
      <totalsRowFormula>SUM(Table_KeHoach_SanLuong[Tháng 2])</totalsRowFormula>
    </tableColumn>
    <tableColumn id="31" xr3:uid="{C1E724A7-9693-46FC-8A7A-304F00161DBE}" name="Tháng 3" totalsRowFunction="custom" dataDxfId="1863" totalsRowDxfId="1862" dataCellStyle="Comma" totalsRowCellStyle="Comma">
      <totalsRowFormula>SUM(Table_KeHoach_SanLuong[Tháng 3])</totalsRowFormula>
    </tableColumn>
    <tableColumn id="32" xr3:uid="{7221CCF4-72B1-44F8-BEEB-AAD846AA595F}" name="Tháng 4" totalsRowFunction="custom" dataDxfId="1861" totalsRowDxfId="1860" dataCellStyle="Comma" totalsRowCellStyle="Comma">
      <totalsRowFormula>SUM(Table_KeHoach_SanLuong[Tháng 4])</totalsRowFormula>
    </tableColumn>
    <tableColumn id="33" xr3:uid="{0E67CAE7-0D32-49F3-BD50-A158C644B1BD}" name="Tháng 5" totalsRowFunction="custom" dataDxfId="1859" totalsRowDxfId="1858" dataCellStyle="Comma" totalsRowCellStyle="Comma">
      <totalsRowFormula>SUM(Table_KeHoach_SanLuong[Tháng 5])</totalsRowFormula>
    </tableColumn>
    <tableColumn id="34" xr3:uid="{1918CD14-C8BB-4831-A685-D18D5461986C}" name="Tháng 6" totalsRowFunction="custom" dataDxfId="1857" totalsRowDxfId="1856" dataCellStyle="Comma" totalsRowCellStyle="Comma">
      <totalsRowFormula>SUM(Table_KeHoach_SanLuong[Tháng 6])</totalsRowFormula>
    </tableColumn>
    <tableColumn id="35" xr3:uid="{15CFC91E-B8B9-42A1-8A2B-87E661BF4084}" name="Tháng 7" totalsRowFunction="custom" dataDxfId="1855" totalsRowDxfId="1854" dataCellStyle="Comma" totalsRowCellStyle="Comma">
      <totalsRowFormula>SUM(Table_KeHoach_SanLuong[Tháng 7])</totalsRowFormula>
    </tableColumn>
    <tableColumn id="36" xr3:uid="{DEAE018A-5B97-4FF8-B5C6-524BBD8A8553}" name="Tháng 8" totalsRowFunction="custom" dataDxfId="1853" totalsRowDxfId="1852" dataCellStyle="Comma" totalsRowCellStyle="Comma">
      <totalsRowFormula>SUM(Table_KeHoach_SanLuong[Tháng 8])</totalsRowFormula>
    </tableColumn>
    <tableColumn id="37" xr3:uid="{69090A1D-A073-4FD8-889C-ADBE6A9D7DB8}" name="Tháng 9" totalsRowFunction="custom" dataDxfId="1851" totalsRowDxfId="1850" dataCellStyle="Comma" totalsRowCellStyle="Comma">
      <totalsRowFormula>SUM(Table_KeHoach_SanLuong[Tháng 9])</totalsRowFormula>
    </tableColumn>
    <tableColumn id="38" xr3:uid="{11A81D84-C3DD-47F7-AF28-E389CC9FF3CB}" name="Tháng 10" totalsRowFunction="custom" dataDxfId="1849" totalsRowDxfId="1848" dataCellStyle="Comma" totalsRowCellStyle="Comma">
      <totalsRowFormula>SUM(Table_KeHoach_SanLuong[Tháng 10])</totalsRowFormula>
    </tableColumn>
    <tableColumn id="39" xr3:uid="{14A6A2F5-5E15-4169-86A9-3229B946B250}" name="Tháng 11" totalsRowFunction="custom" dataDxfId="1847" totalsRowDxfId="1846" dataCellStyle="Comma" totalsRowCellStyle="Comma">
      <totalsRowFormula>SUM(Table_KeHoach_SanLuong[Tháng 11])</totalsRowFormula>
    </tableColumn>
    <tableColumn id="40" xr3:uid="{7C1CB8B1-00D4-4FA9-A290-F043A0FA9307}" name="Tháng 12" totalsRowFunction="custom" dataDxfId="1845" totalsRowDxfId="1844" dataCellStyle="Comma" totalsRowCellStyle="Comma">
      <totalsRowFormula>SUM(Table_KeHoach_SanLuong[Tháng 12])</totalsRowFormula>
    </tableColumn>
    <tableColumn id="3" xr3:uid="{A6D0263F-3084-4FE7-A127-4BA9D805D4D7}" name="Add" dataDxfId="1843" totalsRowDxfId="1842"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9:P60" totalsRowShown="0" headerRowDxfId="1841" dataDxfId="1840">
  <autoFilter ref="B59:P60" xr:uid="{8A426214-1C38-4C4E-9C2C-D253B8886748}"/>
  <tableColumns count="15">
    <tableColumn id="1" xr3:uid="{EBDC21DB-0978-43FF-8F49-EB0A63ACFFC6}" name="Kế hoạch giá niêm yết thành phẩm" dataDxfId="1839" totalsRowDxfId="1838"/>
    <tableColumn id="3" xr3:uid="{425153B2-5062-4C16-A6F6-F47683DA3B49}" name="Tham chiếu" dataDxfId="1837" totalsRowDxfId="1836" dataCellStyle="Comma">
      <calculatedColumnFormula array="1">+IFERROR(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calculatedColumnFormula>
    </tableColumn>
    <tableColumn id="29" xr3:uid="{669CACBE-1D77-46AC-A978-B8FF66B671BB}" name="Tháng 1" dataDxfId="1835" totalsRowDxfId="1834" dataCellStyle="Comma"/>
    <tableColumn id="30" xr3:uid="{CF8A322E-866F-494C-966A-830B3ADA2CD2}" name="Tháng 2" dataDxfId="1833" totalsRowDxfId="1832" dataCellStyle="Comma"/>
    <tableColumn id="31" xr3:uid="{6B66BA70-F0F0-4B4E-87CF-79B7E1D3B29C}" name="Tháng 3" dataDxfId="1831" totalsRowDxfId="1830" dataCellStyle="Comma"/>
    <tableColumn id="32" xr3:uid="{5B3CE899-C52C-4E1C-A688-5D6030E82F01}" name="Tháng 4" dataDxfId="1829" totalsRowDxfId="1828" dataCellStyle="Comma"/>
    <tableColumn id="33" xr3:uid="{C034F888-AFFA-4740-B3BA-F4654FB405CF}" name="Tháng 5" dataDxfId="1827" totalsRowDxfId="1826" dataCellStyle="Comma"/>
    <tableColumn id="34" xr3:uid="{07693A9D-90BE-477A-BB72-83DE0C3434DF}" name="Tháng 6" dataDxfId="1825" totalsRowDxfId="1824" dataCellStyle="Comma"/>
    <tableColumn id="35" xr3:uid="{B0AE6993-599A-4E49-BDB1-73ABDD7A437B}" name="Tháng 7" dataDxfId="1823" totalsRowDxfId="1822" dataCellStyle="Comma"/>
    <tableColumn id="36" xr3:uid="{D49868AC-F67A-41A1-A3C9-45781D2C20F8}" name="Tháng 8" dataDxfId="1821" totalsRowDxfId="1820" dataCellStyle="Comma"/>
    <tableColumn id="37" xr3:uid="{468EF536-F826-42F5-9301-BAFFFD24E104}" name="Tháng 9" dataDxfId="1819" totalsRowDxfId="1818" dataCellStyle="Comma"/>
    <tableColumn id="38" xr3:uid="{70CE9CF4-C007-4692-8311-0BC64B9F3395}" name="Tháng 10" dataDxfId="1817" totalsRowDxfId="1816" dataCellStyle="Comma"/>
    <tableColumn id="39" xr3:uid="{04E84556-5D4C-4DA4-B749-C98FB45C0BAF}" name="Tháng 11" dataDxfId="1815" totalsRowDxfId="1814" dataCellStyle="Comma"/>
    <tableColumn id="40" xr3:uid="{68F1F4EB-3B1D-42A1-AC0E-1DCF48610F1E}" name="Tháng 12" dataDxfId="1813" totalsRowDxfId="1812" dataCellStyle="Comma"/>
    <tableColumn id="4" xr3:uid="{0E570896-0519-4F88-8B9B-744525FF3C16}" name="Add" dataDxfId="1811" totalsRowDxfId="1810"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3:P65" totalsRowCount="1" headerRowDxfId="1809" dataDxfId="1808" totalsRowDxfId="1807">
  <autoFilter ref="B63:P64" xr:uid="{711209EA-EEC6-4FC4-BAC5-C6E63F6E3A21}"/>
  <tableColumns count="15">
    <tableColumn id="1" xr3:uid="{F22794FE-2FF3-4CE4-82EB-81614189B352}" name="Kế hoạch doanh thu" totalsRowLabel="Tổng" dataDxfId="1806" totalsRowDxfId="1805"/>
    <tableColumn id="3" xr3:uid="{76F75EB8-7687-48A4-A860-C3AABF1EACB2}" name="Tham chiếu" totalsRowFunction="custom" dataDxfId="1804" totalsRowDxfId="1803" dataCellStyle="Comma" totalsRowCellStyle="Comma">
      <calculatedColumnFormula array="1"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802" totalsRowDxfId="1801" dataCellStyle="Comma" totalsRowCellStyle="Comma">
      <calculatedColumnFormula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calculatedColumnFormula>
      <totalsRowFormula>SUM(Table_KeHoach_DoanhThu[Tháng 1])</totalsRowFormula>
    </tableColumn>
    <tableColumn id="30" xr3:uid="{7A212235-4EA0-4179-B870-D606FE76B216}" name="Tháng 2" totalsRowFunction="custom" dataDxfId="1800" totalsRowDxfId="1799" dataCellStyle="Comma" totalsRowCellStyle="Comma">
      <calculatedColumnFormula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calculatedColumnFormula>
      <totalsRowFormula>SUM(Table_KeHoach_DoanhThu[Tháng 2])</totalsRowFormula>
    </tableColumn>
    <tableColumn id="31" xr3:uid="{D9825A39-9B19-4658-8560-DDDD891E0205}" name="Tháng 3" totalsRowFunction="custom" dataDxfId="1798" totalsRowDxfId="1797" dataCellStyle="Comma" totalsRowCellStyle="Comma">
      <calculatedColumnFormula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calculatedColumnFormula>
      <totalsRowFormula>SUM(Table_KeHoach_DoanhThu[Tháng 3])</totalsRowFormula>
    </tableColumn>
    <tableColumn id="32" xr3:uid="{CF1D56F3-AD70-4276-BB0C-AD1DB6B57C66}" name="Tháng 4" totalsRowFunction="custom" dataDxfId="1796" totalsRowDxfId="1795" dataCellStyle="Comma" totalsRowCellStyle="Comma">
      <calculatedColumnFormula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calculatedColumnFormula>
      <totalsRowFormula>SUM(Table_KeHoach_DoanhThu[Tháng 4])</totalsRowFormula>
    </tableColumn>
    <tableColumn id="33" xr3:uid="{00880281-B1E6-4212-96C1-4D19F388A28B}" name="Tháng 5" totalsRowFunction="custom" dataDxfId="1794" totalsRowDxfId="1793" dataCellStyle="Comma" totalsRowCellStyle="Comma">
      <calculatedColumnFormula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calculatedColumnFormula>
      <totalsRowFormula>SUM(Table_KeHoach_DoanhThu[Tháng 5])</totalsRowFormula>
    </tableColumn>
    <tableColumn id="34" xr3:uid="{0C65B697-F7AA-4DE3-ADAE-0ADCA8351B2F}" name="Tháng 6" totalsRowFunction="custom" dataDxfId="1792" totalsRowDxfId="1791" dataCellStyle="Comma" totalsRowCellStyle="Comma">
      <calculatedColumnFormula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calculatedColumnFormula>
      <totalsRowFormula>SUM(Table_KeHoach_DoanhThu[Tháng 6])</totalsRowFormula>
    </tableColumn>
    <tableColumn id="35" xr3:uid="{FD5FC443-FABD-40AE-A1B2-AF43E5583B4A}" name="Tháng 7" totalsRowFunction="custom" dataDxfId="1790" totalsRowDxfId="1789" dataCellStyle="Comma" totalsRowCellStyle="Comma">
      <calculatedColumnFormula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calculatedColumnFormula>
      <totalsRowFormula>SUM(Table_KeHoach_DoanhThu[Tháng 7])</totalsRowFormula>
    </tableColumn>
    <tableColumn id="36" xr3:uid="{F5D51FF9-EFB8-4B10-BD35-9DFB587A52C7}" name="Tháng 8" totalsRowFunction="custom" dataDxfId="1788" totalsRowDxfId="1787" dataCellStyle="Comma" totalsRowCellStyle="Comma">
      <calculatedColumnFormula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calculatedColumnFormula>
      <totalsRowFormula>SUM(Table_KeHoach_DoanhThu[Tháng 8])</totalsRowFormula>
    </tableColumn>
    <tableColumn id="37" xr3:uid="{C6C15622-E8E9-487A-959D-8C220B56DE76}" name="Tháng 9" totalsRowFunction="custom" dataDxfId="1786" totalsRowDxfId="1785" dataCellStyle="Comma" totalsRowCellStyle="Comma">
      <calculatedColumnFormula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calculatedColumnFormula>
      <totalsRowFormula>SUM(Table_KeHoach_DoanhThu[Tháng 9])</totalsRowFormula>
    </tableColumn>
    <tableColumn id="38" xr3:uid="{7BFC1C3B-6EF3-4CF7-A300-C11AEEBB0E1A}" name="Tháng 10" totalsRowFunction="custom" dataDxfId="1784" totalsRowDxfId="1783" dataCellStyle="Comma" totalsRowCellStyle="Comma">
      <calculatedColumnFormula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calculatedColumnFormula>
      <totalsRowFormula>SUM(Table_KeHoach_DoanhThu[Tháng 10])</totalsRowFormula>
    </tableColumn>
    <tableColumn id="39" xr3:uid="{4D0CAB13-02F5-4D43-93DB-79792960CDFB}" name="Tháng 11" totalsRowFunction="custom" dataDxfId="1782" totalsRowDxfId="1781" dataCellStyle="Comma" totalsRowCellStyle="Comma">
      <calculatedColumnFormula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calculatedColumnFormula>
      <totalsRowFormula>SUM(Table_KeHoach_DoanhThu[Tháng 11])</totalsRowFormula>
    </tableColumn>
    <tableColumn id="40" xr3:uid="{784CDCAA-C9FB-447F-AAED-DD0A17FEAB77}" name="Tháng 12" totalsRowFunction="custom" dataDxfId="1780" totalsRowDxfId="1779" dataCellStyle="Comma" totalsRowCellStyle="Comma">
      <calculatedColumnFormula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calculatedColumnFormula>
      <totalsRowFormula>SUM(Table_KeHoach_DoanhThu[Tháng 12])</totalsRowFormula>
    </tableColumn>
    <tableColumn id="4" xr3:uid="{AB7BA7A5-13D5-45DF-9B90-D3674E94410E}" name="Add" dataDxfId="1778" totalsRowDxfId="1777"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3:P74" totalsRowShown="0" headerRowDxfId="1776" dataDxfId="1775">
  <autoFilter ref="B73:P74" xr:uid="{50D75140-F33D-450B-ACC0-7F92B177C57D}"/>
  <tableColumns count="15">
    <tableColumn id="1" xr3:uid="{C9B9741A-9357-40AD-8883-2D1E650453F5}" name="Kế hoạch giá nhập hàng hóa" dataDxfId="1774" totalsRowDxfId="1773"/>
    <tableColumn id="3" xr3:uid="{28B2834A-7CE4-43D5-ACA9-8317F7A289D2}" name="Tham chiếu" dataDxfId="1772" totalsRowDxfId="1771" dataCellStyle="Comma">
      <calculatedColumnFormula array="1">+IFERROR(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calculatedColumnFormula>
    </tableColumn>
    <tableColumn id="29" xr3:uid="{019E5F1B-DE2D-464D-8063-064C5116CFCC}" name="Tháng 1" dataDxfId="1770" totalsRowDxfId="1769" dataCellStyle="Comma"/>
    <tableColumn id="30" xr3:uid="{90AFC99B-1620-4C46-BD12-553A1C3FFDD8}" name="Tháng 2" dataDxfId="1768" totalsRowDxfId="1767" dataCellStyle="Comma"/>
    <tableColumn id="31" xr3:uid="{FBF2D68D-F4EB-4171-BD9D-E76539DF938C}" name="Tháng 3" dataDxfId="1766" totalsRowDxfId="1765" dataCellStyle="Comma"/>
    <tableColumn id="32" xr3:uid="{F41B1887-7A08-4DC9-BDE9-E43ABE4AE1BE}" name="Tháng 4" dataDxfId="1764" totalsRowDxfId="1763" dataCellStyle="Comma"/>
    <tableColumn id="33" xr3:uid="{D369E62A-3CDD-4B01-A431-C39C2CBE1293}" name="Tháng 5" dataDxfId="1762" totalsRowDxfId="1761" dataCellStyle="Comma"/>
    <tableColumn id="34" xr3:uid="{F0115D72-64F0-4CBC-A8C5-6835DCA86A12}" name="Tháng 6" dataDxfId="1760" totalsRowDxfId="1759" dataCellStyle="Comma"/>
    <tableColumn id="35" xr3:uid="{4AEC4DCF-162D-499F-A186-5800A521A71B}" name="Tháng 7" dataDxfId="1758" totalsRowDxfId="1757" dataCellStyle="Comma"/>
    <tableColumn id="36" xr3:uid="{5A6B4CEF-0269-4C8A-B8D5-9CB34819A8C8}" name="Tháng 8" dataDxfId="1756" totalsRowDxfId="1755" dataCellStyle="Comma"/>
    <tableColumn id="37" xr3:uid="{15EBC225-23BE-414B-B8C6-FF6D2C2DA707}" name="Tháng 9" dataDxfId="1754" totalsRowDxfId="1753" dataCellStyle="Comma"/>
    <tableColumn id="38" xr3:uid="{68785765-EC8D-400C-A53D-C098BAEB2867}" name="Tháng 10" dataDxfId="1752" totalsRowDxfId="1751" dataCellStyle="Comma"/>
    <tableColumn id="39" xr3:uid="{FE6CAAF6-4E91-48E9-BE30-736B71AE2517}" name="Tháng 11" dataDxfId="1750" totalsRowDxfId="1749" dataCellStyle="Comma"/>
    <tableColumn id="40" xr3:uid="{9B1D1B2C-78EE-4936-BA9C-70DE6FAEB0D5}" name="Tháng 12" dataDxfId="1748" totalsRowDxfId="1747" dataCellStyle="Comma"/>
    <tableColumn id="4" xr3:uid="{F6BA2DB9-C7C4-4136-A29C-3988740AF60B}" name="Add" dataDxfId="1746" totalsRowDxfId="174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7:P79" totalsRowCount="1" headerRowDxfId="1744" dataDxfId="1743" totalsRowDxfId="1742">
  <autoFilter ref="B77:P78" xr:uid="{673B555B-AF75-419C-8864-7B66DF2C2C6F}"/>
  <tableColumns count="15">
    <tableColumn id="1" xr3:uid="{91AE107E-7E90-4FD8-9894-89A53DE58960}" name="Kế hoạch chi phí hàng hóa" totalsRowLabel="Total" dataDxfId="1741" totalsRowDxfId="1740"/>
    <tableColumn id="3" xr3:uid="{89E2E365-2517-477F-B95E-6FD048EFFFF0}" name="Tham chiếu" totalsRowFunction="sum" dataDxfId="1739" totalsRowDxfId="1738"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7" totalsRowDxfId="1736" dataCellStyle="Comma" totalsRowCellStyle="Comma">
      <calculatedColumnFormula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calculatedColumnFormula>
    </tableColumn>
    <tableColumn id="30" xr3:uid="{37F68F66-8DC6-4721-995B-A9C565EDC074}" name="Tháng 2" totalsRowFunction="sum" dataDxfId="1735" totalsRowDxfId="1734" dataCellStyle="Comma" totalsRowCellStyle="Comma">
      <calculatedColumnFormula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calculatedColumnFormula>
    </tableColumn>
    <tableColumn id="31" xr3:uid="{2BC7CA73-4BD0-470B-9B0D-9F76DAA6E07C}" name="Tháng 3" totalsRowFunction="sum" dataDxfId="1733" totalsRowDxfId="1732" dataCellStyle="Comma" totalsRowCellStyle="Comma">
      <calculatedColumnFormula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calculatedColumnFormula>
    </tableColumn>
    <tableColumn id="32" xr3:uid="{5644AD1C-3FFA-42FB-9ADE-2E483592E846}" name="Tháng 4"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calculatedColumnFormula>
    </tableColumn>
    <tableColumn id="33" xr3:uid="{2FFF0947-01AC-41E7-ACDF-FAC1A6DA515C}" name="Tháng 5"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calculatedColumnFormula>
    </tableColumn>
    <tableColumn id="34" xr3:uid="{5750EFE5-25E1-499F-A818-F1A750D13220}" name="Tháng 6"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calculatedColumnFormula>
    </tableColumn>
    <tableColumn id="35" xr3:uid="{A4D3AFA5-70E9-450C-8894-1DE0C94FD9C1}" name="Tháng 7"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calculatedColumnFormula>
    </tableColumn>
    <tableColumn id="36" xr3:uid="{0098CC1D-55DA-4BE3-AF11-DC348343C5FD}" name="Tháng 8"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calculatedColumnFormula>
    </tableColumn>
    <tableColumn id="37" xr3:uid="{92521C97-0D88-45E6-AABC-A297D3839A8E}" name="Tháng 9"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calculatedColumnFormula>
    </tableColumn>
    <tableColumn id="38" xr3:uid="{89D3235E-1CED-47EE-8B5A-44E67EFFB28C}" name="Tháng 10"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calculatedColumnFormula>
    </tableColumn>
    <tableColumn id="39" xr3:uid="{15B70680-6B84-4E74-9D09-80A9E804313E}" name="Tháng 11"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calculatedColumnFormula>
    </tableColumn>
    <tableColumn id="40" xr3:uid="{AA453F5D-621A-48ED-AE68-1464823DFBED}" name="Tháng 12"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calculatedColumnFormula>
    </tableColumn>
    <tableColumn id="4" xr3:uid="{1DA38066-0235-47D9-9C13-A949D7DC71F3}" name="Add" dataDxfId="1713" totalsRowDxfId="1712"/>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8:P99" totalsRowShown="0" headerRowDxfId="1711" dataDxfId="1710" headerRowCellStyle="Percent" dataCellStyle="Percent">
  <autoFilter ref="B98:P99" xr:uid="{571A7629-CD3D-4301-B87F-F24F63AD2A81}"/>
  <tableColumns count="15">
    <tableColumn id="1" xr3:uid="{89CE5103-5F2F-473A-8285-61F7E158BE32}" name="Kế hoạch tỷ lệ hoa hồng" dataDxfId="1709" totalsRowDxfId="1708" dataCellStyle="Percent"/>
    <tableColumn id="3" xr3:uid="{A1C5A2FF-BE5E-4865-9699-E09EA6B78869}" name="Tham chiếu" dataDxfId="1707" totalsRowDxfId="1706"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705" totalsRowDxfId="1704" dataCellStyle="Percent"/>
    <tableColumn id="30" xr3:uid="{B17D0FDB-5B56-4429-9BF8-633417993FBB}" name="Tháng 2" dataDxfId="1703" totalsRowDxfId="1702" dataCellStyle="Percent"/>
    <tableColumn id="31" xr3:uid="{7F3739EE-012B-4AB4-ACE1-CBC110526F9D}" name="Tháng 3" dataDxfId="1701" totalsRowDxfId="1700" dataCellStyle="Percent"/>
    <tableColumn id="32" xr3:uid="{6103A08B-5854-4BEB-B0F6-AF7602FCE44A}" name="Tháng 4" dataDxfId="1699" totalsRowDxfId="1698" dataCellStyle="Percent"/>
    <tableColumn id="33" xr3:uid="{EE55A315-C233-4CC6-B5AF-32C405AB383B}" name="Tháng 5" dataDxfId="1697" totalsRowDxfId="1696" dataCellStyle="Percent"/>
    <tableColumn id="34" xr3:uid="{12B659E6-642C-4140-AA0D-2D84AB9B6125}" name="Tháng 6" dataDxfId="1695" totalsRowDxfId="1694" dataCellStyle="Percent"/>
    <tableColumn id="35" xr3:uid="{A00D81B6-DF88-4E88-8CFC-8C7C28D732F7}" name="Tháng 7" dataDxfId="1693" totalsRowDxfId="1692" dataCellStyle="Percent"/>
    <tableColumn id="36" xr3:uid="{211F463D-5EDA-41F3-803D-F665490CFE40}" name="Tháng 8" dataDxfId="1691" totalsRowDxfId="1690" dataCellStyle="Percent"/>
    <tableColumn id="37" xr3:uid="{B4EC8197-3C1F-43AB-A435-36D6AD6B3E13}" name="Tháng 9" dataDxfId="1689" totalsRowDxfId="1688" dataCellStyle="Percent"/>
    <tableColumn id="38" xr3:uid="{7C84B51B-A957-4A53-AC29-4A036ABA4C20}" name="Tháng 10" dataDxfId="1687" totalsRowDxfId="1686" dataCellStyle="Percent"/>
    <tableColumn id="39" xr3:uid="{E5FAA999-8C52-4A9F-B6FA-CA39A6D759DA}" name="Tháng 11" dataDxfId="1685" totalsRowDxfId="1684" dataCellStyle="Percent"/>
    <tableColumn id="40" xr3:uid="{5936866B-F994-4BD4-9014-345AD0715655}" name="Tháng 12" dataDxfId="1683" totalsRowDxfId="1682" dataCellStyle="Percent"/>
    <tableColumn id="4" xr3:uid="{D216F6B4-B989-49AA-A487-C608C9A0C4AE}" name="Add" dataDxfId="1681" totalsRowDxfId="1680"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2:P104" totalsRowCount="1" headerRowDxfId="1679" dataDxfId="1678" totalsRowDxfId="1677" headerRowCellStyle="Comma" dataCellStyle="Comma" totalsRowCellStyle="Comma">
  <autoFilter ref="B102:P103" xr:uid="{917CE6FA-BA76-44BB-B776-281155435948}"/>
  <tableColumns count="15">
    <tableColumn id="1" xr3:uid="{B069FC19-6704-4041-B913-34A9A708A151}" name="Kế hoạch chi phí hoa hồng" totalsRowLabel="Total" dataDxfId="1676" totalsRowDxfId="1675" dataCellStyle="Comma" totalsRowCellStyle="Comma"/>
    <tableColumn id="3" xr3:uid="{45A81392-9858-4624-9F4F-3DB6DC54E1DD}" name="Tham chiếu" totalsRowFunction="sum" dataDxfId="1674" totalsRowDxfId="1673"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72" totalsRowDxfId="1671" dataCellStyle="Comma" totalsRowCellStyle="Comma">
      <calculatedColumnFormula>-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calculatedColumnFormula>
    </tableColumn>
    <tableColumn id="30" xr3:uid="{AA758440-3D9D-4EED-984C-92AC297C6E87}" name="Tháng 2" totalsRowFunction="sum" dataDxfId="1670" totalsRowDxfId="1669" dataCellStyle="Comma" totalsRowCellStyle="Comma">
      <calculatedColumnFormula>-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calculatedColumnFormula>
    </tableColumn>
    <tableColumn id="31" xr3:uid="{F07668AE-AD66-4052-9593-D1A9368E6169}" name="Tháng 3" totalsRowFunction="sum" dataDxfId="1668" totalsRowDxfId="1667" dataCellStyle="Comma" totalsRowCellStyle="Comma">
      <calculatedColumnFormula>-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calculatedColumnFormula>
    </tableColumn>
    <tableColumn id="32" xr3:uid="{019F83CA-1D86-4894-9E1C-B97411E02CE3}" name="Tháng 4"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calculatedColumnFormula>
    </tableColumn>
    <tableColumn id="33" xr3:uid="{98A21E41-7307-4A31-8516-C3BAAF1B6A71}" name="Tháng 5"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calculatedColumnFormula>
    </tableColumn>
    <tableColumn id="34" xr3:uid="{A35D5DAD-05B9-47A1-BE73-C5B4D7AC14D2}" name="Tháng 6"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calculatedColumnFormula>
    </tableColumn>
    <tableColumn id="35" xr3:uid="{DB88872F-43F3-4B29-B6D2-7C307941341D}" name="Tháng 7"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calculatedColumnFormula>
    </tableColumn>
    <tableColumn id="36" xr3:uid="{4293C101-8A6A-48CA-BB50-59282E2317CE}" name="Tháng 8"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calculatedColumnFormula>
    </tableColumn>
    <tableColumn id="37" xr3:uid="{95FBAF24-EB51-44D8-B651-26FE188B4B40}" name="Tháng 9"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calculatedColumnFormula>
    </tableColumn>
    <tableColumn id="38" xr3:uid="{E4FFC353-4C31-4E0A-ABD0-521861BA3766}" name="Tháng 10"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calculatedColumnFormula>
    </tableColumn>
    <tableColumn id="39" xr3:uid="{1176195A-F2D0-491F-ADAF-FEE4B331168F}" name="Tháng 11"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calculatedColumnFormula>
    </tableColumn>
    <tableColumn id="40" xr3:uid="{F7A3A82A-D538-4F76-8571-151155BB1E03}" name="Tháng 12"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calculatedColumnFormula>
    </tableColumn>
    <tableColumn id="4" xr3:uid="{14A5F491-D272-4B46-90C0-7B58515C4C63}" name="Add" dataDxfId="1648" totalsRowDxfId="1647"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20:P122" totalsRowShown="0" headerRowDxfId="1646" dataDxfId="1645">
  <autoFilter ref="B120:P122" xr:uid="{908E4510-1D66-4B62-BD4E-8366A63DB2D9}"/>
  <tableColumns count="15">
    <tableColumn id="1" xr3:uid="{4974AA81-EDE8-48A1-972A-BD6B8748ED4C}" name="Kế hoạch chi phí ship" dataDxfId="1644" totalsRowDxfId="1643"/>
    <tableColumn id="3" xr3:uid="{B298E000-F4DB-4ECC-9D0C-FCA782A86771}" name="Tham chiếu" dataDxfId="1642">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41">
      <calculatedColumnFormula>VLOOKUP(Table_KeHoach_ChiPhiShip[[#This Row],[Kế hoạch chi phí ship]],#REF!,Sheet_SKU!#REF!,0)</calculatedColumnFormula>
    </tableColumn>
    <tableColumn id="30" xr3:uid="{AF72C6DF-EB35-4A98-ABEC-099350C31E27}" name="Tháng 2" dataDxfId="1640">
      <calculatedColumnFormula>VLOOKUP(Table_KeHoach_ChiPhiShip[[#This Row],[Kế hoạch chi phí ship]],#REF!,Sheet_SKU!#REF!,0)</calculatedColumnFormula>
    </tableColumn>
    <tableColumn id="31" xr3:uid="{3EAF95EE-2F6B-43B3-9D13-5D7C0429B475}" name="Tháng 3" dataDxfId="1639">
      <calculatedColumnFormula>VLOOKUP(Table_KeHoach_ChiPhiShip[[#This Row],[Kế hoạch chi phí ship]],#REF!,Sheet_SKU!#REF!,0)</calculatedColumnFormula>
    </tableColumn>
    <tableColumn id="32" xr3:uid="{D96EEB51-7417-4655-BDDC-D0E338E941FB}" name="Tháng 4" dataDxfId="1638">
      <calculatedColumnFormula>VLOOKUP(Table_KeHoach_ChiPhiShip[[#This Row],[Kế hoạch chi phí ship]],#REF!,Sheet_SKU!#REF!,0)</calculatedColumnFormula>
    </tableColumn>
    <tableColumn id="33" xr3:uid="{257E62C8-5051-48B2-85A8-3358E9656E87}" name="Tháng 5" dataDxfId="1637">
      <calculatedColumnFormula>VLOOKUP(Table_KeHoach_ChiPhiShip[[#This Row],[Kế hoạch chi phí ship]],#REF!,Sheet_SKU!#REF!,0)</calculatedColumnFormula>
    </tableColumn>
    <tableColumn id="34" xr3:uid="{0E06FA86-8BB1-4A39-B5C1-0D5C45891AD0}" name="Tháng 6" dataDxfId="1636">
      <calculatedColumnFormula>VLOOKUP(Table_KeHoach_ChiPhiShip[[#This Row],[Kế hoạch chi phí ship]],#REF!,Sheet_SKU!#REF!,0)</calculatedColumnFormula>
    </tableColumn>
    <tableColumn id="35" xr3:uid="{9F9131FD-5E00-446F-BB5F-FA90CC9D32D8}" name="Tháng 7" dataDxfId="1635">
      <calculatedColumnFormula>VLOOKUP(Table_KeHoach_ChiPhiShip[[#This Row],[Kế hoạch chi phí ship]],#REF!,Sheet_SKU!#REF!,0)</calculatedColumnFormula>
    </tableColumn>
    <tableColumn id="36" xr3:uid="{780160DC-AD91-4578-974A-DAA46A0EFA55}" name="Tháng 8" dataDxfId="1634">
      <calculatedColumnFormula>VLOOKUP(Table_KeHoach_ChiPhiShip[[#This Row],[Kế hoạch chi phí ship]],#REF!,Sheet_SKU!#REF!,0)</calculatedColumnFormula>
    </tableColumn>
    <tableColumn id="37" xr3:uid="{8F0619B7-DD39-44BB-919F-7190F8C66661}" name="Tháng 9" dataDxfId="1633">
      <calculatedColumnFormula>VLOOKUP(Table_KeHoach_ChiPhiShip[[#This Row],[Kế hoạch chi phí ship]],#REF!,Sheet_SKU!#REF!,0)</calculatedColumnFormula>
    </tableColumn>
    <tableColumn id="38" xr3:uid="{85E0E657-1656-49DE-ACC4-ECD2C5A8BD77}" name="Tháng 10" dataDxfId="1632">
      <calculatedColumnFormula>VLOOKUP(Table_KeHoach_ChiPhiShip[[#This Row],[Kế hoạch chi phí ship]],#REF!,Sheet_SKU!#REF!,0)</calculatedColumnFormula>
    </tableColumn>
    <tableColumn id="39" xr3:uid="{871494F5-3229-4D50-A00E-F79B1EC4C89C}" name="Tháng 11" dataDxfId="1631">
      <calculatedColumnFormula>VLOOKUP(Table_KeHoach_ChiPhiShip[[#This Row],[Kế hoạch chi phí ship]],#REF!,Sheet_SKU!#REF!,0)</calculatedColumnFormula>
    </tableColumn>
    <tableColumn id="40" xr3:uid="{93DF0D7F-F948-4D01-9B0F-5A68A405CC28}" name="Tháng 12" dataDxfId="1630">
      <calculatedColumnFormula>VLOOKUP(Table_KeHoach_ChiPhiShip[[#This Row],[Kế hoạch chi phí ship]],#REF!,Sheet_SKU!#REF!,0)</calculatedColumnFormula>
    </tableColumn>
    <tableColumn id="4" xr3:uid="{2D4C2D48-BC42-4E31-9323-72EFF86ED93C}" name="Add" dataDxfId="1629">
      <calculatedColumnFormula>-P120*HLOOKUP(P$120,Table_KeHoach_DoanhThu[#All],COUNTA(Table_KeHoach_DoanhThu[[#All],[Kế hoạch doanh thu]]),0)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5:P126" totalsRowShown="0" headerRowDxfId="1628" dataDxfId="1627" headerRowCellStyle="Comma" dataCellStyle="Comma">
  <autoFilter ref="B125:P126" xr:uid="{3AA81467-7CA1-47A8-90EC-3D38BDD54257}"/>
  <tableColumns count="15">
    <tableColumn id="1" xr3:uid="{3C4D3BE7-FFE8-4AA6-9046-2E900FEAAF24}" name="Kế hoạch lương gross" dataDxfId="1626" totalsRowDxfId="1625" dataCellStyle="Comma"/>
    <tableColumn id="3" xr3:uid="{5406D85A-8CE2-4CC8-8623-275C8DAC4DB0}" name="Tham chiếu" dataDxfId="1624" totalsRowDxfId="1623"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22" totalsRowDxfId="1621" dataCellStyle="Comma"/>
    <tableColumn id="30" xr3:uid="{3C7E21A7-1D02-40CC-B621-9BA1EE2F5AF0}" name="Tháng 2" dataDxfId="1620" totalsRowDxfId="1619" dataCellStyle="Comma"/>
    <tableColumn id="31" xr3:uid="{0EA71E79-00ED-47C7-9E3F-25D06EA1FE91}" name="Tháng 3" dataDxfId="1618" totalsRowDxfId="1617" dataCellStyle="Comma"/>
    <tableColumn id="32" xr3:uid="{BC596114-217F-4B94-AD95-C681D74C7AEE}" name="Tháng 4" dataDxfId="1616" totalsRowDxfId="1615" dataCellStyle="Comma"/>
    <tableColumn id="33" xr3:uid="{4D50F754-44AB-4EA0-8411-B3DA58FA9F77}" name="Tháng 5" dataDxfId="1614" totalsRowDxfId="1613" dataCellStyle="Comma"/>
    <tableColumn id="34" xr3:uid="{095DA541-8FFF-4D4A-B0B1-0F628DFE99D0}" name="Tháng 6" dataDxfId="1612" dataCellStyle="Comma"/>
    <tableColumn id="35" xr3:uid="{D3E05F56-0880-4153-91D3-D886DE1340C5}" name="Tháng 7" dataDxfId="1611" dataCellStyle="Comma"/>
    <tableColumn id="36" xr3:uid="{D1923F54-11DB-4249-B122-FA71BE50ED0F}" name="Tháng 8" dataDxfId="1610" dataCellStyle="Comma"/>
    <tableColumn id="37" xr3:uid="{01190BA1-8776-41CD-8213-306DC9E72917}" name="Tháng 9" dataDxfId="1609" dataCellStyle="Comma"/>
    <tableColumn id="38" xr3:uid="{D4E78B4D-AEFC-4A5A-90AA-D2B0186513FD}" name="Tháng 10" dataDxfId="1608" dataCellStyle="Comma"/>
    <tableColumn id="39" xr3:uid="{39541C43-C729-4B8C-A2DF-8B46DB19934F}" name="Tháng 11" dataDxfId="1607" dataCellStyle="Comma"/>
    <tableColumn id="40" xr3:uid="{B507645B-A83E-40A1-8131-DC22121E7942}" name="Tháng 12" dataDxfId="1606" dataCellStyle="Comma"/>
    <tableColumn id="4" xr3:uid="{D2D75DE3-EB7B-496E-AFF1-41BEC8813A93}" name="Add" dataDxfId="1605"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9:P131" totalsRowCount="1" headerRowDxfId="1604" dataDxfId="1603" totalsRowDxfId="1602" headerRowCellStyle="Comma" dataCellStyle="Comma" totalsRowCellStyle="Comma">
  <autoFilter ref="B129:P130" xr:uid="{91BBA9C3-FC15-4CD7-9733-B5B5DB650110}"/>
  <tableColumns count="15">
    <tableColumn id="1" xr3:uid="{2E43917D-C813-4D56-BD16-1D4A8D96F05A}" name="Kế hoạch chi phí nhân sự (+ bảo hiểm)" totalsRowLabel="Total" dataDxfId="1601" totalsRowDxfId="1600" dataCellStyle="Comma"/>
    <tableColumn id="3" xr3:uid="{A57E4123-9FD6-4DF6-9D3E-62EF299F2B98}" name="Tham chiếu" totalsRowFunction="sum" dataDxfId="1599" totalsRowDxfId="1598"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7" totalsRowDxfId="1596" dataCellStyle="Comma">
      <calculatedColumnFormula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95" totalsRowDxfId="1594" dataCellStyle="Comma">
      <calculatedColumnFormula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93" totalsRowDxfId="1592" dataCellStyle="Comma">
      <calculatedColumnFormula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73" totalsRowDxfId="1572"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4:P136" totalsRowCount="1" headerRowDxfId="1571" dataDxfId="1570" totalsRowDxfId="1569" headerRowCellStyle="Comma" dataCellStyle="Comma" totalsRowCellStyle="Comma">
  <autoFilter ref="B134:P135" xr:uid="{51C1DF05-35B2-4BFD-8DF4-9018A45F6CC9}"/>
  <tableColumns count="15">
    <tableColumn id="1" xr3:uid="{DE902550-E20E-4920-9A1F-69869534EED6}" name="Kế hoạch thưởng KPI" totalsRowLabel="Total" dataDxfId="1568" totalsRowDxfId="1567" dataCellStyle="Comma" totalsRowCellStyle="Comma"/>
    <tableColumn id="3" xr3:uid="{23B56988-FA74-49DE-860C-652B89832633}" name="Tham chiếu" totalsRowFunction="sum" dataDxfId="1566" totalsRowDxfId="1565"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64" totalsRowDxfId="1563" dataCellStyle="Comma" totalsRowCellStyle="Comma"/>
    <tableColumn id="30" xr3:uid="{79562E96-A57B-4C97-B581-1FC0ECDC0E76}" name="Tháng 2" totalsRowFunction="sum" dataDxfId="1562" totalsRowDxfId="1561" dataCellStyle="Comma" totalsRowCellStyle="Comma"/>
    <tableColumn id="31" xr3:uid="{0A4730AF-73B6-4A07-958A-C8FF52EC6A41}" name="Tháng 3" totalsRowFunction="sum" dataDxfId="1560" totalsRowDxfId="1559" dataCellStyle="Comma" totalsRowCellStyle="Comma"/>
    <tableColumn id="32" xr3:uid="{F0F88703-DBDC-407F-8F7E-4483AECA0242}" name="Tháng 4" totalsRowFunction="sum" dataDxfId="1558" totalsRowDxfId="1557" dataCellStyle="Comma" totalsRowCellStyle="Comma"/>
    <tableColumn id="33" xr3:uid="{D10E704C-0465-4AE8-BCD8-36942ABB8208}" name="Tháng 5" totalsRowFunction="sum" dataDxfId="1556" totalsRowDxfId="1555" dataCellStyle="Comma" totalsRowCellStyle="Comma"/>
    <tableColumn id="34" xr3:uid="{D8F6CCAA-AFE4-4EC1-AE0D-510FB5B92FB5}" name="Tháng 6" totalsRowFunction="sum" dataDxfId="1554" totalsRowDxfId="1553" dataCellStyle="Comma" totalsRowCellStyle="Comma"/>
    <tableColumn id="35" xr3:uid="{678187C6-1705-4738-B037-28706C93C220}" name="Tháng 7" totalsRowFunction="sum" dataDxfId="1552" totalsRowDxfId="1551" dataCellStyle="Comma" totalsRowCellStyle="Comma"/>
    <tableColumn id="36" xr3:uid="{D79FF401-459B-4FD8-8631-FD8F00B21CE3}" name="Tháng 8" totalsRowFunction="sum" dataDxfId="1550" totalsRowDxfId="1549" dataCellStyle="Comma" totalsRowCellStyle="Comma"/>
    <tableColumn id="37" xr3:uid="{36801A4E-98B6-4028-8EBF-B03919843482}" name="Tháng 9" totalsRowFunction="sum" dataDxfId="1548" totalsRowDxfId="1547" dataCellStyle="Comma" totalsRowCellStyle="Comma"/>
    <tableColumn id="38" xr3:uid="{30753DC8-004B-477F-B388-CBD4F9EF4ECE}" name="Tháng 10" totalsRowFunction="sum" dataDxfId="1546" totalsRowDxfId="1545" dataCellStyle="Comma" totalsRowCellStyle="Comma"/>
    <tableColumn id="39" xr3:uid="{638B4AF6-6F7F-43EC-A0CE-20762E3E036D}" name="Tháng 11" totalsRowFunction="sum" dataDxfId="1544" totalsRowDxfId="1543" dataCellStyle="Comma" totalsRowCellStyle="Comma"/>
    <tableColumn id="40" xr3:uid="{2C7C1BC1-E77A-4FA3-9C3B-873B2BA91660}" name="Tháng 12" totalsRowFunction="sum" dataDxfId="1542" totalsRowDxfId="1541" dataCellStyle="Comma" totalsRowCellStyle="Comma"/>
    <tableColumn id="4" xr3:uid="{C75BA92E-3442-4B90-BCC9-4C1EBA166D5F}" name="Add" dataDxfId="1540" totalsRowDxfId="1539"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2:P95" totalsRowCount="1" headerRowDxfId="1538" dataDxfId="1537" totalsRowDxfId="1536" headerRowCellStyle="Comma" dataCellStyle="Comma" totalsRowCellStyle="Comma">
  <autoFilter ref="B92:P94" xr:uid="{65310F32-2FD4-490F-884B-1AA81C582DF4}"/>
  <tableColumns count="15">
    <tableColumn id="1" xr3:uid="{BE423CEE-B6E7-4111-8870-82E3FE033021}" name="Kế hoạch chi phí vật tư &amp; tiện ích văn phòng" totalsRowLabel="Total" dataDxfId="1535" totalsRowDxfId="1534" dataCellStyle="Comma" totalsRowCellStyle="Comma"/>
    <tableColumn id="3" xr3:uid="{EBB8A3FA-398D-4A82-9B88-93A338431418}" name="Tham chiếu" totalsRowFunction="sum" dataDxfId="1533" totalsRowDxfId="1532" dataCellStyle="Comma" totalsRowCellStyle="Comma">
      <calculatedColumnFormula array="1"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9" xr3:uid="{18458E08-BB69-483A-BFF6-CC58414AD0D7}" name="Tháng 1" totalsRowFunction="sum" dataDxfId="1531" totalsRowDxfId="1530" dataCellStyle="Comma" totalsRowCellStyle="Comma"/>
    <tableColumn id="30" xr3:uid="{7FD75624-7DC6-49A7-8E05-A71039153BF1}" name="Tháng 2" totalsRowFunction="sum" dataDxfId="1529" totalsRowDxfId="1528" dataCellStyle="Comma" totalsRowCellStyle="Comma"/>
    <tableColumn id="31" xr3:uid="{42CB0602-6C2C-429F-9B84-98C757C5C5E4}" name="Tháng 3" totalsRowFunction="sum" dataDxfId="1527" totalsRowDxfId="1526" dataCellStyle="Comma" totalsRowCellStyle="Comma"/>
    <tableColumn id="32" xr3:uid="{01087BC2-EBDB-4095-8A4A-732B0A6FE87E}" name="Tháng 4" totalsRowFunction="sum" dataDxfId="1525" totalsRowDxfId="1524" dataCellStyle="Comma" totalsRowCellStyle="Comma"/>
    <tableColumn id="33" xr3:uid="{304B7945-3140-472A-AD9E-868515C0D16C}" name="Tháng 5" totalsRowFunction="sum" dataDxfId="1523" totalsRowDxfId="1522" dataCellStyle="Comma" totalsRowCellStyle="Comma"/>
    <tableColumn id="34" xr3:uid="{3261FDF8-4E8D-44A5-9B23-D773F0C7B65B}" name="Tháng 6" totalsRowFunction="sum" dataDxfId="1521" totalsRowDxfId="1520" dataCellStyle="Comma" totalsRowCellStyle="Comma"/>
    <tableColumn id="35" xr3:uid="{C2668BA7-C9F7-4559-90D2-274692CC68BA}" name="Tháng 7" totalsRowFunction="sum" dataDxfId="1519" totalsRowDxfId="1518" dataCellStyle="Comma" totalsRowCellStyle="Comma"/>
    <tableColumn id="36" xr3:uid="{B8B3836E-E188-4747-8152-C6E22B15EA27}" name="Tháng 8" totalsRowFunction="sum" dataDxfId="1517" totalsRowDxfId="1516" dataCellStyle="Comma" totalsRowCellStyle="Comma"/>
    <tableColumn id="37" xr3:uid="{4124E7A8-F80D-4B28-A7AF-3D2F53163B04}" name="Tháng 9" totalsRowFunction="sum" dataDxfId="1515" totalsRowDxfId="1514" dataCellStyle="Comma" totalsRowCellStyle="Comma"/>
    <tableColumn id="38" xr3:uid="{4E61618F-7E56-433A-9F3D-A7BEF1423B52}" name="Tháng 10" totalsRowFunction="sum" dataDxfId="1513" totalsRowDxfId="1512" dataCellStyle="Comma" totalsRowCellStyle="Comma"/>
    <tableColumn id="39" xr3:uid="{42F0304F-0136-47F5-A156-67D1C6D5A0F8}" name="Tháng 11" totalsRowFunction="sum" dataDxfId="1511" totalsRowDxfId="1510" dataCellStyle="Comma" totalsRowCellStyle="Comma"/>
    <tableColumn id="40" xr3:uid="{32AC9F09-DE67-48F6-8C67-9DC92EE4D4CC}" name="Tháng 12" totalsRowFunction="sum" dataDxfId="1509" totalsRowDxfId="1508" dataCellStyle="Comma" totalsRowCellStyle="Comma"/>
    <tableColumn id="4" xr3:uid="{762515F4-2F66-471A-83A4-BE59179608FF}" name="Add" dataDxfId="1507" totalsRowDxfId="1506"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9:P143" totalsRowCount="1" headerRowDxfId="1505" dataDxfId="1504" totalsRowDxfId="1503" headerRowCellStyle="Comma" dataCellStyle="Comma" totalsRowCellStyle="Comma">
  <autoFilter ref="B139:P142" xr:uid="{3D0FA759-8479-488D-839B-1BE0075A8A6C}"/>
  <tableColumns count="15">
    <tableColumn id="1" xr3:uid="{A3A5B59D-65BE-4BDD-8D15-A6692B89122C}" name="Kế hoạch ngân sách" totalsRowLabel="Total" dataDxfId="1502" totalsRowDxfId="1501" dataCellStyle="Comma" totalsRowCellStyle="Comma"/>
    <tableColumn id="3" xr3:uid="{9A361F38-A974-4042-8B26-AC09A6AC678E}" name="Tham chiếu" totalsRowFunction="sum" dataDxfId="1500" totalsRowDxfId="1499"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calculatedColumnFormula>
    </tableColumn>
    <tableColumn id="29" xr3:uid="{814D5643-16CD-47F4-A1E0-208A06B8A9D3}" name="Tháng 1" totalsRowFunction="sum" dataDxfId="1498" totalsRowDxfId="1497" dataCellStyle="Comma" totalsRowCellStyle="Comma"/>
    <tableColumn id="30" xr3:uid="{7A393414-42CB-443D-9D95-3533718E1A1D}" name="Tháng 2" totalsRowFunction="sum" dataDxfId="1496" totalsRowDxfId="1495" dataCellStyle="Comma" totalsRowCellStyle="Comma"/>
    <tableColumn id="31" xr3:uid="{1547A942-2141-4B1A-981E-FAFA34800349}" name="Tháng 3" totalsRowFunction="sum" dataDxfId="1494" totalsRowDxfId="1493" dataCellStyle="Comma" totalsRowCellStyle="Comma"/>
    <tableColumn id="32" xr3:uid="{4BA2A346-C5A9-4F66-B866-D24B20A9F657}" name="Tháng 4" totalsRowFunction="sum" dataDxfId="1492" totalsRowDxfId="1491" dataCellStyle="Comma" totalsRowCellStyle="Comma"/>
    <tableColumn id="33" xr3:uid="{72D605EF-2B61-4603-BCEA-EDBA2E24899C}" name="Tháng 5" totalsRowFunction="sum" dataDxfId="1490" totalsRowDxfId="1489" dataCellStyle="Comma" totalsRowCellStyle="Comma"/>
    <tableColumn id="34" xr3:uid="{D875344A-BA11-4CC1-BB3B-8739F71AC936}" name="Tháng 6" totalsRowFunction="sum" dataDxfId="1488" totalsRowDxfId="1487" dataCellStyle="Comma" totalsRowCellStyle="Comma"/>
    <tableColumn id="35" xr3:uid="{8B9B1D70-3FB2-4F52-B888-826982A5B247}" name="Tháng 7" totalsRowFunction="sum" dataDxfId="1486" totalsRowDxfId="1485" dataCellStyle="Comma" totalsRowCellStyle="Comma"/>
    <tableColumn id="36" xr3:uid="{0B8202AD-3A51-404D-9F3F-05D009961822}" name="Tháng 8" totalsRowFunction="sum" dataDxfId="1484" totalsRowDxfId="1483" dataCellStyle="Comma" totalsRowCellStyle="Comma"/>
    <tableColumn id="37" xr3:uid="{C122372F-CA84-4684-9337-528B16AB5609}" name="Tháng 9" totalsRowFunction="sum" dataDxfId="1482" totalsRowDxfId="1481" dataCellStyle="Comma" totalsRowCellStyle="Comma"/>
    <tableColumn id="38" xr3:uid="{62E64D4F-8F5D-45B9-B48B-B5ADDCB026D3}" name="Tháng 10" totalsRowFunction="sum" dataDxfId="1480" totalsRowDxfId="1479" dataCellStyle="Comma" totalsRowCellStyle="Comma"/>
    <tableColumn id="39" xr3:uid="{ECACEED0-E3A6-411F-9422-7CEA08BA2E8D}" name="Tháng 11" totalsRowFunction="sum" dataDxfId="1478" totalsRowDxfId="1477" dataCellStyle="Comma" totalsRowCellStyle="Comma"/>
    <tableColumn id="40" xr3:uid="{9697E292-6880-42E7-A8AE-EE172DE9F15A}" name="Tháng 12" totalsRowFunction="sum" dataDxfId="1476" totalsRowDxfId="1475" dataCellStyle="Comma" totalsRowCellStyle="Comma"/>
    <tableColumn id="4" xr3:uid="{39A00EAC-35E2-476E-9C03-58DC60EBCFD7}" name="Add" dataDxfId="1474" totalsRowDxfId="1473"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2:P155" totalsRowShown="0" headerRowDxfId="1472" dataDxfId="1471" headerRowCellStyle="Comma" dataCellStyle="Comma">
  <autoFilter ref="B152:P155" xr:uid="{97E71E07-08C3-4D75-87B9-575C55B5318E}"/>
  <tableColumns count="15">
    <tableColumn id="1" xr3:uid="{8C61939D-D1D3-4AA6-B8EC-9BF9733718F4}" name="Lịch khấu hao &amp; lãi vay" dataDxfId="1470" totalsRowDxfId="1469" dataCellStyle="Comma"/>
    <tableColumn id="3" xr3:uid="{EDAC3FF8-E543-464D-9B08-967E5E55A4FA}" name="Tham chiếu" dataDxfId="1468" dataCellStyle="Comma"/>
    <tableColumn id="29" xr3:uid="{B71573E4-B697-46AB-9AAD-919DBC8C2FE4}" name="Tháng 1" dataDxfId="1467" dataCellStyle="Comma"/>
    <tableColumn id="30" xr3:uid="{BB6EF50D-0D28-463F-A546-0322F2AA023F}" name="Tháng 2" dataDxfId="1466" dataCellStyle="Comma"/>
    <tableColumn id="31" xr3:uid="{BEEDA225-F934-4EC8-A044-EF51D67FFEA6}" name="Tháng 3" dataDxfId="1465" dataCellStyle="Comma"/>
    <tableColumn id="32" xr3:uid="{B6239208-B5A0-4BB3-876A-5D5156EDB6DD}" name="Tháng 4" dataDxfId="1464" dataCellStyle="Comma"/>
    <tableColumn id="33" xr3:uid="{7E493B9B-A5A9-4C91-9CC4-83B34E29EE50}" name="Tháng 5" dataDxfId="1463" dataCellStyle="Comma"/>
    <tableColumn id="34" xr3:uid="{37ACC2D8-4DEE-4789-AFB8-5D6B17420595}" name="Tháng 6" dataDxfId="1462" dataCellStyle="Comma"/>
    <tableColumn id="35" xr3:uid="{C38990B5-9F3B-4DB4-9798-79782F699076}" name="Tháng 7" dataDxfId="1461" dataCellStyle="Comma"/>
    <tableColumn id="36" xr3:uid="{11218192-6632-468B-9EE7-26F36E3398AE}" name="Tháng 8" dataDxfId="1460" dataCellStyle="Comma"/>
    <tableColumn id="37" xr3:uid="{CFC4D188-33E2-4A7B-A9BD-E10A0C069D17}" name="Tháng 9" dataDxfId="1459" dataCellStyle="Comma"/>
    <tableColumn id="38" xr3:uid="{98901CFD-0E90-426A-B1AE-8391DAC8D976}" name="Tháng 10" dataDxfId="1458" dataCellStyle="Comma"/>
    <tableColumn id="39" xr3:uid="{1F566442-3E89-4C65-9077-775BF6EF3FB6}" name="Tháng 11" dataDxfId="1457" dataCellStyle="Comma"/>
    <tableColumn id="40" xr3:uid="{58E047CC-369A-45E9-970B-69863F3C0B10}" name="Tháng 12" dataDxfId="1456" dataCellStyle="Comma"/>
    <tableColumn id="4" xr3:uid="{A3D771E3-1BF0-4769-9E5D-0A43A6EE075D}" name="Add" dataDxfId="1455"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6:P149" totalsRowCount="1" headerRowDxfId="1454" dataDxfId="1453" totalsRowDxfId="1452" headerRowCellStyle="Comma" dataCellStyle="Comma" totalsRowCellStyle="Comma">
  <autoFilter ref="B146:P148" xr:uid="{9E645D46-1A44-4F2B-8728-BC01BC6E8461}"/>
  <tableColumns count="15">
    <tableColumn id="1" xr3:uid="{5AA33CFF-2395-41B5-BF4C-27903568360B}" name="Kế hoạch ngân sách" totalsRowLabel="Total" dataDxfId="1451" totalsRowDxfId="1450" dataCellStyle="Comma" totalsRowCellStyle="Comma"/>
    <tableColumn id="3" xr3:uid="{DAE9A5E1-2CB3-4173-B33F-044FDCA10A62}" name="Tham chiếu" totalsRowFunction="sum" dataDxfId="1449" totalsRowDxfId="1448"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calculatedColumnFormula>
    </tableColumn>
    <tableColumn id="29" xr3:uid="{89D89AB7-BC0F-4F78-B5ED-5E36151E42EB}" name="Tháng 1" totalsRowFunction="sum" dataDxfId="1447" totalsRowDxfId="1446" dataCellStyle="Comma" totalsRowCellStyle="Comma"/>
    <tableColumn id="30" xr3:uid="{34C4D473-7E36-46F9-9EBA-E56D5FD0E172}" name="Tháng 2" totalsRowFunction="sum" dataDxfId="1445" totalsRowDxfId="1444" dataCellStyle="Comma" totalsRowCellStyle="Comma"/>
    <tableColumn id="31" xr3:uid="{20ECC82F-669A-4503-8155-4E0BD0CD521E}" name="Tháng 3" totalsRowFunction="sum" dataDxfId="1443" totalsRowDxfId="1442" dataCellStyle="Comma" totalsRowCellStyle="Comma"/>
    <tableColumn id="32" xr3:uid="{D7DF4C08-EF0D-459E-A993-EC17AB53D1BF}" name="Tháng 4" totalsRowFunction="sum" dataDxfId="1441" totalsRowDxfId="1440" dataCellStyle="Comma" totalsRowCellStyle="Comma"/>
    <tableColumn id="33" xr3:uid="{508CE090-5BF6-43D6-9AA3-7D2F39531309}" name="Tháng 5" totalsRowFunction="sum" dataDxfId="1439" totalsRowDxfId="1438" dataCellStyle="Comma" totalsRowCellStyle="Comma"/>
    <tableColumn id="34" xr3:uid="{6E7DB939-A67C-4B62-A246-94DEF021C7FA}" name="Tháng 6" totalsRowFunction="sum" dataDxfId="1437" totalsRowDxfId="1436" dataCellStyle="Comma" totalsRowCellStyle="Comma"/>
    <tableColumn id="35" xr3:uid="{E8F31322-4527-4EB4-8EBD-8E8CFD5F5E16}" name="Tháng 7" totalsRowFunction="sum" dataDxfId="1435" totalsRowDxfId="1434" dataCellStyle="Comma" totalsRowCellStyle="Comma"/>
    <tableColumn id="36" xr3:uid="{749398F3-9AB9-41DA-86BA-A41AB260C8A0}" name="Tháng 8" totalsRowFunction="sum" dataDxfId="1433" totalsRowDxfId="1432" dataCellStyle="Comma" totalsRowCellStyle="Comma"/>
    <tableColumn id="37" xr3:uid="{679E67DA-BE73-4F1E-904E-D4BAB51D59D2}" name="Tháng 9" totalsRowFunction="sum" dataDxfId="1431" totalsRowDxfId="1430" dataCellStyle="Comma" totalsRowCellStyle="Comma"/>
    <tableColumn id="38" xr3:uid="{C8B5B370-BD7A-42F4-ACA7-19D7B1064E9D}" name="Tháng 10" totalsRowFunction="sum" dataDxfId="1429" totalsRowDxfId="1428" dataCellStyle="Comma" totalsRowCellStyle="Comma"/>
    <tableColumn id="39" xr3:uid="{00FB2879-3329-4378-ACCB-05253AA210A9}" name="Tháng 11" totalsRowFunction="sum" dataDxfId="1427" totalsRowDxfId="1426" dataCellStyle="Comma" totalsRowCellStyle="Comma"/>
    <tableColumn id="40" xr3:uid="{EF5EC11B-262C-449B-BCD4-40B6D08C6A4E}" name="Tháng 12" totalsRowFunction="sum" dataDxfId="1425" totalsRowDxfId="1424" dataCellStyle="Comma" totalsRowCellStyle="Comma"/>
    <tableColumn id="4" xr3:uid="{CCC250CA-6149-4031-BDD7-4D41AD38E16A}" name="Add" dataDxfId="1423" totalsRowDxfId="1422"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2:P84" totalsRowCount="1" headerRowDxfId="1421" dataDxfId="1420" totalsRowDxfId="1419">
  <autoFilter ref="B82:P83" xr:uid="{90CB3F43-228B-42C8-8033-82A9C464218A}"/>
  <tableColumns count="15">
    <tableColumn id="1" xr3:uid="{3372742A-D250-4646-8967-F0313A30B44F}" name="Kế hoạch chi phí nguyên liệu, vật tư" totalsRowLabel="Total" dataDxfId="1418" totalsRowDxfId="1417" dataCellStyle="Comma" totalsRowCellStyle="Comma"/>
    <tableColumn id="3" xr3:uid="{44871731-2E3E-470C-8662-4B271913AE86}" name="Tham chiếu" totalsRowFunction="sum" dataDxfId="1416" totalsRowDxfId="1415"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14" totalsRowDxfId="1413" dataCellStyle="Comma" totalsRowCellStyle="Comma"/>
    <tableColumn id="28" xr3:uid="{EB268450-C92C-4EF4-B250-D1327E4DB0DD}" name="Tháng 2" totalsRowFunction="sum" dataDxfId="1412" totalsRowDxfId="1411" dataCellStyle="Comma" totalsRowCellStyle="Comma"/>
    <tableColumn id="29" xr3:uid="{9F8929A2-D8E6-4D5D-85C6-982E5C57DFB2}" name="Tháng 3" totalsRowFunction="sum" dataDxfId="1410" totalsRowDxfId="1409" dataCellStyle="Comma" totalsRowCellStyle="Comma"/>
    <tableColumn id="30" xr3:uid="{3B0680D1-6885-4501-8FDB-F1318F6CB0D8}" name="Tháng 4" totalsRowFunction="sum" dataDxfId="1408" totalsRowDxfId="1407" dataCellStyle="Comma" totalsRowCellStyle="Comma"/>
    <tableColumn id="31" xr3:uid="{BBAA5574-2400-46B0-9AF9-20B2BFDBD9DF}" name="Tháng 5" totalsRowFunction="sum" dataDxfId="1406" totalsRowDxfId="1405" dataCellStyle="Comma" totalsRowCellStyle="Comma"/>
    <tableColumn id="32" xr3:uid="{25BFBF1C-5AF4-49AE-8773-D775BD10541C}" name="Tháng 6" totalsRowFunction="sum" dataDxfId="1404" totalsRowDxfId="1403" dataCellStyle="Comma" totalsRowCellStyle="Comma"/>
    <tableColumn id="33" xr3:uid="{9DD9B0AB-9ADC-404B-A15A-150336570D6B}" name="Tháng 7" totalsRowFunction="sum" dataDxfId="1402" totalsRowDxfId="1401" dataCellStyle="Comma" totalsRowCellStyle="Comma"/>
    <tableColumn id="34" xr3:uid="{DB26B895-DA94-430D-B8B1-C4810F234A02}" name="Tháng 8" totalsRowFunction="sum" dataDxfId="1400" totalsRowDxfId="1399" dataCellStyle="Comma" totalsRowCellStyle="Comma"/>
    <tableColumn id="35" xr3:uid="{B41AAD7F-0471-425C-9C94-E0F57D8A3FD4}" name="Tháng 9" totalsRowFunction="sum" dataDxfId="1398" totalsRowDxfId="1397" dataCellStyle="Comma" totalsRowCellStyle="Comma"/>
    <tableColumn id="36" xr3:uid="{3C7456A8-64D5-4793-A017-A86820EA5328}" name="Tháng 10" totalsRowFunction="sum" dataDxfId="1396" totalsRowDxfId="1395" dataCellStyle="Comma" totalsRowCellStyle="Comma"/>
    <tableColumn id="37" xr3:uid="{4A752FBB-A857-49FA-9DFF-0746C4B7C7B3}" name="Tháng 11" totalsRowFunction="sum" dataDxfId="1394" totalsRowDxfId="1393" dataCellStyle="Comma" totalsRowCellStyle="Comma"/>
    <tableColumn id="38" xr3:uid="{25FB919C-492A-46B1-B521-987406C79B89}" name="Tháng 12" totalsRowFunction="sum" dataDxfId="1392" totalsRowDxfId="1391" dataCellStyle="Comma" totalsRowCellStyle="Comma"/>
    <tableColumn id="4" xr3:uid="{76B04028-0E93-449E-88F6-4D49CB59F867}" name="Add" dataDxfId="1390" totalsRowDxfId="1389"/>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7:P89" totalsRowCount="1" headerRowDxfId="1388" dataDxfId="1387" totalsRowDxfId="1386" headerRowCellStyle="Comma" dataCellStyle="Comma" totalsRowCellStyle="Comma">
  <autoFilter ref="B87:P88" xr:uid="{221B0537-5FEB-4DED-A19F-3E6B77DA9996}"/>
  <tableColumns count="15">
    <tableColumn id="1" xr3:uid="{17A55D1D-8A7F-46C4-A78E-E6D88609A0ED}" name="Kế hoạch chi phí tiện ích sản xuất" totalsRowLabel="Total" dataDxfId="1385" totalsRowDxfId="1384" dataCellStyle="Comma" totalsRowCellStyle="Comma"/>
    <tableColumn id="3" xr3:uid="{03133537-8970-47C4-9CB1-F57A233D5355}" name="Tham chiếu" totalsRowFunction="sum" dataDxfId="1383" totalsRowDxfId="1382" dataCellStyle="Comma" totalsRowCellStyle="Comma">
      <calculatedColumnFormula array="1"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7" xr3:uid="{0E5F53FE-DD99-49BB-956B-C5B039632FC3}" name="Tháng 1" totalsRowFunction="sum" dataDxfId="1381" totalsRowDxfId="1380" dataCellStyle="Comma" totalsRowCellStyle="Comma"/>
    <tableColumn id="28" xr3:uid="{408F329E-A3BD-4780-A836-586D06F3F5F6}" name="Tháng 2" totalsRowFunction="sum" dataDxfId="1379" totalsRowDxfId="1378" dataCellStyle="Comma" totalsRowCellStyle="Comma"/>
    <tableColumn id="29" xr3:uid="{93B60ABC-5251-432D-8B09-2C62360426B9}" name="Tháng 3" totalsRowFunction="sum" dataDxfId="1377" totalsRowDxfId="1376" dataCellStyle="Comma" totalsRowCellStyle="Comma"/>
    <tableColumn id="30" xr3:uid="{8CA584FC-B8D9-4903-8138-100091B50430}" name="Tháng 4" totalsRowFunction="sum" dataDxfId="1375" totalsRowDxfId="1374" dataCellStyle="Comma" totalsRowCellStyle="Comma"/>
    <tableColumn id="31" xr3:uid="{D7148F32-51F6-407D-BA56-EEF0BAAFF045}" name="Tháng 5" totalsRowFunction="sum" dataDxfId="1373" totalsRowDxfId="1372" dataCellStyle="Comma" totalsRowCellStyle="Comma"/>
    <tableColumn id="32" xr3:uid="{E4B3771C-3F5D-4E1B-B8C5-F0AB7A779F31}" name="Tháng 6" totalsRowFunction="sum" dataDxfId="1371" totalsRowDxfId="1370" dataCellStyle="Comma" totalsRowCellStyle="Comma"/>
    <tableColumn id="33" xr3:uid="{BB5112F1-DF2B-46EF-A759-0B8526A16202}" name="Tháng 7" totalsRowFunction="sum" dataDxfId="1369" totalsRowDxfId="1368" dataCellStyle="Comma" totalsRowCellStyle="Comma"/>
    <tableColumn id="34" xr3:uid="{53491907-D6B4-44B1-B631-825C9AB3EAC9}" name="Tháng 8" totalsRowFunction="sum" dataDxfId="1367" totalsRowDxfId="1366" dataCellStyle="Comma" totalsRowCellStyle="Comma"/>
    <tableColumn id="35" xr3:uid="{DBD3DFBF-CB4A-4279-B26F-2294BD4221B8}" name="Tháng 9" totalsRowFunction="sum" dataDxfId="1365" totalsRowDxfId="1364" dataCellStyle="Comma" totalsRowCellStyle="Comma"/>
    <tableColumn id="36" xr3:uid="{99835027-2C0C-4E07-8D04-B5AEE2FCAED3}" name="Tháng 10" totalsRowFunction="sum" dataDxfId="1363" totalsRowDxfId="1362" dataCellStyle="Comma" totalsRowCellStyle="Comma"/>
    <tableColumn id="37" xr3:uid="{E54489E3-CF50-4AF1-8114-420E4169CF1C}" name="Tháng 11" totalsRowFunction="sum" dataDxfId="1361" totalsRowDxfId="1360" dataCellStyle="Comma" totalsRowCellStyle="Comma"/>
    <tableColumn id="38" xr3:uid="{81D93D54-7809-486C-8C6D-B20D35EC3603}" name="Tháng 12" totalsRowFunction="sum" dataDxfId="1359" totalsRowDxfId="1358" dataCellStyle="Comma" totalsRowCellStyle="Comma"/>
    <tableColumn id="4" xr3:uid="{D87FE2DC-D034-48F9-B0EF-D04F9DE6812D}" name="Add" dataDxfId="1357" totalsRowDxfId="1356"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7:P108" totalsRowShown="0" headerRowDxfId="1355" dataDxfId="1354" headerRowCellStyle="Percent" dataCellStyle="Percent">
  <autoFilter ref="B107:P108" xr:uid="{6F4378BF-C48C-4BF7-978E-B05133837A9C}"/>
  <tableColumns count="15">
    <tableColumn id="1" xr3:uid="{0AB704CD-6E77-4A19-8A14-44B491ED44A9}" name="Kế hoạch tỷ lệ CK thanh toán" dataDxfId="1353" dataCellStyle="Percent"/>
    <tableColumn id="3" xr3:uid="{2D2F2141-648C-44C4-A38F-63B74B7ADD09}" name="Tham chiếu" dataDxfId="1352"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51" dataCellStyle="Percent"/>
    <tableColumn id="28" xr3:uid="{84EE1221-DEC1-4F70-9345-67F537D90FF1}" name="Tháng 2" dataDxfId="1350" dataCellStyle="Percent"/>
    <tableColumn id="29" xr3:uid="{529C4CF1-0CD0-4188-9775-240208D63558}" name="Tháng 3" dataDxfId="1349" dataCellStyle="Percent"/>
    <tableColumn id="30" xr3:uid="{388C03E3-701B-43CD-98FF-FB59C839699F}" name="Tháng 4" dataDxfId="1348" dataCellStyle="Percent"/>
    <tableColumn id="31" xr3:uid="{A27FB24F-7DB3-45CA-9BB7-26DE3660DD4A}" name="Tháng 5" dataDxfId="1347" dataCellStyle="Percent"/>
    <tableColumn id="32" xr3:uid="{CDFB964C-256B-4671-9E9A-6736F6E35215}" name="Tháng 6" dataDxfId="1346" dataCellStyle="Percent"/>
    <tableColumn id="33" xr3:uid="{9F5978D1-9D0F-435B-B981-77F26AB879EC}" name="Tháng 7" dataDxfId="1345" dataCellStyle="Percent"/>
    <tableColumn id="34" xr3:uid="{9C76757D-0A13-4B88-A3E0-8FB691A90FD6}" name="Tháng 8" dataDxfId="1344" dataCellStyle="Percent"/>
    <tableColumn id="35" xr3:uid="{42FBE347-EDDD-4577-A72B-093288F992EA}" name="Tháng 9" dataDxfId="1343" dataCellStyle="Percent"/>
    <tableColumn id="36" xr3:uid="{C10786ED-D15A-4048-B931-CE8FE052E0BB}" name="Tháng 10" dataDxfId="1342" dataCellStyle="Percent"/>
    <tableColumn id="37" xr3:uid="{E0E1F05E-4DF9-48A2-A327-71B98B576B04}" name="Tháng 11" dataDxfId="1341" dataCellStyle="Percent"/>
    <tableColumn id="38" xr3:uid="{1B2BC369-8B67-4EA4-B6B1-78066DCB5241}" name="Tháng 12" dataDxfId="1340" dataCellStyle="Percent"/>
    <tableColumn id="4" xr3:uid="{AD6DF885-CE62-49F9-A015-3CAAF11FE2E4}" name="Add" dataDxfId="1339"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1:P112" totalsRowShown="0" headerRowDxfId="1338" dataDxfId="1337" headerRowCellStyle="Percent" dataCellStyle="Percent">
  <autoFilter ref="B111:P112" xr:uid="{4DB4E945-1A05-4874-A72A-EEAF59322C13}"/>
  <tableColumns count="15">
    <tableColumn id="1" xr3:uid="{EBB5E7C6-D939-4589-8704-A0CFFC685DB4}" name="Kế hoạch tỷ trọng doanh thu" dataDxfId="1336" dataCellStyle="Percent"/>
    <tableColumn id="3" xr3:uid="{F510D5AB-1223-433A-9DD7-BB949C5603C7}" name="Tham chiếu" dataDxfId="1335"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34" dataCellStyle="Percent"/>
    <tableColumn id="28" xr3:uid="{AC15DDAC-1488-496D-A1FD-755A17C1765C}" name="Tháng 2" dataDxfId="1333" dataCellStyle="Percent"/>
    <tableColumn id="29" xr3:uid="{8F89C81C-9306-4476-9065-1C9055D23101}" name="Tháng 3" dataDxfId="1332" dataCellStyle="Percent"/>
    <tableColumn id="30" xr3:uid="{FB51BEB5-3EBC-4225-AFA9-1582A2D0E694}" name="Tháng 4" dataDxfId="1331" dataCellStyle="Percent"/>
    <tableColumn id="31" xr3:uid="{D59A1D80-6E2A-4F74-B9B2-3CB8EE5D48AC}" name="Tháng 5" dataDxfId="1330" dataCellStyle="Percent"/>
    <tableColumn id="32" xr3:uid="{B5BA3823-4DA6-4052-877C-67FB19C2D153}" name="Tháng 6" dataDxfId="1329" dataCellStyle="Percent"/>
    <tableColumn id="33" xr3:uid="{87A57697-B2D6-4D67-AF6D-87B1A2F2031D}" name="Tháng 7" dataDxfId="1328" dataCellStyle="Percent"/>
    <tableColumn id="34" xr3:uid="{52576BFB-2F7A-44B4-BE29-972875199C82}" name="Tháng 8" dataDxfId="1327" dataCellStyle="Percent"/>
    <tableColumn id="35" xr3:uid="{60667DE0-46F3-41A5-B737-276C5E83E46B}" name="Tháng 9" dataDxfId="1326" dataCellStyle="Percent"/>
    <tableColumn id="36" xr3:uid="{79D79A59-26BF-4C3B-BAB3-FCDB2B9DBFA0}" name="Tháng 10" dataDxfId="1325" dataCellStyle="Percent"/>
    <tableColumn id="37" xr3:uid="{EE95E868-2995-43EE-8E53-035105D694A9}" name="Tháng 11" dataDxfId="1324" dataCellStyle="Percent"/>
    <tableColumn id="38" xr3:uid="{1C4C6182-AF5E-42F6-A7FF-40D2E44EBD89}" name="Tháng 12" dataDxfId="1323" dataCellStyle="Percent"/>
    <tableColumn id="4" xr3:uid="{18EAC69D-6080-4C06-8FE2-E9D20A33237A}" name="Add" dataDxfId="1322"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5:P117" totalsRowCount="1" headerRowDxfId="1321" dataDxfId="1320" totalsRowDxfId="1319" headerRowCellStyle="Comma" dataCellStyle="Comma" totalsRowCellStyle="Comma">
  <autoFilter ref="B115:P116" xr:uid="{4E79D7EF-FE20-446B-8CC3-46D2CC3EA444}"/>
  <tableColumns count="15">
    <tableColumn id="1" xr3:uid="{26A35DC7-8E8B-45E3-BB3A-C37DFD8EE114}" name="Kế hoạch chi phí thanh toán" totalsRowLabel="Total" dataDxfId="1318" totalsRowDxfId="1317" dataCellStyle="Comma" totalsRowCellStyle="Comma"/>
    <tableColumn id="3" xr3:uid="{57AF8CD3-7273-4172-8B35-08BB4E2A0CEF}" name="Tham chiếu" totalsRowFunction="sum" dataDxfId="1316" totalsRowDxfId="1315"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14" totalsRowDxfId="1313" dataCellStyle="Comma" totalsRowCellStyle="Comma">
      <calculatedColumnFormula>-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calculatedColumnFormula>
    </tableColumn>
    <tableColumn id="28" xr3:uid="{3C1FD459-BE52-476C-A231-93612BDC781D}" name="Tháng 2" totalsRowFunction="sum" dataDxfId="1312" totalsRowDxfId="1311" dataCellStyle="Comma" totalsRowCellStyle="Comma">
      <calculatedColumnFormula>-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calculatedColumnFormula>
    </tableColumn>
    <tableColumn id="29" xr3:uid="{44E99AC0-CE1E-4FEA-B1EC-56FE319B7BDB}" name="Tháng 3" totalsRowFunction="sum" dataDxfId="1310" totalsRowDxfId="1309" dataCellStyle="Comma" totalsRowCellStyle="Comma">
      <calculatedColumnFormula>-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calculatedColumnFormula>
    </tableColumn>
    <tableColumn id="30" xr3:uid="{96C0360B-2A89-485D-AF92-3B6FF178430A}" name="Tháng 4"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calculatedColumnFormula>
    </tableColumn>
    <tableColumn id="31" xr3:uid="{42586720-5824-4FE3-A8DF-B80FDE5EF3D4}" name="Tháng 5"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calculatedColumnFormula>
    </tableColumn>
    <tableColumn id="32" xr3:uid="{07F0297E-062C-4051-8E96-4FA401FF61A4}" name="Tháng 6"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calculatedColumnFormula>
    </tableColumn>
    <tableColumn id="33" xr3:uid="{B905C123-8F78-469A-881C-7FF04EC6AA39}" name="Tháng 7"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calculatedColumnFormula>
    </tableColumn>
    <tableColumn id="34" xr3:uid="{7F55150A-0CF2-4CFB-BFE1-2A95E9D95074}" name="Tháng 8"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calculatedColumnFormula>
    </tableColumn>
    <tableColumn id="35" xr3:uid="{73FA5353-45C9-4ED4-999D-14E70B99E824}" name="Tháng 9"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calculatedColumnFormula>
    </tableColumn>
    <tableColumn id="36" xr3:uid="{D4791067-9357-49C2-84E1-DFAC0F17A84F}" name="Tháng 10"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calculatedColumnFormula>
    </tableColumn>
    <tableColumn id="37" xr3:uid="{5611D5E6-8D29-43D1-9B81-864F4CE55C4C}" name="Tháng 11"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calculatedColumnFormula>
    </tableColumn>
    <tableColumn id="38" xr3:uid="{8181C98D-3CAA-4B60-8AD7-1538621D71FC}" name="Tháng 12"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calculatedColumnFormula>
    </tableColumn>
    <tableColumn id="4" xr3:uid="{B0478169-E6F8-42CC-8421-DE117A26B7F0}" name="Add" dataDxfId="1290" totalsRowDxfId="1289"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8:P70" totalsRowShown="0" headerRowDxfId="1288" dataDxfId="1287">
  <autoFilter ref="B68:P70" xr:uid="{0C63FCA5-374F-45E9-B948-7D48CC19EBA8}"/>
  <tableColumns count="15">
    <tableColumn id="1" xr3:uid="{76415C8B-364D-4D08-A827-14CA674598A8}" name="Kế hoạch chiết khấu thương mại" dataDxfId="1286"/>
    <tableColumn id="3" xr3:uid="{2D1F0164-FE3F-4FC6-81B1-670A52FB817F}" name="Tham chiếu" dataDxfId="1285">
      <calculatedColumnFormula>-C70/Table_KeHoach_DoanhThu[[#Totals],[Tham chiếu]]</calculatedColumnFormula>
    </tableColumn>
    <tableColumn id="27" xr3:uid="{F4421827-F4C5-411A-96EC-B157E5401B70}" name="Tháng 1" dataDxfId="1284">
      <calculatedColumnFormula>IFERROR(-D68*SUM(Table_KeHoach_SanLuong[Tháng 1]),0)</calculatedColumnFormula>
    </tableColumn>
    <tableColumn id="28" xr3:uid="{3D5D0C1B-0AF8-4F92-BBAC-01DC57CAA70C}" name="Tháng 2" dataDxfId="1283">
      <calculatedColumnFormula>-E68*SUM(Table_KeHoach_SanLuong[Tháng 1])</calculatedColumnFormula>
    </tableColumn>
    <tableColumn id="29" xr3:uid="{2184DEE7-0896-49DE-836E-27156D3DB4E3}" name="Tháng 3" dataDxfId="1282">
      <calculatedColumnFormula>-F68*SUM(Table_KeHoach_SanLuong[Tháng 1])</calculatedColumnFormula>
    </tableColumn>
    <tableColumn id="30" xr3:uid="{C24C7C88-ED1E-45EC-A3F8-182C13247E9C}" name="Tháng 4" dataDxfId="1281">
      <calculatedColumnFormula>-G68*SUM(Table_KeHoach_SanLuong[Tháng 1])</calculatedColumnFormula>
    </tableColumn>
    <tableColumn id="31" xr3:uid="{BB7AD995-EE6B-4BF7-A5F7-FCADABCEA453}" name="Tháng 5" dataDxfId="1280">
      <calculatedColumnFormula>-H68*SUM(Table_KeHoach_SanLuong[Tháng 1])</calculatedColumnFormula>
    </tableColumn>
    <tableColumn id="32" xr3:uid="{76BFFA42-73D8-439A-9CD4-3BBB1077ADC8}" name="Tháng 6" dataDxfId="1279">
      <calculatedColumnFormula>-I68*SUM(Table_KeHoach_SanLuong[Tháng 1])</calculatedColumnFormula>
    </tableColumn>
    <tableColumn id="33" xr3:uid="{32662CD6-B520-4DC0-9AD1-2C6240AFB0B2}" name="Tháng 7" dataDxfId="1278">
      <calculatedColumnFormula>-J68*SUM(Table_KeHoach_SanLuong[Tháng 1])</calculatedColumnFormula>
    </tableColumn>
    <tableColumn id="34" xr3:uid="{2E0AEA39-18D9-4BA8-AFDD-957A02179027}" name="Tháng 8" dataDxfId="1277">
      <calculatedColumnFormula>-K68*SUM(Table_KeHoach_SanLuong[Tháng 1])</calculatedColumnFormula>
    </tableColumn>
    <tableColumn id="35" xr3:uid="{D0234ED1-E665-4A9E-BB14-46DADF752A7F}" name="Tháng 9" dataDxfId="1276">
      <calculatedColumnFormula>-L68*SUM(Table_KeHoach_SanLuong[Tháng 1])</calculatedColumnFormula>
    </tableColumn>
    <tableColumn id="36" xr3:uid="{AD609898-BC6C-4B43-B083-24250902B7C3}" name="Tháng 10" dataDxfId="1275">
      <calculatedColumnFormula>-M68*SUM(Table_KeHoach_SanLuong[Tháng 1])</calculatedColumnFormula>
    </tableColumn>
    <tableColumn id="37" xr3:uid="{BAAC8AB2-3DB4-4465-A261-52A69FB1BEF0}" name="Tháng 11" dataDxfId="1274">
      <calculatedColumnFormula>-N68*SUM(Table_KeHoach_SanLuong[Tháng 1])</calculatedColumnFormula>
    </tableColumn>
    <tableColumn id="38" xr3:uid="{BC8D763A-019F-43F4-BDD8-DB95305BE6E2}" name="Tháng 12" dataDxfId="1273">
      <calculatedColumnFormula>-O68*SUM(Table_KeHoach_SanLuong[Tháng 1])</calculatedColumnFormula>
    </tableColumn>
    <tableColumn id="4" xr3:uid="{11843696-7620-496B-B09D-CF638E025668}" name="Add" dataDxfId="1272">
      <calculatedColumnFormula>IFERROR(-P68*Table_KeHoach_DoanhThu[[#Totals],[Tháng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7" totalsRowShown="0" headerRowDxfId="1271" dataDxfId="1270">
  <autoFilter ref="R6:T47" xr:uid="{1035B389-90D7-47BF-AE83-78827CD02611}"/>
  <tableColumns count="3">
    <tableColumn id="1" xr3:uid="{D1EA0B06-F776-4AE7-AFFA-8DDC0BEBB2C7}" name="Gtri" dataDxfId="1269"/>
    <tableColumn id="2" xr3:uid="{0706F8C0-4E8F-4E17-944F-ADD88182B0AD}" name="Năm đầu"/>
    <tableColumn id="15" xr3:uid="{0A76CFCF-213F-4B57-ACE5-C49B82D60DF1}" name="Add" dataDxfId="1268"/>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7" totalsRowShown="0" headerRowDxfId="1267" dataDxfId="1266">
  <autoFilter ref="V6:X47" xr:uid="{F0D1B767-E383-406E-8FDE-2130594FDFAA}"/>
  <tableColumns count="3">
    <tableColumn id="1" xr3:uid="{E01F3758-F6DC-4D50-BA14-C5C056EB4B41}" name="Gtri" dataDxfId="1265"/>
    <tableColumn id="2" xr3:uid="{CB73AAAC-EF9D-4925-906C-58B5DD9788C4}" name="Tháng" dataDxfId="1264" dataCellStyle="Comma"/>
    <tableColumn id="15" xr3:uid="{4E548353-44A3-44DF-A1B7-3D2C4835FE97}" name="Add" dataDxfId="1263"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50:P51" totalsRowShown="0" headerRowDxfId="1262" dataDxfId="1261">
  <autoFilter ref="B50:P51" xr:uid="{E0D11160-D408-4F9E-8B62-E6189C384C94}"/>
  <tableColumns count="15">
    <tableColumn id="1" xr3:uid="{16C9D670-EA68-4A8B-8672-EE3107C3457C}" name="Tăng trưởng sản lượng" dataDxfId="1260"/>
    <tableColumn id="4" xr3:uid="{552A8344-0BA7-4A80-9F4F-C60A1502FBBF}" name="Tăng trưởng năm" dataDxfId="1259" dataCellStyle="Percent">
      <calculatedColumnFormula array="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0" xr3:uid="{8EF1BEEF-325B-4442-BB24-1F43AC12FFA3}" name="Tháng 2" dataDxfId="125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1" xr3:uid="{E04AA4CF-F4E3-4DCF-8E7A-D54722B46F67}" name="Tháng 3" dataDxfId="1256"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2" xr3:uid="{F63803E2-3B6F-4126-81EA-2C9E579D5991}" name="Tháng 4" dataDxfId="1255"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3" xr3:uid="{874CE8E0-0A71-4303-A7B7-5FB1B611EE8C}" name="Tháng 5" dataDxfId="1254"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4" xr3:uid="{7CA199D1-3DB8-43FB-8755-3CBCCABF080A}" name="Tháng 6" dataDxfId="1253"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5" xr3:uid="{9CC0E82D-F333-4227-8CA5-F1A3CF87188C}" name="Tháng 7" dataDxfId="1252"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6" xr3:uid="{59DBBAB6-3012-4CD6-8537-4389AA6F2953}" name="Tháng 8" dataDxfId="1251"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7" xr3:uid="{0A3FD45B-7275-443A-8DBC-86E07F136B40}" name="Tháng 9" dataDxfId="1250"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8" xr3:uid="{5B266711-53AD-44D7-95ED-1DC134679346}" name="Tháng 10" dataDxfId="1249"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9" xr3:uid="{B12019BE-715B-42FF-A5FC-C2FE7364C4B5}" name="Tháng 11" dataDxfId="124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40" xr3:uid="{05232CF4-48AB-496F-830A-FCD5F7BB338B}" name="Tháng 12" dataDxfId="124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 xr3:uid="{5E31E96A-638F-4B28-9985-F643B89D342A}" name="Add" dataDxfId="1246"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9:P201" totalsRowCount="1" headerRowDxfId="1245" dataDxfId="1243" headerRowBorderDxfId="1244" tableBorderDxfId="1242">
  <autoFilter ref="B199:P200" xr:uid="{808A2169-8554-4C17-96AC-814597A28FCD}"/>
  <tableColumns count="15">
    <tableColumn id="1" xr3:uid="{49D0F695-8A6B-4F93-8F8B-468B99DE390C}" name="Kế hoạch cổ tức" totalsRowLabel="      Total      " dataDxfId="1241" totalsRowDxfId="1240"/>
    <tableColumn id="2" xr3:uid="{DD60580E-24DA-42B0-B365-15B56EFBD16B}" name="Tỷ lệ lợi ích" totalsRowFunction="sum" dataDxfId="1239" totalsRowDxfId="1238"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7" totalsRowDxfId="1236" dataCellStyle="Comma" totalsRowCellStyle="Comma">
      <calculatedColumnFormula>Table_KeHoach_CoTuc[[#This Row],[Tỷ lệ lợi ích]]*D$46</calculatedColumnFormula>
    </tableColumn>
    <tableColumn id="4" xr3:uid="{1E3DF815-1A4A-43CB-9723-2E250B7B2039}" name="Tháng 2" totalsRowFunction="sum" dataDxfId="1235" totalsRowDxfId="1234" dataCellStyle="Comma" totalsRowCellStyle="Comma">
      <calculatedColumnFormula>Table_KeHoach_CoTuc[[#This Row],[Tỷ lệ lợi ích]]*E$46</calculatedColumnFormula>
    </tableColumn>
    <tableColumn id="5" xr3:uid="{798EBA13-5C1C-4B3B-886D-7B42854CD1DE}" name="Tháng 3" totalsRowFunction="sum" dataDxfId="1233" totalsRowDxfId="1232" dataCellStyle="Comma" totalsRowCellStyle="Comma">
      <calculatedColumnFormula>Table_KeHoach_CoTuc[[#This Row],[Tỷ lệ lợi ích]]*F$46</calculatedColumnFormula>
    </tableColumn>
    <tableColumn id="6" xr3:uid="{8830216C-BA41-42D5-876B-AE721F398DED}" name="Tháng 4" totalsRowFunction="sum" dataDxfId="1231" totalsRowDxfId="1230" dataCellStyle="Comma" totalsRowCellStyle="Comma">
      <calculatedColumnFormula>Table_KeHoach_CoTuc[[#This Row],[Tỷ lệ lợi ích]]*G$46</calculatedColumnFormula>
    </tableColumn>
    <tableColumn id="7" xr3:uid="{CFBE895E-3AF4-435F-A0A6-AD782E142082}" name="Tháng 5" totalsRowFunction="sum" dataDxfId="1229" totalsRowDxfId="1228" dataCellStyle="Comma" totalsRowCellStyle="Comma">
      <calculatedColumnFormula>Table_KeHoach_CoTuc[[#This Row],[Tỷ lệ lợi ích]]*H$46</calculatedColumnFormula>
    </tableColumn>
    <tableColumn id="8" xr3:uid="{6AF681AF-ADB8-4ED1-A741-AB1B95CE411B}" name="Tháng 6" totalsRowFunction="sum" dataDxfId="1227" totalsRowDxfId="1226" dataCellStyle="Comma" totalsRowCellStyle="Comma">
      <calculatedColumnFormula>Table_KeHoach_CoTuc[[#This Row],[Tỷ lệ lợi ích]]*I$46</calculatedColumnFormula>
    </tableColumn>
    <tableColumn id="9" xr3:uid="{2859DA0C-AB7B-4D95-A27B-C0F30E1235A6}" name="Tháng 7" totalsRowFunction="sum" dataDxfId="1225" totalsRowDxfId="1224" dataCellStyle="Comma" totalsRowCellStyle="Comma">
      <calculatedColumnFormula>Table_KeHoach_CoTuc[[#This Row],[Tỷ lệ lợi ích]]*J$46</calculatedColumnFormula>
    </tableColumn>
    <tableColumn id="10" xr3:uid="{276E9A06-AFA5-4E42-BF42-CD0D2D891F37}" name="Tháng 8" totalsRowFunction="sum" dataDxfId="1223" totalsRowDxfId="1222" dataCellStyle="Comma" totalsRowCellStyle="Comma">
      <calculatedColumnFormula>Table_KeHoach_CoTuc[[#This Row],[Tỷ lệ lợi ích]]*K$46</calculatedColumnFormula>
    </tableColumn>
    <tableColumn id="11" xr3:uid="{E6C25EAF-8AD9-4321-9B36-672D987AE47D}" name="Tháng 9" totalsRowFunction="sum" dataDxfId="1221" totalsRowDxfId="1220" dataCellStyle="Comma" totalsRowCellStyle="Comma">
      <calculatedColumnFormula>Table_KeHoach_CoTuc[[#This Row],[Tỷ lệ lợi ích]]*L$46</calculatedColumnFormula>
    </tableColumn>
    <tableColumn id="12" xr3:uid="{A4509611-8DC1-4631-AD16-64AAC808B76D}" name="Tháng 10" totalsRowFunction="sum" dataDxfId="1219" totalsRowDxfId="1218" dataCellStyle="Comma" totalsRowCellStyle="Comma">
      <calculatedColumnFormula>Table_KeHoach_CoTuc[[#This Row],[Tỷ lệ lợi ích]]*M$46</calculatedColumnFormula>
    </tableColumn>
    <tableColumn id="13" xr3:uid="{94D4291B-9242-43C1-90C3-C2A12092243B}" name="Tháng 11" totalsRowFunction="sum" dataDxfId="1217" totalsRowDxfId="1216" dataCellStyle="Comma" totalsRowCellStyle="Comma">
      <calculatedColumnFormula>Table_KeHoach_CoTuc[[#This Row],[Tỷ lệ lợi ích]]*N$46</calculatedColumnFormula>
    </tableColumn>
    <tableColumn id="14" xr3:uid="{F3EBB3AF-1773-483A-8741-1AFC969F4F19}" name="Tháng 12" totalsRowFunction="sum" dataDxfId="1215" totalsRowDxfId="1214" dataCellStyle="Comma" totalsRowCellStyle="Comma">
      <calculatedColumnFormula>Table_KeHoach_CoTuc[[#This Row],[Tỷ lệ lợi ích]]*O$46</calculatedColumnFormula>
    </tableColumn>
    <tableColumn id="15" xr3:uid="{159C58E5-FDDC-4E10-860D-44AABDEC39DA}" name="Add" dataDxfId="1213" totalsRowDxfId="1212"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8:P162" totalsRowCount="1" headerRowDxfId="1211" dataDxfId="1210" totalsRowDxfId="1209" headerRowCellStyle="Comma" dataCellStyle="Comma" totalsRowCellStyle="Comma">
  <autoFilter ref="B158:P161" xr:uid="{B855090E-2521-4891-8B9A-A1744590F8D1}"/>
  <tableColumns count="15">
    <tableColumn id="1" xr3:uid="{1C669D90-1C61-45F6-B2D9-662BB6E142BA}" name="Thuế phí nộp NS" totalsRowLabel="Total" dataDxfId="1208" totalsRowDxfId="1207" dataCellStyle="Comma" totalsRowCellStyle="Comma"/>
    <tableColumn id="2" xr3:uid="{0161CD46-CFD7-4FAF-9630-C9C251B16E06}" name="Thuế suất TNDN" dataDxfId="1206" totalsRowDxfId="1205" dataCellStyle="Comma" totalsRowCellStyle="Comma"/>
    <tableColumn id="3" xr3:uid="{6AD8D76E-230B-4402-B8A3-95A761F4C0C9}" name="Tháng 1" totalsRowFunction="sum" dataDxfId="1204" totalsRowDxfId="1203" dataCellStyle="Comma" totalsRowCellStyle="Comma">
      <calculatedColumnFormula>Table_KeHoach_ThuePhi[[#This Row],[Thuế suất TNDN]]*(D19-SUM(D22:D28)-D30-SUM(D156:D158))</calculatedColumnFormula>
    </tableColumn>
    <tableColumn id="4" xr3:uid="{6A00ACB8-DB84-4FAE-8F4D-AA93D4893A76}" name="Tháng 2" totalsRowFunction="sum" dataDxfId="1202" totalsRowDxfId="1201" dataCellStyle="Comma" totalsRowCellStyle="Comma">
      <calculatedColumnFormula>+SUM(E156:E158)</calculatedColumnFormula>
    </tableColumn>
    <tableColumn id="5" xr3:uid="{3A10EF93-4296-4A0A-B190-3BD658A4F93A}" name="Tháng 3" totalsRowFunction="sum" dataDxfId="1200" totalsRowDxfId="1199" dataCellStyle="Comma" totalsRowCellStyle="Comma">
      <calculatedColumnFormula>+SUM(F156:F158)</calculatedColumnFormula>
    </tableColumn>
    <tableColumn id="6" xr3:uid="{72085BF3-BF3F-45F5-AF9E-4229A7AA17A4}" name="Tháng 4" totalsRowFunction="sum" dataDxfId="1198" totalsRowDxfId="1197" dataCellStyle="Comma" totalsRowCellStyle="Comma">
      <calculatedColumnFormula>+SUM(G156:G158)</calculatedColumnFormula>
    </tableColumn>
    <tableColumn id="7" xr3:uid="{A247F561-DC85-4213-A856-4FE1C288DB94}" name="Tháng 5" totalsRowFunction="sum" dataDxfId="1196" totalsRowDxfId="1195" dataCellStyle="Comma" totalsRowCellStyle="Comma">
      <calculatedColumnFormula>+SUM(H156:H158)</calculatedColumnFormula>
    </tableColumn>
    <tableColumn id="8" xr3:uid="{1BB01988-60CF-439A-92AF-640B37CB5280}" name="Tháng 6" totalsRowFunction="sum" dataDxfId="1194" totalsRowDxfId="1193" dataCellStyle="Comma" totalsRowCellStyle="Comma">
      <calculatedColumnFormula>+SUM(I156:I158)</calculatedColumnFormula>
    </tableColumn>
    <tableColumn id="9" xr3:uid="{7F548FC9-D828-43A1-802C-65E26620DEA1}" name="Tháng 7" totalsRowFunction="sum" dataDxfId="1192" totalsRowDxfId="1191" dataCellStyle="Comma" totalsRowCellStyle="Comma">
      <calculatedColumnFormula>+SUM(J156:J158)</calculatedColumnFormula>
    </tableColumn>
    <tableColumn id="10" xr3:uid="{EC476F7D-459B-484C-B60A-1FF6C6A94E22}" name="Tháng 8" totalsRowFunction="sum" dataDxfId="1190" totalsRowDxfId="1189" dataCellStyle="Comma" totalsRowCellStyle="Comma">
      <calculatedColumnFormula>+SUM(K156:K158)</calculatedColumnFormula>
    </tableColumn>
    <tableColumn id="11" xr3:uid="{46FBED57-1C5A-4431-9FBF-61138B8C88A1}" name="Tháng 9" totalsRowFunction="sum" dataDxfId="1188" totalsRowDxfId="1187" dataCellStyle="Comma" totalsRowCellStyle="Comma">
      <calculatedColumnFormula>+SUM(L156:L158)</calculatedColumnFormula>
    </tableColumn>
    <tableColumn id="12" xr3:uid="{F1E35AD6-1604-4E78-B288-9B8DAC51A335}" name="Tháng 10" totalsRowFunction="sum" dataDxfId="1186" totalsRowDxfId="1185" dataCellStyle="Comma" totalsRowCellStyle="Comma">
      <calculatedColumnFormula>+SUM(M156:M158)</calculatedColumnFormula>
    </tableColumn>
    <tableColumn id="13" xr3:uid="{88A8B4F6-67CE-4FFB-A0A1-256A3F6C0E73}" name="Tháng 11" totalsRowFunction="sum" dataDxfId="1184" totalsRowDxfId="1183" dataCellStyle="Comma" totalsRowCellStyle="Comma">
      <calculatedColumnFormula>+SUM(N156:N158)</calculatedColumnFormula>
    </tableColumn>
    <tableColumn id="14" xr3:uid="{724ED473-D4A4-48C6-882E-83401202C328}" name="Tháng 12" totalsRowFunction="sum" dataDxfId="1182" totalsRowDxfId="1181" dataCellStyle="Comma" totalsRowCellStyle="Comma">
      <calculatedColumnFormula>+SUM(O156:O158)</calculatedColumnFormula>
    </tableColumn>
    <tableColumn id="15" xr3:uid="{B7E74E67-C7ED-4A4A-BC5F-A7AC7C76239B}" name="Add" dataDxfId="1180" totalsRowDxfId="1179"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5:P167" totalsRowCount="1" headerRowDxfId="1178" dataDxfId="1177" totalsRowDxfId="1176" headerRowCellStyle="Comma" dataCellStyle="Comma" totalsRowCellStyle="Comma">
  <autoFilter ref="B165:P166" xr:uid="{56621785-F708-4DF2-B2D6-E0D67E00FAE4}"/>
  <tableColumns count="15">
    <tableColumn id="1" xr3:uid="{EBBD635E-E884-4F0E-92F4-A021EBA8BEFA}" name="Chi phí khác" totalsRowLabel="Total" dataDxfId="1175" totalsRowDxfId="1174" dataCellStyle="Comma" totalsRowCellStyle="Comma"/>
    <tableColumn id="2" xr3:uid="{E1C9EB78-7746-4D66-86B6-0AA7C3DDADFC}" name="Column1" dataDxfId="1173" totalsRowDxfId="1172" dataCellStyle="Comma" totalsRowCellStyle="Comma"/>
    <tableColumn id="3" xr3:uid="{B60B0D41-97F3-4CAB-8E00-5F741EB664DD}" name="Tháng 1" totalsRowFunction="sum" dataDxfId="1171" totalsRowDxfId="1170" dataCellStyle="Comma" totalsRowCellStyle="Comma"/>
    <tableColumn id="4" xr3:uid="{E81EC601-D6CD-40E2-A397-68181A232ACA}" name="Tháng 2" totalsRowFunction="sum" dataDxfId="1169" totalsRowDxfId="1168" dataCellStyle="Comma" totalsRowCellStyle="Comma"/>
    <tableColumn id="5" xr3:uid="{B31C442A-2F65-4366-811E-C986673F274D}" name="Tháng 3" totalsRowFunction="sum" dataDxfId="1167" totalsRowDxfId="1166" dataCellStyle="Comma" totalsRowCellStyle="Comma"/>
    <tableColumn id="6" xr3:uid="{BEFFAF3B-48FA-4F03-BCD2-3B0B27EE59F0}" name="Tháng 4" totalsRowFunction="sum" dataDxfId="1165" totalsRowDxfId="1164" dataCellStyle="Comma" totalsRowCellStyle="Comma"/>
    <tableColumn id="7" xr3:uid="{70BA20C3-2BDA-4CD9-934F-895A8B3D7129}" name="Tháng 5" totalsRowFunction="sum" dataDxfId="1163" totalsRowDxfId="1162" dataCellStyle="Comma" totalsRowCellStyle="Comma"/>
    <tableColumn id="8" xr3:uid="{6B049C1B-B9BF-4F20-8DA2-D9A62E4B7E1F}" name="Tháng 6" totalsRowFunction="sum" dataDxfId="1161" totalsRowDxfId="1160" dataCellStyle="Comma" totalsRowCellStyle="Comma"/>
    <tableColumn id="9" xr3:uid="{D0249CD3-0B5E-418D-9726-3462DD752F39}" name="Tháng 7" totalsRowFunction="sum" dataDxfId="1159" totalsRowDxfId="1158" dataCellStyle="Comma" totalsRowCellStyle="Comma"/>
    <tableColumn id="10" xr3:uid="{719D82C2-64AC-465F-BD79-7E8D7B1E8A2A}" name="Tháng 8" totalsRowFunction="sum" dataDxfId="1157" totalsRowDxfId="1156" dataCellStyle="Comma" totalsRowCellStyle="Comma"/>
    <tableColumn id="11" xr3:uid="{EC5D42B6-FA93-4887-8B0C-8A8154886D38}" name="Tháng 9" totalsRowFunction="sum" dataDxfId="1155" totalsRowDxfId="1154" dataCellStyle="Comma" totalsRowCellStyle="Comma"/>
    <tableColumn id="12" xr3:uid="{3C2AF411-CBAB-4893-9371-442E61652437}" name="Tháng 10" totalsRowFunction="sum" dataDxfId="1153" totalsRowDxfId="1152" dataCellStyle="Comma" totalsRowCellStyle="Comma"/>
    <tableColumn id="13" xr3:uid="{3157C9D9-A809-4298-8AE6-B4B4EC04ADB8}" name="Tháng 11" totalsRowFunction="sum" dataDxfId="1151" totalsRowDxfId="1150" dataCellStyle="Comma" totalsRowCellStyle="Comma"/>
    <tableColumn id="14" xr3:uid="{65E75A25-3AEC-4465-ABFA-28A42E168216}" name="Tháng 12" totalsRowFunction="sum" dataDxfId="1149" totalsRowDxfId="1148" dataCellStyle="Comma" totalsRowCellStyle="Comma"/>
    <tableColumn id="15" xr3:uid="{8B52360E-F978-4306-A59E-F167FC66E192}" name="Add" dataDxfId="1147" totalsRowDxfId="1146"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70:P171" totalsRowShown="0" headerRowDxfId="1145" dataDxfId="1144" dataCellStyle="Percent">
  <autoFilter ref="B170:P171" xr:uid="{4CFE68EC-67C4-41E5-B83D-BBBEA4C57376}"/>
  <tableColumns count="15">
    <tableColumn id="1" xr3:uid="{CE9FFF87-08A1-44D4-BA88-CB5DCC271889}" name="Tỷ lệ nợ trên doanh thu" dataDxfId="1143" dataCellStyle="Percent"/>
    <tableColumn id="2" xr3:uid="{5613D3E9-1531-48B2-A565-00FEA924B0BE}" name="Tham chiếu" dataDxfId="1142"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41" dataCellStyle="Percent"/>
    <tableColumn id="4" xr3:uid="{ED63E65D-F6D7-4A4A-9160-0D8ECF0CD2BD}" name="Tháng 2" dataDxfId="1140" dataCellStyle="Percent"/>
    <tableColumn id="5" xr3:uid="{7D151CF5-C7C6-456C-9565-C45772BC724E}" name="Tháng 3" dataDxfId="1139" dataCellStyle="Percent"/>
    <tableColumn id="6" xr3:uid="{5C9E58AD-6845-4FB4-9DBF-9ED77AE0B200}" name="Tháng 4" dataDxfId="1138" dataCellStyle="Percent"/>
    <tableColumn id="7" xr3:uid="{959B1477-DD31-434A-8492-994145BE49F5}" name="Tháng 5" dataDxfId="1137" dataCellStyle="Percent"/>
    <tableColumn id="8" xr3:uid="{A7CA6A4E-D12F-4A9E-9C5D-3A4BC4DF9BD5}" name="Tháng 6" dataDxfId="1136" dataCellStyle="Percent"/>
    <tableColumn id="9" xr3:uid="{83058071-EC16-4290-BCFE-B2E20FCF94C6}" name="Tháng 7" dataDxfId="1135" dataCellStyle="Percent"/>
    <tableColumn id="10" xr3:uid="{7DC78943-FF93-4ADF-AB00-6903F3871895}" name="Tháng 8" dataDxfId="1134" dataCellStyle="Percent"/>
    <tableColumn id="11" xr3:uid="{E8A70527-5041-4C75-816D-B9CEEC97CAFA}" name="Tháng 9" dataDxfId="1133" dataCellStyle="Percent"/>
    <tableColumn id="12" xr3:uid="{C5634CC9-1014-4371-8556-4898535E5A8B}" name="Tháng 10" dataDxfId="1132" dataCellStyle="Percent"/>
    <tableColumn id="13" xr3:uid="{8A9D1A6D-1DD9-4C24-B9F8-5D45B01042B8}" name="Tháng 11" dataDxfId="1131" dataCellStyle="Percent"/>
    <tableColumn id="14" xr3:uid="{3ED3D8B7-A502-4FC2-9834-66E32DC3616F}" name="Tháng 12" dataDxfId="1130" dataCellStyle="Percent"/>
    <tableColumn id="15" xr3:uid="{B1448B73-FDB2-4959-A66F-6572ABB5EF79}" name="Add" dataDxfId="1129"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4:P176" totalsRowCount="1" headerRowDxfId="1128" dataDxfId="1126" totalsRowDxfId="1124" headerRowBorderDxfId="1127" tableBorderDxfId="1125" headerRowCellStyle="Comma" dataCellStyle="Comma" totalsRowCellStyle="Comma">
  <autoFilter ref="B174:P175" xr:uid="{5E23A49D-9A60-4A25-85FF-03356EF94647}"/>
  <tableColumns count="15">
    <tableColumn id="1" xr3:uid="{5B556787-DDB8-4C7B-9FFB-D58306E173B3}" name="Dòng tiền đầu tư và thanh lý TSCĐ" totalsRowLabel=" Total " dataDxfId="1123" totalsRowDxfId="1122" dataCellStyle="Comma" totalsRowCellStyle="Comma"/>
    <tableColumn id="2" xr3:uid="{8FAA540A-C631-4BB6-94CB-76FCAA6BD399}" name="Column1" totalsRowFunction="sum" dataDxfId="1121" totalsRowDxfId="1120" dataCellStyle="Comma" totalsRowCellStyle="Comma"/>
    <tableColumn id="3" xr3:uid="{AA4C5021-8FB4-4C01-97DC-42C1AD2A0D5C}" name="Tháng 1" totalsRowFunction="sum" dataDxfId="1119" totalsRowDxfId="1118" dataCellStyle="Comma" totalsRowCellStyle="Comma"/>
    <tableColumn id="4" xr3:uid="{E0C84BD6-6CB1-48E9-AE7F-A28345427F91}" name="Tháng 2" totalsRowFunction="sum" dataDxfId="1117" totalsRowDxfId="1116" dataCellStyle="Comma" totalsRowCellStyle="Comma"/>
    <tableColumn id="5" xr3:uid="{67C699D4-0087-475B-AD6C-D853697542CB}" name="Tháng 3" totalsRowFunction="sum" dataDxfId="1115" totalsRowDxfId="1114" dataCellStyle="Comma" totalsRowCellStyle="Comma"/>
    <tableColumn id="6" xr3:uid="{FFC573B0-FBDD-48D5-8D49-ABE5E41F8709}" name="Tháng 4" totalsRowFunction="sum" dataDxfId="1113" totalsRowDxfId="1112" dataCellStyle="Comma" totalsRowCellStyle="Comma"/>
    <tableColumn id="7" xr3:uid="{B1997128-E7B8-45DB-9B00-D7B4F8C7C9DF}" name="Tháng 5" totalsRowFunction="sum" dataDxfId="1111" totalsRowDxfId="1110" dataCellStyle="Comma" totalsRowCellStyle="Comma"/>
    <tableColumn id="8" xr3:uid="{E05A7C11-53B1-4081-8751-AD8CD8D581E3}" name="Tháng 6" totalsRowFunction="sum" dataDxfId="1109" totalsRowDxfId="1108" dataCellStyle="Comma" totalsRowCellStyle="Comma"/>
    <tableColumn id="9" xr3:uid="{77FDB6D4-4EAC-46F1-942B-B6F6A6CD8141}" name="Tháng 7" totalsRowFunction="sum" dataDxfId="1107" totalsRowDxfId="1106" dataCellStyle="Comma" totalsRowCellStyle="Comma"/>
    <tableColumn id="10" xr3:uid="{B700B5FD-7134-43E5-83D7-48B525FB322C}" name="Tháng 8" totalsRowFunction="sum" dataDxfId="1105" totalsRowDxfId="1104" dataCellStyle="Comma" totalsRowCellStyle="Comma"/>
    <tableColumn id="11" xr3:uid="{1DE0F7BD-53A4-4D47-859C-71C704BF4E4D}" name="Tháng 9" totalsRowFunction="sum" dataDxfId="1103" totalsRowDxfId="1102" dataCellStyle="Comma" totalsRowCellStyle="Comma"/>
    <tableColumn id="12" xr3:uid="{1CB5442F-B1FE-4CB0-8986-4DF6BF82319A}" name="Tháng 10" totalsRowFunction="sum" dataDxfId="1101" totalsRowDxfId="1100" dataCellStyle="Comma" totalsRowCellStyle="Comma"/>
    <tableColumn id="13" xr3:uid="{6CD740B1-E47D-4B7E-ACEA-D4E55EED948C}" name="Tháng 11" totalsRowFunction="sum" dataDxfId="1099" totalsRowDxfId="1098" dataCellStyle="Comma" totalsRowCellStyle="Comma"/>
    <tableColumn id="14" xr3:uid="{38C80FDE-BE48-4A49-A3BD-3E3FCF44B99A}" name="Tháng 12" totalsRowFunction="sum" dataDxfId="1097" totalsRowDxfId="1096" dataCellStyle="Comma" totalsRowCellStyle="Comma"/>
    <tableColumn id="15" xr3:uid="{6F209FDF-2121-4623-9551-694DB366F57D}" name="Add" dataDxfId="1095" totalsRowDxfId="1094"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9:P181" totalsRowCount="1" headerRowDxfId="1093" dataDxfId="1091" totalsRowDxfId="1089" headerRowBorderDxfId="1092" tableBorderDxfId="1090" headerRowCellStyle="Comma" dataCellStyle="Comma" totalsRowCellStyle="Comma">
  <autoFilter ref="B179:P180" xr:uid="{A70E9AC5-05D6-49AF-BD9C-A9F0136F6AD1}"/>
  <tableColumns count="15">
    <tableColumn id="1" xr3:uid="{743663A6-A21D-4113-BF54-97494116D48C}" name="Dòng tiền đầu tư tài chính" totalsRowLabel="  Total  " dataDxfId="1088" totalsRowDxfId="1087" dataCellStyle="Comma"/>
    <tableColumn id="2" xr3:uid="{62AD1AA6-0EE5-445D-8E1C-99705DEC2942}" name="Column1" totalsRowFunction="sum" dataDxfId="1086" totalsRowDxfId="1085" dataCellStyle="Comma" totalsRowCellStyle="Comma"/>
    <tableColumn id="3" xr3:uid="{C808BAF5-EF47-4838-9623-9A5EA586BDC5}" name="Tháng 1" totalsRowFunction="sum" dataDxfId="1084" totalsRowDxfId="1083" dataCellStyle="Comma" totalsRowCellStyle="Comma"/>
    <tableColumn id="4" xr3:uid="{70307539-BB05-4D17-849C-6C4B59F40976}" name="Tháng 2" totalsRowFunction="sum" dataDxfId="1082" totalsRowDxfId="1081" dataCellStyle="Comma" totalsRowCellStyle="Comma"/>
    <tableColumn id="5" xr3:uid="{5D90E049-283D-4337-B3F3-7A1E7D577F75}" name="Tháng 3" totalsRowFunction="sum" dataDxfId="1080" totalsRowDxfId="1079" dataCellStyle="Comma" totalsRowCellStyle="Comma"/>
    <tableColumn id="6" xr3:uid="{B630AAD6-0B1F-4C57-BB61-4D73C03B5234}" name="Tháng 4" totalsRowFunction="sum" dataDxfId="1078" totalsRowDxfId="1077" dataCellStyle="Comma" totalsRowCellStyle="Comma"/>
    <tableColumn id="7" xr3:uid="{E1B1713E-4A69-4419-8205-454C038A2136}" name="Tháng 5" totalsRowFunction="sum" dataDxfId="1076" totalsRowDxfId="1075" dataCellStyle="Comma" totalsRowCellStyle="Comma"/>
    <tableColumn id="8" xr3:uid="{55B1D6C7-1C98-45A6-BD7A-A7E8BFFF6DDA}" name="Tháng 6" totalsRowFunction="sum" dataDxfId="1074" totalsRowDxfId="1073" dataCellStyle="Comma" totalsRowCellStyle="Comma"/>
    <tableColumn id="9" xr3:uid="{8809DDCC-5294-4F94-A14C-97B84DE49AB3}" name="Tháng 7" totalsRowFunction="sum" dataDxfId="1072" totalsRowDxfId="1071" dataCellStyle="Comma" totalsRowCellStyle="Comma"/>
    <tableColumn id="10" xr3:uid="{BAAD5B0C-CB4B-45DA-AE98-00CAE9531AE8}" name="Tháng 8" totalsRowFunction="sum" dataDxfId="1070" totalsRowDxfId="1069" dataCellStyle="Comma" totalsRowCellStyle="Comma"/>
    <tableColumn id="11" xr3:uid="{2CC29A1B-324D-4088-9B12-94448C63CAEB}" name="Tháng 9" totalsRowFunction="sum" dataDxfId="1068" totalsRowDxfId="1067" dataCellStyle="Comma" totalsRowCellStyle="Comma"/>
    <tableColumn id="12" xr3:uid="{4E1DF616-5058-468F-854F-B28D9C44F5B6}" name="Tháng 10" totalsRowFunction="sum" dataDxfId="1066" totalsRowDxfId="1065" dataCellStyle="Comma" totalsRowCellStyle="Comma"/>
    <tableColumn id="13" xr3:uid="{FE68F131-2E0A-42F1-8CFC-51446D0DE1F2}" name="Tháng 11" totalsRowFunction="sum" dataDxfId="1064" totalsRowDxfId="1063" dataCellStyle="Comma" totalsRowCellStyle="Comma"/>
    <tableColumn id="14" xr3:uid="{02CB477F-9BCC-4707-96DA-B333C50B5189}" name="Tháng 12" totalsRowFunction="sum" dataDxfId="1062" totalsRowDxfId="1061" dataCellStyle="Comma" totalsRowCellStyle="Comma"/>
    <tableColumn id="15" xr3:uid="{5ECADABE-5DDF-469F-BFB4-7F3205555EBA}" name="Add" dataDxfId="1060" totalsRowDxfId="1059"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4:P186" totalsRowCount="1" headerRowDxfId="1058" dataDxfId="1056" totalsRowDxfId="1054" headerRowBorderDxfId="1057" tableBorderDxfId="1055" headerRowCellStyle="Comma" dataCellStyle="Comma" totalsRowCellStyle="Comma">
  <autoFilter ref="B184:P185" xr:uid="{84A24C82-9F7E-4739-84DB-BDB117A867BD}"/>
  <tableColumns count="15">
    <tableColumn id="1" xr3:uid="{C7090383-FD23-475A-9482-F0E936D13205}" name="Dòng tiền thu hồi từ đầu tư tài chính" totalsRowLabel="   Total   " dataDxfId="1053" totalsRowDxfId="1052" dataCellStyle="Comma"/>
    <tableColumn id="2" xr3:uid="{CEFDBDE7-9DB8-4CC2-816D-98D5C21CA755}" name="Column1" totalsRowFunction="sum" dataDxfId="1051" totalsRowDxfId="1050" dataCellStyle="Comma" totalsRowCellStyle="Comma"/>
    <tableColumn id="3" xr3:uid="{7C515523-07A3-4E4C-990C-5EC8505C6207}" name="Tháng 1" totalsRowFunction="sum" dataDxfId="1049" totalsRowDxfId="1048"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7" totalsRowDxfId="1046"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45" totalsRowDxfId="1044"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43" totalsRowDxfId="1042"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41" totalsRowDxfId="1040"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9" totalsRowDxfId="1038"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7" totalsRowDxfId="1036"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35" totalsRowDxfId="1034"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33" totalsRowDxfId="1032"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31" totalsRowDxfId="1030"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9" totalsRowDxfId="1028"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7" totalsRowDxfId="1026"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25" totalsRowDxfId="1024"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9:P191" totalsRowCount="1" headerRowDxfId="1023" dataDxfId="1021" totalsRowDxfId="1019" headerRowBorderDxfId="1022" tableBorderDxfId="1020" headerRowCellStyle="Comma" dataCellStyle="Comma" totalsRowCellStyle="Comma">
  <autoFilter ref="B189:P190" xr:uid="{1E4EF85A-6F69-4A26-8060-A0A991E9D6CC}"/>
  <tableColumns count="15">
    <tableColumn id="1" xr3:uid="{11253BC2-803C-444B-922F-A7B3738F272C}" name="Dòng tiền huy động vốn vay" totalsRowLabel="    Total    " dataDxfId="1018" totalsRowDxfId="1017" dataCellStyle="Comma"/>
    <tableColumn id="2" xr3:uid="{8CB821AA-2E57-456A-AFC8-F7DDCCA34AC5}" name="Column1" totalsRowFunction="sum" dataDxfId="1016" totalsRowDxfId="1015" dataCellStyle="Comma" totalsRowCellStyle="Comma"/>
    <tableColumn id="3" xr3:uid="{09E24272-E397-4AF4-9AD7-5C98C26065BD}" name="Tháng 1" totalsRowFunction="sum" dataDxfId="1014" totalsRowDxfId="1013" dataCellStyle="Comma" totalsRowCellStyle="Comma"/>
    <tableColumn id="4" xr3:uid="{C6224BD4-A19F-4785-BA4F-787BB17B97E7}" name="Tháng 2" totalsRowFunction="sum" dataDxfId="1012" totalsRowDxfId="1011" dataCellStyle="Comma" totalsRowCellStyle="Comma"/>
    <tableColumn id="5" xr3:uid="{C2AD3AC1-5E4C-44B2-8729-621B9DCBB14E}" name="Tháng 3" totalsRowFunction="sum" dataDxfId="1010" totalsRowDxfId="1009" dataCellStyle="Comma" totalsRowCellStyle="Comma"/>
    <tableColumn id="6" xr3:uid="{ABA179EF-4E32-4FC8-BF4B-F179F244ECF4}" name="Tháng 4" totalsRowFunction="sum" dataDxfId="1008" totalsRowDxfId="1007" dataCellStyle="Comma" totalsRowCellStyle="Comma"/>
    <tableColumn id="7" xr3:uid="{EB80581B-6F8D-4E5E-8BCC-45DC652686D4}" name="Tháng 5" totalsRowFunction="sum" dataDxfId="1006" totalsRowDxfId="1005" dataCellStyle="Comma" totalsRowCellStyle="Comma"/>
    <tableColumn id="8" xr3:uid="{76878FB7-AF80-4E1C-A799-93037B9E41CA}" name="Tháng 6" totalsRowFunction="sum" dataDxfId="1004" totalsRowDxfId="1003" dataCellStyle="Comma" totalsRowCellStyle="Comma"/>
    <tableColumn id="9" xr3:uid="{22C171CC-F8CF-4784-AB1C-C0D94F2DB149}" name="Tháng 7" totalsRowFunction="sum" dataDxfId="1002" totalsRowDxfId="1001" dataCellStyle="Comma" totalsRowCellStyle="Comma"/>
    <tableColumn id="10" xr3:uid="{AEDD0847-93D7-4000-89EB-623D8D637F3C}" name="Tháng 8" totalsRowFunction="sum" dataDxfId="1000" totalsRowDxfId="999" dataCellStyle="Comma" totalsRowCellStyle="Comma"/>
    <tableColumn id="11" xr3:uid="{EFDF075F-7E46-4BD5-84BB-B71EA9EDB8E5}" name="Tháng 9" totalsRowFunction="sum" dataDxfId="998" totalsRowDxfId="997" dataCellStyle="Comma" totalsRowCellStyle="Comma"/>
    <tableColumn id="12" xr3:uid="{3AB540CD-0B32-4404-A892-1DF3CF4F89B3}" name="Tháng 10" totalsRowFunction="sum" dataDxfId="996" totalsRowDxfId="995" dataCellStyle="Comma" totalsRowCellStyle="Comma"/>
    <tableColumn id="13" xr3:uid="{D1332407-7F53-4A39-85B4-B3F14CC8F656}" name="Tháng 11" totalsRowFunction="sum" dataDxfId="994" totalsRowDxfId="993" dataCellStyle="Comma" totalsRowCellStyle="Comma"/>
    <tableColumn id="14" xr3:uid="{27BDE574-689F-4D3A-AF8A-70ABDC9798C2}" name="Tháng 12" totalsRowFunction="sum" dataDxfId="992" totalsRowDxfId="991" dataCellStyle="Comma" totalsRowCellStyle="Comma"/>
    <tableColumn id="15" xr3:uid="{085514C4-5822-4FE8-A2D4-FEC37C1777F5}" name="Add" dataDxfId="990" totalsRowDxfId="989"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4:P196" totalsRowCount="1" headerRowDxfId="988" dataDxfId="986" totalsRowDxfId="984" headerRowBorderDxfId="987" tableBorderDxfId="985" headerRowCellStyle="Comma" dataCellStyle="Comma" totalsRowCellStyle="Comma">
  <autoFilter ref="B194:P195" xr:uid="{41A43669-4E8E-45D3-9748-3A619F74015C}"/>
  <tableColumns count="15">
    <tableColumn id="1" xr3:uid="{139F00D9-97E8-4BAB-9580-B633FDDD1E49}" name="Dòng tiền huy động vốn góp" totalsRowLabel="     Total     " dataDxfId="983" totalsRowDxfId="982" dataCellStyle="Comma"/>
    <tableColumn id="2" xr3:uid="{1B2B24CF-5CCF-43DC-B5F2-8C9782605628}" name="Column1" totalsRowFunction="sum" dataDxfId="981" totalsRowDxfId="980" dataCellStyle="Comma" totalsRowCellStyle="Comma"/>
    <tableColumn id="3" xr3:uid="{1222BB6C-C294-40BE-8480-CEE37E968787}" name="Tháng 1" totalsRowFunction="sum" dataDxfId="979" totalsRowDxfId="978" dataCellStyle="Comma" totalsRowCellStyle="Comma"/>
    <tableColumn id="4" xr3:uid="{E8469CCE-067A-4323-949F-A005F90923B8}" name="Tháng 2" totalsRowFunction="sum" dataDxfId="977" totalsRowDxfId="976" dataCellStyle="Comma" totalsRowCellStyle="Comma"/>
    <tableColumn id="5" xr3:uid="{0EEFEF49-A17D-4F17-A6F0-A7088834F4BA}" name="Tháng 3" totalsRowFunction="sum" dataDxfId="975" totalsRowDxfId="974" dataCellStyle="Comma" totalsRowCellStyle="Comma"/>
    <tableColumn id="6" xr3:uid="{77458E7B-2227-41D5-835C-7043D5ACBEBB}" name="Tháng 4" totalsRowFunction="sum" dataDxfId="973" totalsRowDxfId="972" dataCellStyle="Comma" totalsRowCellStyle="Comma"/>
    <tableColumn id="7" xr3:uid="{405F399C-F1E8-4E6A-B533-C1592B1FB994}" name="Tháng 5" totalsRowFunction="sum" dataDxfId="971" totalsRowDxfId="970" dataCellStyle="Comma" totalsRowCellStyle="Comma"/>
    <tableColumn id="8" xr3:uid="{96940340-C61C-4FB3-8F89-A237A1B65B92}" name="Tháng 6" totalsRowFunction="sum" dataDxfId="969" totalsRowDxfId="968" dataCellStyle="Comma" totalsRowCellStyle="Comma"/>
    <tableColumn id="9" xr3:uid="{4AE55D5F-8945-4F95-910F-CBEA7120D8D6}" name="Tháng 7" totalsRowFunction="sum" dataDxfId="967" totalsRowDxfId="966" dataCellStyle="Comma" totalsRowCellStyle="Comma"/>
    <tableColumn id="10" xr3:uid="{4DAA2BAD-5B47-4A15-B52A-956CF3A3BC52}" name="Tháng 8" totalsRowFunction="sum" dataDxfId="965" totalsRowDxfId="964" dataCellStyle="Comma" totalsRowCellStyle="Comma"/>
    <tableColumn id="11" xr3:uid="{4C13CABA-AAE3-4890-966F-93A51F892B26}" name="Tháng 9" totalsRowFunction="sum" dataDxfId="963" totalsRowDxfId="962" dataCellStyle="Comma" totalsRowCellStyle="Comma"/>
    <tableColumn id="12" xr3:uid="{513DF229-DD74-4B4F-9D1A-7D527DDE5EC0}" name="Tháng 10" totalsRowFunction="sum" dataDxfId="961" totalsRowDxfId="960" dataCellStyle="Comma" totalsRowCellStyle="Comma"/>
    <tableColumn id="13" xr3:uid="{F6103B17-7D4C-4025-81D0-9435B52E4CF9}" name="Tháng 11" totalsRowFunction="sum" dataDxfId="959" totalsRowDxfId="958" dataCellStyle="Comma" totalsRowCellStyle="Comma"/>
    <tableColumn id="14" xr3:uid="{88839EEE-D2B7-42B9-B0FB-C13A6E408F17}" name="Tháng 12" totalsRowFunction="sum" dataDxfId="957" totalsRowDxfId="956" dataCellStyle="Comma" totalsRowCellStyle="Comma"/>
    <tableColumn id="15" xr3:uid="{D039174F-D925-4273-A95D-33FFA7567785}" name="Add" dataDxfId="955" totalsRowDxfId="954"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6" totalsRowShown="0" headerRowDxfId="950" dataDxfId="949">
  <autoFilter ref="B3:P56" xr:uid="{C0143071-339A-48CD-A490-A851FAF2712D}"/>
  <tableColumns count="15">
    <tableColumn id="1" xr3:uid="{DF4C9779-7683-486B-B98C-5697DC43931D}" name="Gtri" dataDxfId="948"/>
    <tableColumn id="4" xr3:uid="{001B0236-26E8-497E-AB55-F8CE3CB6070C}" name="Năm / Đầu năm" dataDxfId="947"/>
    <tableColumn id="2" xr3:uid="{65AEA264-1FDA-48EB-A06F-79E365F8ED55}" name="Tháng 1" dataDxfId="946"/>
    <tableColumn id="3" xr3:uid="{690B5C42-F889-47C2-A394-8413364DEC47}" name="Tháng 2" dataDxfId="945"/>
    <tableColumn id="5" xr3:uid="{71422BDD-D8F9-4CE5-B6B2-03A81C0AB67E}" name="Tháng 3" dataDxfId="944"/>
    <tableColumn id="6" xr3:uid="{5E05F71F-519A-4797-8A4A-68DBD0482622}" name="Tháng 4" dataDxfId="943"/>
    <tableColumn id="7" xr3:uid="{FC76974D-1C96-4895-95E7-828D08EF89B1}" name="Tháng 5" dataDxfId="942"/>
    <tableColumn id="8" xr3:uid="{7B4F54B0-9D91-4C8E-8BCD-90F130CC5258}" name="Tháng 6" dataDxfId="941"/>
    <tableColumn id="9" xr3:uid="{ACF24D8F-5415-4A73-B9FA-8E0FB79C9F3A}" name="Tháng 7" dataDxfId="940"/>
    <tableColumn id="10" xr3:uid="{DFB50755-A898-43AB-931F-E231A2250AD8}" name="Tháng 8" dataDxfId="939"/>
    <tableColumn id="11" xr3:uid="{2BC8D648-592D-4D7A-A745-F7D0D68FAC1F}" name="Tháng 9" dataDxfId="938"/>
    <tableColumn id="12" xr3:uid="{C1E9546B-C094-46C8-9E84-C3457F724243}" name="Tháng 10" dataDxfId="937"/>
    <tableColumn id="13" xr3:uid="{0013CBEC-D74E-4D55-B10D-4546C0695E28}" name="Tháng 11" dataDxfId="936"/>
    <tableColumn id="14" xr3:uid="{E58E8A29-CC2D-452E-BAAD-72B22CDBFFA1}" name="Tháng 12" dataDxfId="935"/>
    <tableColumn id="15" xr3:uid="{E4B75C35-EBB1-45CB-BAF4-0DC0327E617A}" name="Thêm" dataDxfId="934"/>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6" totalsRowShown="0" headerRowDxfId="933" dataDxfId="932">
  <autoFilter ref="R3:S56" xr:uid="{4033F4AE-F76A-434F-A095-873E3D10BAFF}"/>
  <tableColumns count="2">
    <tableColumn id="1" xr3:uid="{D95CFDE2-9C59-48C2-B9D7-6DB4827F56D8}" name="Gtri" dataDxfId="931"/>
    <tableColumn id="15" xr3:uid="{E8806F52-A9C9-4358-A5AE-69E247A0D097}" name="Add" dataDxfId="930">
      <calculatedColumnFormula>INDEX($B$2:$P$56,MATCH(Table_BaoCaoQuanTri_Nam[[#This Row],[Gtri]],$B$2:$B$56,0),MATCH($S$1,$B$2:$P$2,0))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6" totalsRowShown="0" headerRowDxfId="929" dataDxfId="928">
  <autoFilter ref="U3:V56" xr:uid="{0ABFD336-6D7B-4C18-89EB-5F2AB490AF2B}"/>
  <tableColumns count="2">
    <tableColumn id="1" xr3:uid="{A08BE357-095F-44AF-93CE-B5A20A0B7914}" name="Gtri" dataDxfId="927"/>
    <tableColumn id="15" xr3:uid="{B4B0CC08-88FB-4BC6-A5E7-D2273CFF53ED}" name="Add" dataDxfId="926">
      <calculatedColumnFormula>INDEX($B$2:$P$56,MATCH(Table_BaoCaoQuanTri_Thang[[#This Row],[Gtri]],$B$2:$B$56,0),MATCH($V$1,$B$2:$P$2,0))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70" totalsRowShown="0" headerRowDxfId="924" dataDxfId="923">
  <autoFilter ref="B3:F170" xr:uid="{BCF922F8-232A-4346-874D-056C89B5CDBD}"/>
  <tableColumns count="5">
    <tableColumn id="2" xr3:uid="{A1A35B50-DB47-4F40-AECC-91753CFB1D8C}" name="Code" dataDxfId="922"/>
    <tableColumn id="1" xr3:uid="{1BE2295A-9C65-4460-B238-7B8D0920CFE2}" name="Gtri" dataDxfId="921"/>
    <tableColumn id="5" xr3:uid="{39FE1FDD-460F-4F3E-9584-91C8C448D18B}" name="Đầu kỳ" dataDxfId="920"/>
    <tableColumn id="3" xr3:uid="{3F62B03F-B592-42B6-A6D5-0D2D0EDFD493}" name="Năm / Đầu kỳ" dataDxfId="919"/>
    <tableColumn id="4" xr3:uid="{83CBA81E-27C2-402F-BF35-52C0A2ECC2D6}" name="Tháng / Cuối kỳ" dataDxfId="918"/>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70" totalsRowShown="0" headerRowDxfId="917" dataDxfId="916">
  <autoFilter ref="H3:K170" xr:uid="{4A8E04D0-8A9C-45D5-B534-7D81FE1B2481}"/>
  <tableColumns count="4">
    <tableColumn id="2" xr3:uid="{018F9535-ADC0-4DB7-9DD5-C3DA56177B97}" name="Code" dataDxfId="915"/>
    <tableColumn id="1" xr3:uid="{D484DA8D-5931-4608-A960-BD7786D3605C}" name="Gtri" dataDxfId="914"/>
    <tableColumn id="3" xr3:uid="{06DE52A7-4A79-4A8F-AD26-1825B43C59F4}" name="Năm đầu" dataDxfId="913" dataCellStyle="Percent"/>
    <tableColumn id="4" xr3:uid="{414AE415-B87A-404C-BF34-0A23A079DB98}" name="Add" dataDxfId="912">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70" totalsRowShown="0" headerRowDxfId="911" dataDxfId="910">
  <autoFilter ref="M3:P170" xr:uid="{E6260BD5-4943-40D8-881C-33F7E49DA75B}"/>
  <tableColumns count="4">
    <tableColumn id="2" xr3:uid="{284E2913-84A8-416A-AB3C-4C7B54653B33}" name="Code" dataDxfId="909"/>
    <tableColumn id="1" xr3:uid="{2910C0CD-E9ED-4C8D-8957-B10873FCA9E0}" name="Gtri" dataDxfId="908"/>
    <tableColumn id="3" xr3:uid="{2C522951-11DF-4D76-82A0-82E2BE204C87}" name="Tháng đầu" dataDxfId="907" dataCellStyle="Percent"/>
    <tableColumn id="4" xr3:uid="{67F80F2E-2D99-4197-91AB-01983605F037}" name="Add" dataDxfId="906">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901" dataDxfId="900">
  <autoFilter ref="U22:X23" xr:uid="{816E18EB-DD5B-4530-8FB2-641A17DF6321}"/>
  <tableColumns count="4">
    <tableColumn id="1" xr3:uid="{6665C849-493D-497D-BB00-131408145B34}" name="Ngày lên đơn" dataDxfId="899"/>
    <tableColumn id="2" xr3:uid="{417CEACE-3018-4C1D-AB51-9B2FB2C2DAC3}" name="Giá trị nợ" dataDxfId="898" dataCellStyle="Comma">
      <calculatedColumnFormula array="1"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calculatedColumnFormula>
    </tableColumn>
    <tableColumn id="3" xr3:uid="{7AE36EE8-E8C4-4713-A391-0E09E8C1F55C}" name="Tuổi nợ" dataDxfId="897" dataCellStyle="Comma">
      <calculatedColumnFormula>IF(Table_PhaiThu_TuoiNoKH[[#This Row],[Giá trị nợ]] =0, 0, NoXau_NgayTheoDoi-Table_PhaiThu_TuoiNoKH[[#This Row],[Ngày lên đơn]])</calculatedColumnFormula>
    </tableColumn>
    <tableColumn id="4" xr3:uid="{5C272BD0-06B4-441B-8B16-4582ED1537D3}" name="Add" dataDxfId="896"/>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95" dataDxfId="894">
  <autoFilter ref="M22:Q23" xr:uid="{7A27FC43-910A-457B-805C-D46DCCD5E66C}"/>
  <tableColumns count="5">
    <tableColumn id="6" xr3:uid="{0EE4CA27-15CF-4AE5-9AFD-0DBACDB7AC4D}" name="Tuổi nợ min" dataDxfId="893" dataCellStyle="Comma"/>
    <tableColumn id="1" xr3:uid="{5EBDDF4C-7F69-4DEA-92AA-912BB746F731}" name="Tuổi nợ max" dataDxfId="892" dataCellStyle="Comma"/>
    <tableColumn id="2" xr3:uid="{28C4EA9F-A79D-442E-A06D-4A07A80FFC40}" name="Tỷ lệ dự phòng" dataDxfId="891" dataCellStyle="Percent"/>
    <tableColumn id="3" xr3:uid="{21C05676-D8D6-4426-91D8-FCF3582641C4}" name="Giá trị dự phòng" dataDxfId="890"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9"/>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88" dataDxfId="887">
  <autoFilter ref="AG22:AL28" xr:uid="{F34E1FD4-2D19-4D23-B4A7-1AA3B8DAD6B1}"/>
  <tableColumns count="6">
    <tableColumn id="1" xr3:uid="{7037269D-0955-488E-AB4D-E864778EA0EF}" name="Kỳ" dataDxfId="886">
      <calculatedColumnFormula>IFERROR(
IF(ISBLANK(Table_DuPhong[[#This Row],[Tháng]]),
DATE(Table_DuPhong[[#This Row],[Năm]],12,1),
DATE(Table_DuPhong[[#This Row],[Năm]],Table_DuPhong[[#This Row],[Tháng]],1)),0)</calculatedColumnFormula>
    </tableColumn>
    <tableColumn id="8" xr3:uid="{0FB441F7-BC43-4903-A829-33BA43736A2E}" name="Năm" dataDxfId="885"/>
    <tableColumn id="7" xr3:uid="{04E52C42-4304-461D-BACD-99F768E3B4D2}" name="Tháng" dataDxfId="884"/>
    <tableColumn id="2" xr3:uid="{4D0A059D-BE97-475F-969C-DF6CEB206B2D}" name="Mã đối tác" dataDxfId="883"/>
    <tableColumn id="3" xr3:uid="{464D14DA-2C8B-4736-B46F-63E7EAFD2FA0}" name="Dự phòng lũy kế" dataDxfId="882" dataCellStyle="Comma"/>
    <tableColumn id="4" xr3:uid="{0EEF9F15-57BF-4AC3-8869-6E69E24C3520}" name="Add" dataDxfId="881"/>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80" dataDxfId="879">
  <autoFilter ref="AB22:AE23" xr:uid="{6AE860EF-9B6B-4E31-A045-5AEAAE5ACE87}"/>
  <tableColumns count="4">
    <tableColumn id="1" xr3:uid="{8498CEDF-05BB-4CFA-908A-0AC4EF92CDFE}" name="Ngày thanh toán" dataDxfId="878"/>
    <tableColumn id="2" xr3:uid="{E5AF40C1-CCF7-4911-BA9D-DFE882B7A6D4}" name="Giá trị nợ" dataDxfId="877"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76"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75"/>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72" dataDxfId="871">
  <autoFilter ref="C23:H26" xr:uid="{E6260BD5-4943-40D8-881C-33F7E49DA75B}"/>
  <tableColumns count="6">
    <tableColumn id="2" xr3:uid="{275F30D4-F07E-452A-9E6B-C838301D871F}" name="Đối tác" dataDxfId="870"/>
    <tableColumn id="1" xr3:uid="{F4F0303E-DEDD-4D3F-982F-6F2FE19DDB1D}" name="Dư đầu kỳ" dataDxfId="869" dataCellStyle="Comma"/>
    <tableColumn id="3" xr3:uid="{6328C6BD-75ED-4081-94E9-F09738494942}" name="03-2025" dataDxfId="868"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67"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66"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65"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61" dataDxfId="860">
  <autoFilter ref="B27:H30" xr:uid="{E6260BD5-4943-40D8-881C-33F7E49DA75B}"/>
  <tableColumns count="7">
    <tableColumn id="30" xr3:uid="{BA2D4C76-CA0F-4869-9A62-DC14CDEF420F}" name="Nhóm đối tác" dataDxfId="859"/>
    <tableColumn id="2" xr3:uid="{78EF47C2-46B0-40DE-9ADA-C3D3AA9A9C12}" name="Đối tác" dataDxfId="858" dataCellStyle="Comma"/>
    <tableColumn id="1" xr3:uid="{2B1D3624-701D-49A3-B369-2F23DA73BB73}" name="Dư đầu kỳ" dataDxfId="857" dataCellStyle="Comma"/>
    <tableColumn id="3" xr3:uid="{E43A4A10-5077-4F2B-8F36-351808E97105}" name="03-2025" dataDxfId="856"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55"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54"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53"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50" dataDxfId="849">
  <autoFilter ref="F23:Q26" xr:uid="{41302B2E-E512-424D-BCE6-0E1D488E9735}"/>
  <tableColumns count="12">
    <tableColumn id="1" xr3:uid="{F59CB08C-5328-43EF-A2C6-5040207B19D1}" name="Mã hàng" dataDxfId="848"/>
    <tableColumn id="7" xr3:uid="{8DD841B9-0227-476F-9C70-64D13EAECD70}" name="Tồn tối thiểu" dataDxfId="847" dataCellStyle="Comma">
      <calculatedColumnFormula>Table_DiemDatHang[[#This Row],[Tiêu thụ / ngày]]*(1+Table_DiemDatHang[[#This Row],[Tăng trưởng tiêu thụ]])*NgayLuuKho_Min</calculatedColumnFormula>
    </tableColumn>
    <tableColumn id="9" xr3:uid="{85EAFD39-40B5-4921-A48B-58722366EEE3}" name="Tồn tối đa" dataDxfId="846" dataCellStyle="Comma">
      <calculatedColumnFormula>Table_DiemDatHang[[#This Row],[Tiêu thụ / ngày]]*(1+Table_DiemDatHang[[#This Row],[Tăng trưởng tiêu thụ]])*NgayLuuKho_Max</calculatedColumnFormula>
    </tableColumn>
    <tableColumn id="2" xr3:uid="{A6F0E9AD-D7D3-4CB4-893A-CEDB0F6554DF}" name="Tồn đầu ngày" dataDxfId="845"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44"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43" dataCellStyle="Percent"/>
    <tableColumn id="5" xr3:uid="{6EB410F5-2A26-47F7-8343-417C2322AD8A}" name="Ngày tồn kho" dataDxfId="842" dataCellStyle="Comma">
      <calculatedColumnFormula xml:space="preserve">
IFERROR(
ROUNDUP(I24/(J24*(1+K24)),0),0)</calculatedColumnFormula>
    </tableColumn>
    <tableColumn id="6" xr3:uid="{8696BBB3-62B4-475B-AE47-68ED60378C95}" name="Ngày giao / sản xuất" dataDxfId="841"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40">
      <calculatedColumnFormula>DatHang_NgayTheoDoi+L24-M24-NgayLuuKho_Min</calculatedColumnFormula>
    </tableColumn>
    <tableColumn id="11" xr3:uid="{D57B6699-100A-4922-9CAE-78E9714A49FC}" name="SL cần đặt" dataDxfId="839"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38"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3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807" dataDxfId="806">
  <autoFilter ref="AP21:AV24" xr:uid="{2308743C-B8BB-4E3D-9258-E86DB16343BA}"/>
  <tableColumns count="7">
    <tableColumn id="3" xr3:uid="{E248A5C9-13F8-44F2-9D11-11A8E16781D1}" name="Kỳ" dataDxfId="805">
      <calculatedColumnFormula>IFERROR(DATE(Table_HieuQuaSX[[#This Row],[Năm]],Table_HieuQuaSX[[#This Row],[Tháng]],1),0)</calculatedColumnFormula>
    </tableColumn>
    <tableColumn id="1" xr3:uid="{859B4E31-3F18-4E23-BBE8-2A42AF6D43DC}" name="Năm" dataDxfId="804"/>
    <tableColumn id="2" xr3:uid="{C4B7F1AC-25FF-4D27-AF90-2F33C5F3CCAD}" name="Tháng" dataDxfId="803"/>
    <tableColumn id="4" xr3:uid="{0C124BC5-96B7-41A1-8833-30554276E502}" name="Giá vốn mục tiêu" dataDxfId="802" dataCellStyle="Comma"/>
    <tableColumn id="5" xr3:uid="{03CDDCA1-4C20-43D5-992C-F0F60DC9373B}" name="Giá vốn thực tế" dataDxfId="801"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calculatedColumnFormula>
    </tableColumn>
    <tableColumn id="6" xr3:uid="{2A8BBE22-2F1B-4EAC-B681-BB12D2E2A9B3}" name="Hiệu quả" dataDxfId="800" dataCellStyle="Percent">
      <calculatedColumnFormula>1-(Table_HieuQuaSX[[#This Row],[Giá vốn thực tế]]/Table_HieuQuaSX[[#This Row],[Giá vốn mục tiêu]])</calculatedColumnFormula>
    </tableColumn>
    <tableColumn id="7" xr3:uid="{53DCF830-F199-44E4-BAA1-FFEF270EA53D}" name="Add" dataDxfId="799"/>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98" dataDxfId="797">
  <autoFilter ref="AG21:AN25" xr:uid="{2CB9985B-580F-4533-8553-105C1F83175C}"/>
  <tableColumns count="8">
    <tableColumn id="1" xr3:uid="{2AC39E01-0898-4986-A633-EB40316BE2AF}" name="Nguyên liệu" dataDxfId="796"/>
    <tableColumn id="13" xr3:uid="{9910BF70-4DB1-4086-981D-5AB13EF1F52C}" name="Tiện ích sản xuất" dataDxfId="795"/>
    <tableColumn id="11" xr3:uid="{F30C72E6-2854-4319-A09B-68CBE4DDE414}" name="Đơn vị" dataDxfId="794">
      <calculatedColumnFormula>IFERROR(VLOOKUP(Table_HieuQuaSX_KHTieuThu[[#This Row],[Nguyên liệu]],Table_NguyenLieu[[Mã Nguyên liệu]:[Đơn vị]],Sheet_NguyenLieu!$F$1,0),0)</calculatedColumnFormula>
    </tableColumn>
    <tableColumn id="6" xr3:uid="{C03BFF9B-EE62-4A6A-8850-16FC59C96C3E}" name="Đơn giá" dataDxfId="793"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92"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91"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90" dataCellStyle="Comma">
      <calculatedColumnFormula>Table_HieuQuaSX_KHTieuThu[[#This Row],[Số lượng cần đặt]]*Table_HieuQuaSX_KHTieuThu[[#This Row],[Đơn giá]]</calculatedColumnFormula>
    </tableColumn>
    <tableColumn id="4" xr3:uid="{486BE4A2-0D73-4F0E-BBAB-F35FE74826DA}" name="Add" dataDxfId="789"/>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88" dataDxfId="787">
  <autoFilter ref="R21:AE27" xr:uid="{E2B89D3B-48CA-4CE8-A8B9-44C82BC42579}"/>
  <tableColumns count="14">
    <tableColumn id="14" xr3:uid="{2BE1E6BF-9521-43CB-A9C8-20DEF9B19E09}" name="SKU" dataDxfId="786" dataCellStyle="Comma"/>
    <tableColumn id="15" xr3:uid="{D336907F-FD0C-40A6-AEC4-64703C405B5C}" name="Đơn vị SKU" dataDxfId="785"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84" dataCellStyle="Comma"/>
    <tableColumn id="1" xr3:uid="{DBB8C871-CA1D-4B5F-822B-137896894C81}" name="Nguyên liệu" dataDxfId="783"/>
    <tableColumn id="13" xr3:uid="{8E08A0A8-5379-4B24-BB29-632FA5EEA474}" name="Tiện ích sản xuất" dataDxfId="782"/>
    <tableColumn id="2" xr3:uid="{5BEB72BC-83F1-4CD1-A81D-AB90EEBA3DEC}" name="Đầu vào" dataDxfId="781">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80">
      <calculatedColumnFormula>IFERROR(VLOOKUP(Table_HieuQuaSX_DinhMuc[[#This Row],[Nguyên liệu]],Table_NguyenLieu[[Mã Nguyên liệu]:[Đơn vị]],Sheet_NguyenLieu!$F$1,0),0)</calculatedColumnFormula>
    </tableColumn>
    <tableColumn id="3" xr3:uid="{18E190CD-C7BB-4A38-AC85-E6E3C74D1019}" name="Định mức" dataDxfId="779" dataCellStyle="Comma"/>
    <tableColumn id="7" xr3:uid="{A64953C4-7213-447C-B77A-05048D52D936}" name="Hao hụt" dataDxfId="778" dataCellStyle="Percent"/>
    <tableColumn id="5" xr3:uid="{541D0A47-BA27-4827-AD18-65CEA35851AA}" name="Số lượng tiêu thụ" dataDxfId="777"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76"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75" dataCellStyle="Comma">
      <calculatedColumnFormula>Table_HieuQuaSX_DinhMuc[[#This Row],[Đơn giá]]*Table_HieuQuaSX_DinhMuc[[#This Row],[Số lượng tiêu thụ]]</calculatedColumnFormula>
    </tableColumn>
    <tableColumn id="10" xr3:uid="{0D15E8B2-E0F0-42F3-8809-FCA7C3B33CC5}" name="Giá vốn bình quân" dataDxfId="774" dataCellStyle="Comma">
      <calculatedColumnFormula>Table_HieuQuaSX_DinhMuc[[#This Row],[Giá trị tiêu thụ]]/Table_HieuQuaSX_DinhMuc[[#This Row],[Sản lượng kế hoạch]]</calculatedColumnFormula>
    </tableColumn>
    <tableColumn id="4" xr3:uid="{F1B938A7-A9E3-4831-ABAF-92F02F4B25BA}" name="Add" dataDxfId="773"/>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43" dataDxfId="742">
  <autoFilter ref="AH9:AP13" xr:uid="{221693EC-C290-40DB-A5B6-97CFC8B84CF1}"/>
  <tableColumns count="9">
    <tableColumn id="1" xr3:uid="{39596401-F3EE-44DD-9F93-88D8FBF11AE6}" name="SKU" dataDxfId="741"/>
    <tableColumn id="2" xr3:uid="{08A96AA3-9424-424E-8E5A-6C2FBD23F84F}" name="Nguyên liệu" dataDxfId="740"/>
    <tableColumn id="3" xr3:uid="{80A74394-04C5-496D-BBCE-D081AD6746BB}" name="Đối tượng" dataDxfId="739">
      <calculatedColumnFormula>IF(ISBLANK(Table_NguonHang[[#This Row],[SKU]]),Table_NguonHang[[#This Row],[Nguyên liệu]],Table_NguonHang[[#This Row],[SKU]])</calculatedColumnFormula>
    </tableColumn>
    <tableColumn id="4" xr3:uid="{D93A7B29-7074-4B67-8110-B7D139B24D37}" name="Nhà cung cấp" dataDxfId="738"/>
    <tableColumn id="5" xr3:uid="{F9C6EB4F-FDEF-4323-AF8B-16C502A21F73}" name="Giá trung bình" dataDxfId="737"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36"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35" dataCellStyle="Comma"/>
    <tableColumn id="8" xr3:uid="{07AAE5C6-ABA8-4AAD-B7E9-439B79F9FC8B}" name="Giá trị" dataDxfId="734" dataCellStyle="Comma">
      <calculatedColumnFormula>Table_NguonHang[[#This Row],[Lượng đặt]]*Table_NguonHang[[#This Row],[Giá trung bình]]</calculatedColumnFormula>
    </tableColumn>
    <tableColumn id="9" xr3:uid="{01A3A42B-BEAF-49E6-BC91-99564681CCAE}" name="Add" dataDxfId="733"/>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9" dataDxfId="728">
  <autoFilter ref="M21:Q22" xr:uid="{4CE940BA-FBC4-478A-A5EC-B0AA10F408B4}"/>
  <tableColumns count="5">
    <tableColumn id="1" xr3:uid="{EE31E204-1CA2-48CE-87B1-0A010AF8FA7D}" name="Ngày tồn min" dataDxfId="727" dataCellStyle="Comma"/>
    <tableColumn id="5" xr3:uid="{79A1BFE7-E35A-42B8-84F6-E720BBF328FD}" name="Ngày tồn max" dataDxfId="726" dataCellStyle="Comma"/>
    <tableColumn id="2" xr3:uid="{1F2DF910-0F9C-41EC-BA58-D72770AD58F0}" name="Tỷ lệ dự phòng" dataDxfId="725" totalsRowDxfId="724"/>
    <tableColumn id="4" xr3:uid="{7AADE14C-25F1-4A5C-85EC-95984C62BB87}" name="Giá trị dự phòng" dataDxfId="723"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2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21" dataDxfId="720">
  <autoFilter ref="U21:X22" xr:uid="{F55A8AE4-219A-496F-ADCF-E36D3FB29D4A}"/>
  <tableColumns count="4">
    <tableColumn id="1" xr3:uid="{CBBB4261-387A-4FEE-8E2B-D325524B4494}" name="Ngày nhập" dataDxfId="719"/>
    <tableColumn id="10" xr3:uid="{5EAB9BC7-C5DF-42E4-A540-C723ED7B3495}" name="Giá trị tồn" dataDxfId="718"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17" dataCellStyle="Comma">
      <calculatedColumnFormula>IF(Table_TonKho_TuoiKho[[#This Row],[Giá trị tồn]] = 0,0,
TonKho_NgayTheoDoi -Table_TonKho_TuoiKho[[#This Row],[Ngày nhập]])</calculatedColumnFormula>
    </tableColumn>
    <tableColumn id="2" xr3:uid="{3A59231C-AA89-4256-8BB3-1A785E9D46E7}" name="Add" dataDxfId="716"/>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12" dataDxfId="711">
  <autoFilter ref="AU21:BS36" xr:uid="{5023EBA5-753D-43FE-9F71-91D3FB478261}"/>
  <tableColumns count="25">
    <tableColumn id="2" xr3:uid="{8E5CBC54-8A31-4EF5-A0C3-074000F41621}" name="Kỳ" dataDxfId="710">
      <calculatedColumnFormula>IFERROR(
IF(ISBLANK(AW22),
DATE(AV22,12,1),
DATE(AV22,AW22,1)),0)</calculatedColumnFormula>
    </tableColumn>
    <tableColumn id="1" xr3:uid="{F61A9320-5B75-4010-9773-8E8C089A7753}" name="Năm" dataDxfId="709"/>
    <tableColumn id="19" xr3:uid="{C1F54C3B-79A5-42C9-BA85-70CE48310B4A}" name="Tháng" dataDxfId="708"/>
    <tableColumn id="3" xr3:uid="{6152064A-A7DE-4879-87FC-7DDEA1ED6238}" name="SKU" dataDxfId="707"/>
    <tableColumn id="4" xr3:uid="{587CFBAD-E5B3-49F9-B0D7-F94A8D5566B7}" name="Nguyên liệu" dataDxfId="706"/>
    <tableColumn id="16" xr3:uid="{28BCF377-2E5C-4763-8053-BC6F362C9F57}" name="Chức năng" dataDxfId="705">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704">
      <calculatedColumnFormula>IF(ISBLANK(Table_TonKho[[#This Row],[SKU]]),Table_TonKho[[#This Row],[Nguyên liệu]],Table_TonKho[[#This Row],[SKU]])</calculatedColumnFormula>
    </tableColumn>
    <tableColumn id="21" xr3:uid="{907E3A8A-3948-43C3-8505-3E5A43B517C3}" name="Kho" dataDxfId="703"/>
    <tableColumn id="5" xr3:uid="{AEB31195-8B0D-4F17-9B9C-5045B59C9FFB}" name="SL Đầu kỳ" dataDxfId="702"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701"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700"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9"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98" dataCellStyle="Comma"/>
    <tableColumn id="11" xr3:uid="{C54C790E-E836-41A0-8B9E-814E17353CCE}" name="Chênh lệch" dataDxfId="697" dataCellStyle="Comma">
      <calculatedColumnFormula>Table_TonKho[[#This Row],[KQ kiểm kê]]-Table_TonKho[[#This Row],[SL Cuối kỳ]]</calculatedColumnFormula>
    </tableColumn>
    <tableColumn id="12" xr3:uid="{D248C8E0-953C-40B3-863D-B83F98AE7609}" name="Sản xuất" dataDxfId="696"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95"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94"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93"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92"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91" dataCellStyle="Comma">
      <calculatedColumnFormula>Table_TonKho[[#This Row],[Giá trị cuối kỳ]]-Table_TonKho[[#This Row],[Tồn kho cuối kỳ]]</calculatedColumnFormula>
    </tableColumn>
    <tableColumn id="9" xr3:uid="{AAAAF956-7C36-4185-92F7-6BBF3AA466B6}" name="Giá trị cuối kỳ" dataDxfId="690"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9"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88"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87" dataCellStyle="Comma"/>
    <tableColumn id="17" xr3:uid="{CEDA79FF-A7D1-45F5-B4A8-1E5FC6FAA3B4}" name="Add" dataDxfId="686"/>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83" dataDxfId="682">
  <autoFilter ref="B4:AD5" xr:uid="{294AD96D-0920-41EA-B450-443D36503C0F}"/>
  <tableColumns count="29">
    <tableColumn id="1" xr3:uid="{E9F33EAA-342C-4943-A26C-AE8DFC8ABFAC}" name="STT" dataDxfId="681">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80">
      <calculatedColumnFormula>CONCATENATE(
"CP-",I5,"-",
MOD(E5,100)*100+F5,
"-",B5)</calculatedColumnFormula>
    </tableColumn>
    <tableColumn id="4" xr3:uid="{E21D6851-EFFE-4BD5-A67A-650AEF0F3499}" name="Kỳ" dataDxfId="679">
      <calculatedColumnFormula>IFERROR(
IF(ISBLANK(F5),
DATE(E5,12,1),
DATE(E5,F5,1)),0)</calculatedColumnFormula>
    </tableColumn>
    <tableColumn id="3" xr3:uid="{B7B57384-659E-4D19-BF64-F183B8616345}" name="Năm" dataDxfId="678"/>
    <tableColumn id="10" xr3:uid="{EBBF7EAF-37D3-4CAE-8B21-0F2C1D936CAA}" name="Tháng" dataDxfId="677"/>
    <tableColumn id="25" xr3:uid="{682E1FD0-1227-42AD-B9E8-CE41169B9C33}" name="Phân bổ từ" dataDxfId="676"/>
    <tableColumn id="26" xr3:uid="{FA2C2B50-0419-4CF2-83BB-ECF7732F0BEA}" name="Phân bổ đến" dataDxfId="675"/>
    <tableColumn id="6" xr3:uid="{883A56C4-ABE3-4EA9-B271-FCF4C1EB2798}" name="Nhân viên" dataDxfId="674"/>
    <tableColumn id="30" xr3:uid="{0CA733D2-44FB-44A3-8F2C-8530D5AA32ED}" name="Chức năng" dataDxfId="673">
      <calculatedColumnFormula xml:space="preserve">
IFERROR(
VLOOKUP(I5,Table_NhanVien[],COUNTA(Table_NhanVien[[#Headers],[Mã NV]:[Chức năng]]),0),0)</calculatedColumnFormula>
    </tableColumn>
    <tableColumn id="29" xr3:uid="{7A67EBDD-67E8-4B0C-BE6D-713068461E5A}" name="Phụ thuộc" dataDxfId="672" dataCellStyle="Comma">
      <calculatedColumnFormula xml:space="preserve">
IFERROR(
VLOOKUP(I5,Table_NhanVien[],COUNTA(Table_NhanVien[[#Headers],[Mã NV]:[Người phụ thuộc]]),0),0)</calculatedColumnFormula>
    </tableColumn>
    <tableColumn id="5" xr3:uid="{66C17047-5F6E-4666-AEBB-B34FD6C909B8}" name="Lương hợp đồng" dataDxfId="671" dataCellStyle="Comma">
      <calculatedColumnFormula xml:space="preserve">
IFERROR(
VLOOKUP(I5,Table_NhanVien[],COUNTA(Table_NhanVien[[#Headers],[Mã NV]:[Lương gross]]),0),0)</calculatedColumnFormula>
    </tableColumn>
    <tableColumn id="23" xr3:uid="{5F4EFB16-5BDF-4E82-B0A3-7BDF86E9029B}" name="Ngày nghỉ phép" dataDxfId="670" dataCellStyle="Comma"/>
    <tableColumn id="17" xr3:uid="{5C955F70-195E-4C91-8FFB-AF0A099E25DB}" name="Lương thực tế" dataDxfId="669" dataCellStyle="Comma">
      <calculatedColumnFormula>ChamCong_LuongTT</calculatedColumnFormula>
    </tableColumn>
    <tableColumn id="11" xr3:uid="{0662C0F6-4BCA-4F1B-BD32-D9826F17C148}" name="Hoa hồng" dataDxfId="668"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67"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66" dataCellStyle="Comma"/>
    <tableColumn id="28" xr3:uid="{05E8E7AE-85A8-4FAE-941E-29BB80B34E7B}" name="Chịu thuế phân bổ khác" dataDxfId="665" dataCellStyle="Comma"/>
    <tableColumn id="18" xr3:uid="{B8C8DBEA-F276-4269-A6D5-5EF91FC55932}" name="Chịu thuế chưa phân bổ khác" dataDxfId="664" dataCellStyle="Comma"/>
    <tableColumn id="20" xr3:uid="{6548F218-B73E-4D30-9F6C-CAF8F7FC6FE4}" name="Trợ cấp miễn thuế" dataDxfId="663" dataCellStyle="Comma"/>
    <tableColumn id="27" xr3:uid="{FE6BE8E4-408E-478B-8686-7CFD9B7616A6}" name="Miễn thuế tăng ca" dataDxfId="662" dataCellStyle="Comma">
      <calculatedColumnFormula>ChamCong_MienThueOT</calculatedColumnFormula>
    </tableColumn>
    <tableColumn id="13" xr3:uid="{74C225D2-0889-440E-9F64-0CA711A9BCAE}" name="Thu nhập chịu thuế" dataDxfId="661"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60"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9"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58"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57" dataCellStyle="Comma">
      <calculatedColumnFormula xml:space="preserve">
IF(ISBLANK(F5),0,
IF(N5+O5+P5+Q5+R5+S5+T5-W5&lt;0,0,
N5+O5+P5+Q5+R5+S5+T5-W5))</calculatedColumnFormula>
    </tableColumn>
    <tableColumn id="9" xr3:uid="{BBEECC58-D2D0-4267-A2F0-4240BF383B1E}" name="Tổng chi phí" dataDxfId="656" dataCellStyle="Comma">
      <calculatedColumnFormula xml:space="preserve">
IF(ISBLANK(F5),N5,N5+O5+P5+R5+X5+T5)</calculatedColumnFormula>
    </tableColumn>
    <tableColumn id="8" xr3:uid="{87DA2217-E67B-4F03-9454-D224C4C8F075}" name="Chi phí tính thuế" dataDxfId="655" dataCellStyle="Comma">
      <calculatedColumnFormula>AA5</calculatedColumnFormula>
    </tableColumn>
    <tableColumn id="12" xr3:uid="{6E5262A3-A886-40FD-98DA-0BED7B55A34C}" name="Add" dataDxfId="654"/>
    <tableColumn id="7" xr3:uid="{7F39433B-DC39-4976-A414-56C28A84159C}" name="Còn lại" dataDxfId="653">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51" dataDxfId="650">
  <autoFilter ref="E4:H9" xr:uid="{550F5245-E1EE-48BB-BA97-D53103E2B2FC}"/>
  <tableColumns count="4">
    <tableColumn id="1" xr3:uid="{62F57CB7-BD30-4CE3-AD5A-9EF6C021EAA8}" name="Giá trị" dataDxfId="649"/>
    <tableColumn id="2" xr3:uid="{801C3C2D-2DDD-4915-AC1A-DCD2A6F5566F}" name="BHXH" dataDxfId="648"/>
    <tableColumn id="3" xr3:uid="{59E7F34B-C57D-4E9B-9404-7B7D4142484B}" name="BHYT" dataDxfId="647"/>
    <tableColumn id="4" xr3:uid="{457FBBE8-3A9F-42FF-BDBA-AF1891425452}" name="BHTN" dataDxfId="646"/>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45" dataDxfId="644">
  <autoFilter ref="B4:C8" xr:uid="{B138438F-4B40-44C6-8281-F50AC510196F}"/>
  <tableColumns count="2">
    <tableColumn id="1" xr3:uid="{292AA1A7-C753-482E-94E9-088666BFB0BF}" name="Vùng" dataDxfId="643"/>
    <tableColumn id="2" xr3:uid="{F3B5F18E-1A2D-431F-9B40-2E7779B7ABA8}" name="Lương tối thiểu" dataDxfId="642"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41" dataDxfId="640">
  <autoFilter ref="O4:T11" xr:uid="{078AA6C2-B37A-44C8-9A66-799E81312864}"/>
  <tableColumns count="6">
    <tableColumn id="3" xr3:uid="{F5508474-EC5D-439A-8E93-CDD6AB2B131F}" name="Thuế suất" dataDxfId="639"/>
    <tableColumn id="1" xr3:uid="{CA2D4145-A7E0-4FFF-8284-433A4132CF97}" name="Thu nhập tối thiểu" dataDxfId="638"/>
    <tableColumn id="2" xr3:uid="{A6D996EA-5AE9-433A-91F2-46B352BEEA31}" name="Thu nhập tối đa" dataDxfId="637"/>
    <tableColumn id="4" xr3:uid="{3EFB4C5C-8B20-467E-A5AA-DBFF74729D36}" name="Thuế tối đa" dataDxfId="63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3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34"/>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33" dataDxfId="632">
  <autoFilter ref="J4:M13" xr:uid="{1B309752-0D63-4923-9376-1BD4C4E71FD9}"/>
  <tableColumns count="4">
    <tableColumn id="1" xr3:uid="{76ABAB96-134A-4B93-A7C2-97BD4320930C}" name="Ngày" dataDxfId="631"/>
    <tableColumn id="2" xr3:uid="{91F3741B-8C80-45EB-8295-286C033070FC}" name="Giờ min" dataDxfId="630"/>
    <tableColumn id="3" xr3:uid="{AEE0EA62-A316-445B-862E-FFF5B2C4B89E}" name="Giờ max" dataDxfId="629"/>
    <tableColumn id="4" xr3:uid="{437B4F63-EC96-4774-89E5-C76DD82E5D5A}" name="Tỷ lệ" dataDxfId="628"/>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27" dataDxfId="626">
  <autoFilter ref="V8:AA11" xr:uid="{4D4ED97C-84DF-4E9E-B6CD-EA405CFD15E8}"/>
  <tableColumns count="6">
    <tableColumn id="1" xr3:uid="{06930772-A5E6-4FEA-8CAF-FE3FD3978895}" name="Ca" dataDxfId="625"/>
    <tableColumn id="2" xr3:uid="{753A739A-0E94-45D1-B3C8-EB2EDABEA806}" name="Bắt đầu" dataDxfId="624"/>
    <tableColumn id="3" xr3:uid="{A837C844-A844-4A2E-8FF0-7675770C0856}" name="Kết thúc" dataDxfId="623"/>
    <tableColumn id="4" xr3:uid="{BEB9C2FA-DC05-4867-95F3-10ACCF9B98CC}" name="Bắt đầu nghỉ" dataDxfId="622"/>
    <tableColumn id="5" xr3:uid="{630AB563-C317-4C5E-B4AF-C417FEE7FA7F}" name="Kết thúc nghỉ" dataDxfId="621"/>
    <tableColumn id="6" xr3:uid="{7BBB4EEE-79BC-4D0D-ACCA-6287A8DB0DA4}" name="Add" dataDxfId="620"/>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9" dataDxfId="618">
  <autoFilter ref="BI8:BN9" xr:uid="{C03752B9-6441-44CC-9F83-B8ADA8647E1D}"/>
  <tableColumns count="6">
    <tableColumn id="1" xr3:uid="{0D3E401B-B875-45CB-BEBE-89FD7B825B13}" name="Loại" dataDxfId="617"/>
    <tableColumn id="2" xr3:uid="{8D0AAFE9-FD63-4F86-9B4D-E77AD4DDF4B8}" name="Mã Nhân viên" dataDxfId="616"/>
    <tableColumn id="3" xr3:uid="{F930BECB-6125-493C-922B-048549C0882C}" name="Thời điểm" dataDxfId="615"/>
    <tableColumn id="4" xr3:uid="{36B04F39-A935-4B83-B2DC-05AE3893B680}" name="Ngày" dataDxfId="614">
      <calculatedColumnFormula>INT(Table_ChiPhiNV_ChamCong[[#This Row],[Thời điểm]])</calculatedColumnFormula>
    </tableColumn>
    <tableColumn id="5" xr3:uid="{3D1FC5E7-A715-479D-BAF5-DEFA48B735AA}" name="Giờ" dataDxfId="613">
      <calculatedColumnFormula>Table_ChiPhiNV_ChamCong[[#This Row],[Thời điểm]]-Table_ChiPhiNV_ChamCong[[#This Row],[Ngày]]</calculatedColumnFormula>
    </tableColumn>
    <tableColumn id="6" xr3:uid="{F6734E0D-32C8-45CD-8BFE-6B18CF211B0F}" name="Add" dataDxfId="612"/>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10" dataDxfId="609">
  <autoFilter ref="I4:R5" xr:uid="{25B92B70-A65A-4BB4-AFAF-17CD34038C01}"/>
  <tableColumns count="10">
    <tableColumn id="4" xr3:uid="{831F5562-6DF2-4C26-AF42-9E500D5C2BBA}" name="Kỳ" dataDxfId="608">
      <calculatedColumnFormula>IFERROR(
IF(ISBLANK(Table_KPI[[#This Row],[Tháng]]),
DATE(Table_KPI[[#This Row],[Năm]],12,1),
DATE(Table_KPI[[#This Row],[Năm]],Table_KPI[[#This Row],[Tháng]],1)),0)</calculatedColumnFormula>
    </tableColumn>
    <tableColumn id="3" xr3:uid="{2808BE42-D5DC-4AC5-9DF6-CB1FFC344678}" name="Năm" dataDxfId="607"/>
    <tableColumn id="9" xr3:uid="{6FBBBEE4-1479-4737-A4B7-428567D70F40}" name="Tháng" dataDxfId="606"/>
    <tableColumn id="1" xr3:uid="{BC1162C5-DCE7-4D84-9630-A787E918F57C}" name="Nhân viên" dataDxfId="605"/>
    <tableColumn id="2" xr3:uid="{5ABB2918-90ED-4247-B51E-231B14F7DE9E}" name="Kênh" dataDxfId="604"/>
    <tableColumn id="5" xr3:uid="{DED0AA08-5E3A-499C-9E4F-A67A626A20AE}" name="Doanh thu KPI" dataDxfId="603" dataCellStyle="Comma"/>
    <tableColumn id="6" xr3:uid="{E4446FF1-0070-4E03-B157-8F9425FA327E}" name="Doanh thu thực tế" dataDxfId="602"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601">
      <calculatedColumnFormula>IFERROR(Table_KPI[[#This Row],[Doanh thu thực tế]]/Table_KPI[[#This Row],[Doanh thu KPI]],0)</calculatedColumnFormula>
    </tableColumn>
    <tableColumn id="8" xr3:uid="{7159B510-A5A6-4011-8850-B711CAF79CD1}" name="Thưởng KPI" dataDxfId="600"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9"/>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98" dataDxfId="597">
  <autoFilter ref="B4:G5" xr:uid="{2A700966-B946-4558-BE22-99AF6B5C1F14}"/>
  <tableColumns count="6">
    <tableColumn id="1" xr3:uid="{372298CB-1FC0-44F9-9A44-07D557C3001F}" name="Đối tượng áp dụng" dataDxfId="596"/>
    <tableColumn id="2" xr3:uid="{3EF02C4B-8043-4158-84AE-E39B6E150981}" name="Loại KPI" dataDxfId="595"/>
    <tableColumn id="3" xr3:uid="{5F10DCD2-E481-44D2-91BF-149730CD7F5A}" name="Tỷ lệ KPI min" dataDxfId="594" dataCellStyle="Percent"/>
    <tableColumn id="6" xr3:uid="{5E21FD03-D69C-4215-925E-44A1D4F69061}" name="Tỷ lệ KPI max" dataDxfId="593" dataCellStyle="Percent"/>
    <tableColumn id="4" xr3:uid="{98E3AD66-020E-40A9-A6A3-48CA0E959609}" name="Mức thưởng" dataDxfId="592" dataCellStyle="Comma"/>
    <tableColumn id="5" xr3:uid="{A0E8F173-903B-4296-8701-508E9E5EE235}" name="Add" dataDxfId="591"/>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9" dataDxfId="588">
  <autoFilter ref="I20:Q53" xr:uid="{6905FFE6-DD04-489C-AD09-289D17B2B7B7}"/>
  <tableColumns count="9">
    <tableColumn id="1" xr3:uid="{CF77CA6B-7F51-408D-A6D8-2230BBD9B50E}" name="Kỳ" dataDxfId="587">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86"/>
    <tableColumn id="3" xr3:uid="{286D597C-B3D6-4957-9F67-8DE9ED9415FC}" name="Tháng" dataDxfId="585"/>
    <tableColumn id="5" xr3:uid="{10132119-7E6F-4E94-A296-34C544489582}" name="Khấu hao" dataDxfId="584">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83"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82"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81"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80">
      <calculatedColumnFormula>L21</calculatedColumnFormula>
    </tableColumn>
    <tableColumn id="8" xr3:uid="{39E39F52-CC76-47A9-BFB7-8ACE3E440D52}" name="Add" dataDxfId="579"/>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75" dataDxfId="574">
  <autoFilter ref="B12:K13" xr:uid="{C76B63EA-291E-48DC-AA08-50BF5281E5B9}"/>
  <sortState xmlns:xlrd2="http://schemas.microsoft.com/office/spreadsheetml/2017/richdata2" ref="B13:K13">
    <sortCondition ref="B12:B13"/>
  </sortState>
  <tableColumns count="10">
    <tableColumn id="1" xr3:uid="{CD6E6134-920A-4C8D-9AA1-99D5524D7BBC}" name="Kỳ" dataDxfId="573">
      <calculatedColumnFormula>IFERROR(
DATE(C13,D13,1),0)</calculatedColumnFormula>
    </tableColumn>
    <tableColumn id="3" xr3:uid="{95E30154-133D-4F61-AFB8-DA2570DCB075}" name="Năm" dataDxfId="572"/>
    <tableColumn id="2" xr3:uid="{74B1B8EC-1809-4D5C-80AC-93D30ED042E5}" name="Tháng" dataDxfId="571"/>
    <tableColumn id="12" xr3:uid="{2C39D079-FCEC-4397-85CA-F1F4F3BFEB0B}" name="Ngân sách" dataDxfId="570"/>
    <tableColumn id="14" xr3:uid="{FC515957-0AB2-428C-A6E5-6339BC653791}" name="Giá trị phải nộp" dataDxfId="569"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68" dataCellStyle="Comma">
      <calculatedColumnFormula array="1"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67"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66" dataCellStyle="Percent"/>
    <tableColumn id="20" xr3:uid="{6C3B8DCD-C3D5-4964-8C3A-A9FCCC4F0237}" name="Còn lại" dataDxfId="565"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64"/>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63" dataDxfId="561" headerRowBorderDxfId="562" tableBorderDxfId="560" totalsRowBorderDxfId="559">
  <autoFilter ref="E3:F10" xr:uid="{3BBFAFDA-0432-4F25-AB1A-114DABFC5F95}"/>
  <tableColumns count="2">
    <tableColumn id="1" xr3:uid="{73ABBD31-51F1-4BCF-81D6-AA74F4BF2253}" name="Loại thuế" dataDxfId="558"/>
    <tableColumn id="2" xr3:uid="{198674E0-3320-4801-A417-78B0B34847D8}" name="Tên Đối tác" dataDxfId="557"/>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54" dataDxfId="553">
  <autoFilter ref="J21:AA34" xr:uid="{35766FBF-6C41-4A6D-80F2-CCD99F5DBD5E}"/>
  <tableColumns count="18">
    <tableColumn id="2" xr3:uid="{17A4BF9C-4541-424B-9FBE-87CC97661C47}" name="Kỳ" dataDxfId="552">
      <calculatedColumnFormula>IFERROR(
IF(ISBLANK(L22),
DATE(K22,12,1),
DATE(K22,L22,1)),0)</calculatedColumnFormula>
    </tableColumn>
    <tableColumn id="1" xr3:uid="{4FF45AAE-99CE-4510-B5FD-1ECE78FEA668}" name="Năm" dataDxfId="551"/>
    <tableColumn id="4" xr3:uid="{26A6D510-F423-4836-8842-BCDCAEEE6893}" name="Tháng" dataDxfId="550"/>
    <tableColumn id="3" xr3:uid="{D3A150E2-FCBA-4979-AE2B-2367E3717F18}" name="Khoản vay" dataDxfId="549"/>
    <tableColumn id="18" xr3:uid="{94BE6EC4-3CA8-4A2C-8B70-45E17B7622DE}" name="Tần suất" dataDxfId="548">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47">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46">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4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4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4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4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4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40"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9" dataCellStyle="Comma">
      <calculatedColumnFormula>Table_VayNo_LichTra[[#This Row],[Lãi vay]]+Table_VayNo_LichTra[[#This Row],[Trả gốc trong kỳ]]</calculatedColumnFormula>
    </tableColumn>
    <tableColumn id="13" xr3:uid="{11492E98-D9E5-4318-A11A-0C84DD7E8ABF}" name="Chi phí tính thuế" dataDxfId="538" dataCellStyle="Comma">
      <calculatedColumnFormula>Table_VayNo_LichTra[[#This Row],[Phân bổ lãi tháng]]</calculatedColumnFormula>
    </tableColumn>
    <tableColumn id="15" xr3:uid="{A05B5372-9400-46BA-AAE0-076C26EBAFF5}" name="Ngày phải trả" dataDxfId="537"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36"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35"/>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33" dataDxfId="532">
  <autoFilter ref="B3:K4" xr:uid="{35766FBF-6C41-4A6D-80F2-CCD99F5DBD5E}"/>
  <tableColumns count="10">
    <tableColumn id="2" xr3:uid="{70E94E7A-B01C-448C-A615-62344294FB2D}" name="Kỳ" dataDxfId="531">
      <calculatedColumnFormula>IFERROR(
IF(ISBLANK(D4),
DATE(C4,12,1),
DATE(C4,D4,1)),0)</calculatedColumnFormula>
    </tableColumn>
    <tableColumn id="1" xr3:uid="{39F651A3-9FD0-406A-96D9-9086E6DDE484}" name="Năm" dataDxfId="530"/>
    <tableColumn id="3" xr3:uid="{99F8DDB3-C203-4609-B4DC-DE56F45F1D2F}" name="Tháng" dataDxfId="529"/>
    <tableColumn id="6" xr3:uid="{FCBFACE5-6421-49AF-A9B4-E954F44052F5}" name="Tài sản đầu tư" dataDxfId="528"/>
    <tableColumn id="7" xr3:uid="{657CEDEC-B0BB-424F-B241-083CF95D7F51}" name="Nhận gốc" dataDxfId="527"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26"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25" dataCellStyle="Comma">
      <calculatedColumnFormula>+Table_DauTu_LichThu[[#This Row],[Nhận lãi]]+Table_DauTu_LichThu[[#This Row],[Nhận gốc]]</calculatedColumnFormula>
    </tableColumn>
    <tableColumn id="9" xr3:uid="{372DC5B0-C810-4F4A-83AA-30839D495F1E}" name="Thu nhập tính thuế" dataDxfId="524" dataCellStyle="Comma">
      <calculatedColumnFormula>+Table_DauTu_LichThu[[#This Row],[Nhận lãi]]</calculatedColumnFormula>
    </tableColumn>
    <tableColumn id="4" xr3:uid="{9FB0F2B4-B742-40FD-9EAA-E9A9009CBB3F}" name="Add" dataDxfId="523"/>
    <tableColumn id="10" xr3:uid="{9F1C8EFB-12FE-496F-A867-198262ECD2FA}" name="Còn lại" dataDxfId="522">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U81" totalsRowShown="0" headerRowDxfId="516" dataDxfId="515">
  <autoFilter ref="B4:AU81" xr:uid="{7EE1FBC0-CA11-44D8-84E1-E68C320835D5}"/>
  <sortState xmlns:xlrd2="http://schemas.microsoft.com/office/spreadsheetml/2017/richdata2" ref="B5:AU81">
    <sortCondition descending="1" ref="K4:K81"/>
  </sortState>
  <tableColumns count="46">
    <tableColumn id="19" xr3:uid="{24D5294F-794C-47D4-B19B-4784BEEF58CD}" name="Mã SKU" dataDxfId="514"/>
    <tableColumn id="1" xr3:uid="{18961AB9-4F59-4CDA-9625-CBEB24FFC7F7}" name="Mã Nguyên liệu" dataDxfId="513"/>
    <tableColumn id="3" xr3:uid="{053A4FB5-02D1-4874-AA7F-F73A691AE0B6}" name="Đối tượng" dataDxfId="512" dataCellStyle="Comma">
      <calculatedColumnFormula>IF(ISBLANK(Table_Main[[#This Row],[Mã SKU]]),Table_Main[[#This Row],[Mã Nguyên liệu]],Table_Main[[#This Row],[Mã SKU]])</calculatedColumnFormula>
    </tableColumn>
    <tableColumn id="22" xr3:uid="{28EC1C91-1B42-49B4-B9A1-38D6FCBF4C1A}" name="Tồn kho đầu ngày" dataDxfId="51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10"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508"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507" dataCellStyle="Comma">
      <calculatedColumnFormula>IFERROR(Table_Main[[#This Row],[Giá trị tồn đầu ngày]]/Table_Main[[#This Row],[Tồn kho đầu ngày]],0)</calculatedColumnFormula>
    </tableColumn>
    <tableColumn id="28" xr3:uid="{1D7F2A09-B40C-47EF-BBF4-3D173B4856DD}" name="Giá trị bình quân cuối ngày" dataDxfId="506" dataCellStyle="Comma">
      <calculatedColumnFormula>IFERROR(Table_Main[[#This Row],[Giá trị tồn cuối ngày]]/Table_Main[[#This Row],[Tồn kho cuối ngày]],0)</calculatedColumnFormula>
    </tableColumn>
    <tableColumn id="38" xr3:uid="{9BB57A10-EF8B-4168-9D57-6AB152E3EAE6}" name="Ngày xuất nhập" dataDxfId="505"/>
    <tableColumn id="2" xr3:uid="{10DA1A7A-0C4B-4307-86AF-52B679F6F5C3}" name="Ngày lên đơn" dataDxfId="504">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503">
      <calculatedColumnFormula>IFERROR(MONTH(Table_Main[[#This Row],[Ngày lên đơn]]),0)</calculatedColumnFormula>
    </tableColumn>
    <tableColumn id="10" xr3:uid="{B7676641-15AA-4C16-947A-6248C8B67BD4}" name="Ngày ship mua" dataDxfId="502">
      <calculatedColumnFormula>IF(Table_Main[[#This Row],[Ngày lên đơn]]=0,"",Table_Main[[#This Row],[Ngày xuất nhập]]-Table_Main[[#This Row],[Ngày lên đơn]])</calculatedColumnFormula>
    </tableColumn>
    <tableColumn id="6" xr3:uid="{38735BED-DFF8-4F08-BB6C-BDA9A4923D2C}" name="Loại" dataDxfId="501"/>
    <tableColumn id="11" xr3:uid="{EB6998ED-BA0B-44B1-845A-BF43DC68BE22}" name="Kho" dataDxfId="500"/>
    <tableColumn id="5" xr3:uid="{EAB2F578-A8BB-4FAB-A929-B66E906EBF6E}" name="Số lượng" dataDxfId="499" dataCellStyle="Comma"/>
    <tableColumn id="21" xr3:uid="{7F71F8EC-8777-467E-9161-9B28AC8A46D4}" name="Đơn Mua" dataDxfId="498"/>
    <tableColumn id="9" xr3:uid="{E8C99E10-20DB-401A-8813-3D36BB052B76}" name="Nhà cung cấp" dataDxfId="497">
      <calculatedColumnFormula>IFERROR(VLOOKUP(Table_Main[[#This Row],[Đơn Mua]],Table_DonMua[[Mã Đơn mua]:[Add]],COUNTA(Table_DonMua[[#Headers],[Mã Đơn mua]:[Mã Đối tác]]),0),0)</calculatedColumnFormula>
    </tableColumn>
    <tableColumn id="29" xr3:uid="{80A773D5-6191-467C-8839-401F9EB003EF}" name="Giá nhập" dataDxfId="496" dataCellStyle="Comma"/>
    <tableColumn id="20" xr3:uid="{09E96BB3-B616-4831-B3CE-D5733239938A}" name="Giá trị hàng nhập" dataDxfId="495"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94">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93"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92"/>
    <tableColumn id="50" xr3:uid="{7B00697E-F170-4DCC-9865-BA4F05A89039}" name="Khách hàng" dataDxfId="491">
      <calculatedColumnFormula>IFERROR(VLOOKUP(Table_Main[[#This Row],[Đơn bán]],Table_DonBan[[Mã Đơn bán]:[Add]],COUNTA(Table_DonBan[[#Headers],[Mã Đơn bán]:[Mã Khách]]),0),0)</calculatedColumnFormula>
    </tableColumn>
    <tableColumn id="4" xr3:uid="{11B0C473-5911-4971-926A-B6CE6070C5F5}" name="Giá bán niêm yết" dataDxfId="490"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9"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88"/>
    <tableColumn id="17" xr3:uid="{9A8AEB02-9AFD-4EF8-9D1D-F40A983CEADC}" name="Tỷ lệ CK" dataDxfId="487">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86"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85"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18" xr3:uid="{337136D8-748B-4A8F-9751-905B9FDD86E3}" name="VAT" dataDxfId="484" dataCellStyle="Comma">
      <calculatedColumnFormula xml:space="preserve">
IF(Table_Main[[#This Row],[Đơn bán]]="", 0,
IFERROR(
VLOOKUP(Table_Main[[#This Row],[Mã SKU]],Table_SKU[[Mã SKU]:[Tỷ suất VAT]],COUNTA(Table_SKU[[#Headers],[Mã SKU]:[Tỷ suất VAT]]),0),0)*Table_Main[[#This Row],[Giá trị bán trước VAT]])</calculatedColumnFormula>
    </tableColumn>
    <tableColumn id="45" xr3:uid="{408BECD2-0311-4DC1-99AD-0CA1E44D1094}" name="NV Bán hàng" dataDxfId="483">
      <calculatedColumnFormula>IFERROR(VLOOKUP(Table_Main[[#This Row],[Đơn bán]],Table_DonBan[[Mã Đơn bán]:[Add]],COUNTA(Table_DonBan[[#Headers],[Mã Đơn bán]:[Mã NV]]),0),0)</calculatedColumnFormula>
    </tableColumn>
    <tableColumn id="31" xr3:uid="{ADF1050F-6890-4850-B0E7-F61B55C14631}" name="Tỷ lệ hoa hồng" dataDxfId="48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81" dataCellStyle="Comma">
      <calculatedColumnFormula>IFERROR(Table_Main[[#This Row],[Giá trị bán trước VAT]]*Table_Main[[#This Row],[Tỷ lệ hoa hồng]],"")</calculatedColumnFormula>
    </tableColumn>
    <tableColumn id="33" xr3:uid="{734B6FF8-8B1D-4B8F-8584-0A27FBBAE093}" name="Kênh" dataDxfId="48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7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78" dataCellStyle="Comma">
      <calculatedColumnFormula>IFERROR(Table_Main[[#This Row],[Giá trị bán trước VAT]]*Table_Main[[#This Row],[Tỷ lệ CK kênh]],"")</calculatedColumnFormula>
    </tableColumn>
    <tableColumn id="8" xr3:uid="{3A189888-CEF8-494F-B6EE-A0DA166B7135}" name="Vận đơn bán" dataDxfId="477"/>
    <tableColumn id="12" xr3:uid="{215B916C-8D38-4F8A-8D8C-FF98A1A9D845}" name="Add" dataDxfId="476"/>
    <tableColumn id="37" xr3:uid="{6B139724-15D7-4CB1-98CA-006B024CFB89}" name="Tổng hợp ĐK" dataDxfId="47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7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7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7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7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7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6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64" dataDxfId="463">
  <autoFilter ref="B17:J28" xr:uid="{DBED1CC1-1C45-4818-9CB7-4038B855E9D6}"/>
  <tableColumns count="9">
    <tableColumn id="1" xr3:uid="{2C9952DD-CC28-41B9-B415-AE854E2F0A08}" name="STT" dataDxfId="462">
      <calculatedColumnFormula>IF(Table_FormDonMua_SKU[[#This Row],[Mã hàng]]&lt;&gt;"",COUNTIF($C$18:C28,"&lt;&gt;"""),"")</calculatedColumnFormula>
    </tableColumn>
    <tableColumn id="2" xr3:uid="{D37AF75D-5956-4C86-97BC-D52584A55EFC}" name="Mã hàng" dataDxfId="461"/>
    <tableColumn id="5" xr3:uid="{7B65724E-8B05-48D2-B0E4-F9815819CD7A}" name="Mã nguyên liệu" dataDxfId="460"/>
    <tableColumn id="3" xr3:uid="{C40437C2-C418-46F2-9E3E-92F84A5A713B}" name="Mô tả" dataDxfId="45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58" dataCellStyle="Comma"/>
    <tableColumn id="4" xr3:uid="{0E4BAE6A-1764-4E24-BD1E-96756661821D}" name="Giá sau VAT" dataDxfId="457" dataCellStyle="Comma"/>
    <tableColumn id="6" xr3:uid="{A66CD959-22C8-4FB4-B7C5-03F718F22576}" name="Thành tiền" dataDxfId="45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5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5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53" dataDxfId="451" headerRowBorderDxfId="452" tableBorderDxfId="450" totalsRowBorderDxfId="449">
  <autoFilter ref="L45:Y65" xr:uid="{0B870FEF-3DBE-475F-A1FE-1FC523A25296}"/>
  <tableColumns count="14">
    <tableColumn id="11" xr3:uid="{638AD539-B0BB-462E-89A8-EDC9D4FB5873}" name="TT" dataDxfId="448"/>
    <tableColumn id="1" xr3:uid="{59B0103D-19F0-4461-8A87-082563C765CF}" name="Mã Đơn mua" dataDxfId="44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46"/>
    <tableColumn id="3" xr3:uid="{DF34DFD7-60AA-4D3C-90E1-58592244383C}" name="Mã Đối tác" dataDxfId="445">
      <calculatedColumnFormula>CONCATENATE("NCC",RANDBETWEEN(1,3))</calculatedColumnFormula>
    </tableColumn>
    <tableColumn id="12" xr3:uid="{30051F39-7D49-4015-88E4-C41155678CF6}" name="Kho Nhập" dataDxfId="444"/>
    <tableColumn id="4" xr3:uid="{D3D7C82A-8B68-4033-A222-8D32886EC3D8}" name="Tiền hàng" dataDxfId="443" dataCellStyle="Comma">
      <calculatedColumnFormula>IFERROR(
SUM(_xlfn._xlws.FILTER(Table_Main[Giá trị hàng nhập],
(Table_Main[Đơn Mua] = Table_DonMua[[#This Row],[Mã Đơn mua]])
)),0)</calculatedColumnFormula>
    </tableColumn>
    <tableColumn id="10" xr3:uid="{A125D517-A42E-4AD5-B6E8-419DB469C039}" name="VAT hàng" dataDxfId="442" dataCellStyle="Comma">
      <calculatedColumnFormula>IFERROR(
SUM(_xlfn._xlws.FILTER(Table_Main[VAT khấu trừ],
(Table_Main[Đơn Mua] = Table_DonMua[[#This Row],[Mã Đơn mua]])
)),0)</calculatedColumnFormula>
    </tableColumn>
    <tableColumn id="6" xr3:uid="{500A5879-C4E7-41EE-A473-0F20C072C4F6}" name="Phụ phí" dataDxfId="441" dataCellStyle="Comma"/>
    <tableColumn id="8" xr3:uid="{E50DCE10-D55E-44FE-BCD0-3ACCBF858D00}" name="Khuyến mãi" dataDxfId="440" dataCellStyle="Comma"/>
    <tableColumn id="13" xr3:uid="{5BDC3693-4285-4D79-8F8C-5239E26D4E9F}" name="Tổng VAT khấu trừ" dataDxfId="43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38" dataCellStyle="Comma">
      <calculatedColumnFormula>Table_DonMua[[#This Row],[Phải trả]]-Table_DonMua[[#This Row],[Tổng VAT khấu trừ]]</calculatedColumnFormula>
    </tableColumn>
    <tableColumn id="7" xr3:uid="{E695AD01-ABAB-4962-AF8F-5078D8B81069}" name="Phải trả" dataDxfId="43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36"/>
    <tableColumn id="5" xr3:uid="{677875BF-7A28-4E7A-AD2F-414D47E8A43D}" name="Còn lại" dataDxfId="43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26" dataDxfId="425">
  <autoFilter ref="B16:R28" xr:uid="{0E4A18C3-08C8-4F92-A15E-37D3A3D28DD6}"/>
  <tableColumns count="17">
    <tableColumn id="1" xr3:uid="{F6D4F9CD-363C-42CB-B719-A498CAD3DD5F}" name="STT" dataDxfId="424">
      <calculatedColumnFormula>IF(Table_FormDonBan[[#This Row],[SKU]]&lt;&gt;"",COUNTIF(C$17:C17,"&lt;&gt;"""),"")</calculatedColumnFormula>
    </tableColumn>
    <tableColumn id="2" xr3:uid="{47A3EA58-2E28-4A2A-ABC9-FEADAF8B2D21}" name="SKU" dataDxfId="423"/>
    <tableColumn id="3" xr3:uid="{1DD58239-71F7-47D5-92BC-62B23F25A556}" name="Mô tả" dataDxfId="422">
      <calculatedColumnFormula xml:space="preserve">
IFERROR(VLOOKUP(Table_FormDonBan[[#This Row],[SKU]],Table_SKU[[Mã SKU]:[Mô tả]],Sheet_SKU!$H$1,0),"")</calculatedColumnFormula>
    </tableColumn>
    <tableColumn id="7" xr3:uid="{B15309D8-3F8D-4BDA-9B4B-4C9A71025C9D}" name="Số lượng" dataDxfId="421" dataCellStyle="Comma"/>
    <tableColumn id="4" xr3:uid="{89C72E61-4108-4130-89AF-544FAA165211}" name="Giá trước VAT" dataDxfId="420" dataCellStyle="Comma">
      <calculatedColumnFormula>IFERROR(VLOOKUP(Table_FormDonBan[[#This Row],[SKU]],Table_SKU[[Mã SKU]:[Giá bán]],Sheet_SKU!$J$1,0),"")</calculatedColumnFormula>
    </tableColumn>
    <tableColumn id="5" xr3:uid="{DBDB65F6-9AFF-401B-B416-34A8BFED3E76}" name="Chương trình" dataDxfId="419"/>
    <tableColumn id="18" xr3:uid="{704CD4AA-DD20-44B9-B44A-798544982186}" name="Tổng hợp ĐK" dataDxfId="418">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17">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16">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15">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14">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13"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12"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11"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410"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409" dataCellStyle="Percent">
      <calculatedColumnFormula>IFERROR(
VLOOKUP(Table_FormDonBan[[#This Row],[SKU]],Table_SKU[[Mã SKU]:[Tỷ suất VAT]],Sheet_SKU!$K$1,0),"")</calculatedColumnFormula>
    </tableColumn>
    <tableColumn id="9" xr3:uid="{9AEFA9BF-3D85-4AA5-B427-A3AF13390970}" name="VAT" dataDxfId="408"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W71" totalsRowShown="0" headerRowDxfId="407">
  <autoFilter ref="T47:AW71" xr:uid="{4166925E-1F0B-42C7-A01A-835B42134064}"/>
  <tableColumns count="30">
    <tableColumn id="11" xr3:uid="{16A40DA8-3662-4F98-9040-ECD4BB05C953}" name="TT" dataDxfId="406"/>
    <tableColumn id="1" xr3:uid="{2527FACB-581B-447F-8E83-3B67509B0CD9}" name="Mã Đơn bán" dataDxfId="405">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404"/>
    <tableColumn id="3" xr3:uid="{6CC99533-F213-42B8-9FC6-28AA1681FB82}" name="Mã Khách" dataDxfId="403"/>
    <tableColumn id="15" xr3:uid="{1F7A1852-3D39-4901-A0D5-DAD713C5C5F9}" name="Mã NV" dataDxfId="402"/>
    <tableColumn id="16" xr3:uid="{818A9779-FBC2-448F-820D-00D6B112FFD2}" name="Kênh" dataDxfId="401"/>
    <tableColumn id="14" xr3:uid="{5A12C553-7096-4EA2-B631-2E452214EBF1}" name="Tiền hàng" dataDxfId="400"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99" dataCellStyle="Comma">
      <calculatedColumnFormula>IFERROR(SUM(_xlfn._xlws.FILTER(Table_Main[VAT],
(Table_Main[Đơn bán]=Table_DonBan[[#This Row],[Mã Đơn bán]]),
)),0)</calculatedColumnFormula>
    </tableColumn>
    <tableColumn id="23" xr3:uid="{D45B265F-A18C-463C-AC41-949E390656FD}" name="Điểm khả dụng" dataDxfId="398"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97" dataCellStyle="Comma"/>
    <tableColumn id="12" xr3:uid="{B79F9811-FAAE-4953-9855-495F7E366925}" name="Chương trình" dataDxfId="396"/>
    <tableColumn id="19" xr3:uid="{054694A7-08F5-45EC-BD7C-F7F901758015}" name="Tỷ lệ CK" dataDxfId="395">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94" dataCellStyle="Comma">
      <calculatedColumnFormula>(Z48/ABS(Z48))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calculatedColumnFormula>
    </tableColumn>
    <tableColumn id="4" xr3:uid="{7ED63616-6E51-4141-8D7C-8DFD0707FC7C}" name="Tổng VAT" dataDxfId="393"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92" dataCellStyle="Comma">
      <calculatedColumnFormula>+Table_DonBan[[#This Row],[Tiền hàng]]-Table_DonBan[[#This Row],[Giá trị CK]]</calculatedColumnFormula>
    </tableColumn>
    <tableColumn id="8" xr3:uid="{DE2AB38C-7AC8-4171-9826-E4D8C517C9C4}" name="Tính thuế" dataDxfId="391" dataCellStyle="Comma">
      <calculatedColumnFormula>Table_DonBan[[#This Row],[Doanh thu ròng]]</calculatedColumnFormula>
    </tableColumn>
    <tableColumn id="7" xr3:uid="{70C7A5C8-F567-42CE-9CD1-192E338B2F99}" name="Phải thu" dataDxfId="390" dataCellStyle="Comma">
      <calculatedColumnFormula>Table_DonBan[[#This Row],[Tiền hàng]]+Table_DonBan[[#This Row],[Tổng VAT]]-Table_DonBan[[#This Row],[Giá trị CK]]</calculatedColumnFormula>
    </tableColumn>
    <tableColumn id="28" xr3:uid="{AE6838DA-AC35-4783-B4DB-89253B85A232}" name="Doanh thu tính điểm" dataDxfId="389"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88"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87" dataCellStyle="Comma">
      <calculatedColumnFormula xml:space="preserve">
Table_DonBan[[#This Row],[Tỷ lệ tính điểm]]*Table_DonBan[[#This Row],[Doanh thu ròng]]</calculatedColumnFormula>
    </tableColumn>
    <tableColumn id="6" xr3:uid="{B20068D5-36E3-4955-B116-79E972814859}" name="STT đơn của khách" dataDxfId="386">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85"/>
    <tableColumn id="9" xr3:uid="{AE3D96E6-2D5E-42ED-82BB-5E04A954236F}" name="Tổng hợp ĐK" dataDxfId="384">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83">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82">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81">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80">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79">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78">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77">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72">
  <autoFilter ref="M45:AA46" xr:uid="{7EE1FBC0-CA11-44D8-84E1-E68C320835D5}"/>
  <tableColumns count="15">
    <tableColumn id="13" xr3:uid="{D020F9F1-56E1-4EFD-ACAE-A034A2EF6F29}" name="STT" dataDxfId="371"/>
    <tableColumn id="1" xr3:uid="{47D87E04-812B-4F27-A7ED-D51F3CFF31D2}" name="Mã Vận đơn" dataDxfId="370">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69"/>
    <tableColumn id="3" xr3:uid="{5FDEBD9C-B8FD-493A-8A69-D4907DEC93EF}" name="Ngày hoàn tất" dataDxfId="368"/>
    <tableColumn id="4" xr3:uid="{0EC6DF3F-3156-41AB-8283-EEDDEF5F175D}" name="Đơn vị vận tải" dataDxfId="367"/>
    <tableColumn id="11" xr3:uid="{60EABEF1-C548-4DC8-869A-F875DCF8227D}" name="Khách hàng" dataDxfId="366"/>
    <tableColumn id="7" xr3:uid="{BA31FDC3-4731-4843-BA58-AC6A8086EF6C}" name="Kho đối tác" dataDxfId="365">
      <calculatedColumnFormula xml:space="preserve">
IFERROR(
VLOOKUP(Table_VanDon[[#This Row],[Khách hàng]],Table_KhachHang[],COUNTA(Table_KhachHang[[#Headers],[Mã KH]:[Địa chỉ]]),0),"")</calculatedColumnFormula>
    </tableColumn>
    <tableColumn id="8" xr3:uid="{5BF38569-A5F9-4B02-A78A-736101AADA30}" name="Phí ship" dataDxfId="364" dataCellStyle="Comma"/>
    <tableColumn id="9" xr3:uid="{7A2F61A9-732F-47DD-AE4E-0929A9506A7E}" name="Bên chịu phí" dataDxfId="363"/>
    <tableColumn id="14" xr3:uid="{0F7009E9-A661-4B83-A79F-DC45BB15636E}" name="Tỷ suất VAT" dataDxfId="362" dataCellStyle="Percent"/>
    <tableColumn id="16" xr3:uid="{591A1862-E955-4303-AB77-7B95B1C2C73E}" name="VAT khấu trừ" dataDxfId="361"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60" dataCellStyle="Comma">
      <calculatedColumnFormula>Table_VanDon[[#This Row],[Phải trả ship]]-Table_VanDon[[#This Row],[VAT khấu trừ]]</calculatedColumnFormula>
    </tableColumn>
    <tableColumn id="6" xr3:uid="{3F583072-563A-4D58-A602-65255FF72650}" name="Phải trả ship" dataDxfId="359" dataCellStyle="Comma">
      <calculatedColumnFormula>IF(Table_VanDon[[#This Row],[Bên chịu phí]] = "Bên bán",Table_VanDon[[#This Row],[Phí ship]],0)</calculatedColumnFormula>
    </tableColumn>
    <tableColumn id="12" xr3:uid="{AC15A925-0B65-47D5-910C-D995B98EE8C8}" name="Add" dataDxfId="358"/>
    <tableColumn id="10" xr3:uid="{F1204514-D69D-44B5-98DD-F2A3F4668EE0}" name="Còn lại" dataDxfId="357">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56" dataDxfId="355">
  <autoFilter ref="B17:J29" xr:uid="{437FEB67-8942-4F2C-8C6B-5164C1E58BF5}"/>
  <tableColumns count="9">
    <tableColumn id="1" xr3:uid="{CF9FD2DE-3FFB-4B51-A89E-7241347A2ECF}" name="STT" dataDxfId="354">
      <calculatedColumnFormula>IF(Table_PhieuGiao[[#This Row],[SKU]]&lt;&gt;"",COUNTIF(D$18:D18,"&lt;&gt;"""),"")</calculatedColumnFormula>
    </tableColumn>
    <tableColumn id="5" xr3:uid="{7AF7F8DF-62C4-4D7E-BDD9-A4793DB112B6}" name="Đơn bán" dataDxfId="353"/>
    <tableColumn id="2" xr3:uid="{78FB16B5-C042-4270-BFDD-257F18968692}" name="SKU" dataDxfId="352"/>
    <tableColumn id="3" xr3:uid="{2A78210F-A234-4CDA-A076-E413F772BCA5}" name="Mô tả" dataDxfId="351">
      <calculatedColumnFormula xml:space="preserve">
IFERROR(VLOOKUP(Table_PhieuGiao[[#This Row],[SKU]],Table_SKU[[Mã SKU]:[Mô tả]],Sheet_SKU!$H$1,0),"")</calculatedColumnFormula>
    </tableColumn>
    <tableColumn id="7" xr3:uid="{47BF1A26-E475-4961-AEFC-1172FAD98AAA}" name="Số lượng đặt" dataDxfId="350"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49" dataCellStyle="Comma"/>
    <tableColumn id="8" xr3:uid="{0E9C344A-03E5-4E66-9A57-E537C6A35F0C}" name="Thành tiền đặt" dataDxfId="348"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47"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46"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43" dataDxfId="342">
  <autoFilter ref="B4:P5" xr:uid="{2A27BF1C-8CD6-431B-8FCB-E3087A269402}"/>
  <tableColumns count="15">
    <tableColumn id="2" xr3:uid="{32912DBC-3256-4130-96F7-3E069F9569CE}" name="Kỳ" dataDxfId="341">
      <calculatedColumnFormula>IFERROR(
IF(ISBLANK(Table_LaiKhac[[#This Row],[Tháng]]),
DATE(Table_LaiKhac[[#This Row],[Năm]],12,1),
DATE(Table_LaiKhac[[#This Row],[Năm]],Table_LaiKhac[[#This Row],[Tháng]],1)),0)</calculatedColumnFormula>
    </tableColumn>
    <tableColumn id="1" xr3:uid="{9ED1705C-3CC2-4F20-94F7-FE27FFA50EA2}" name="Năm" dataDxfId="340"/>
    <tableColumn id="7" xr3:uid="{7011CE3A-4170-4F34-8A45-3C14EF584624}" name="Tháng" dataDxfId="339"/>
    <tableColumn id="13" xr3:uid="{17DBD87B-D607-4F10-9204-36EA96A70492}" name="Phân bổ từ" dataDxfId="338"/>
    <tableColumn id="14" xr3:uid="{B9685FB0-3596-4744-973F-F04B788D5C88}" name="Phân bổ đến" dataDxfId="337"/>
    <tableColumn id="3" xr3:uid="{A4B96B9D-F8B8-42EB-9824-FF28F81F7230}" name="Phân loại" dataDxfId="336"/>
    <tableColumn id="4" xr3:uid="{AFC8E105-3BFF-423F-8C41-314B2A03EB74}" name="Nội dung" dataDxfId="335"/>
    <tableColumn id="15" xr3:uid="{63DD0B39-75F3-4F54-934E-E9D0B6C25ED8}" name="Nhóm đối tác" dataDxfId="334"/>
    <tableColumn id="6" xr3:uid="{C5900F8A-787C-496B-A516-DB99B8B937AF}" name="Đối tác" dataDxfId="333"/>
    <tableColumn id="5" xr3:uid="{7D008247-88BA-4F37-AFEA-7683692A08F0}" name="Giá trị" dataDxfId="332"/>
    <tableColumn id="9" xr3:uid="{36F10CCD-CD36-4314-9238-24A84B56395C}" name="Tỷ suất VAT" dataDxfId="331" dataCellStyle="Percent"/>
    <tableColumn id="10" xr3:uid="{E80C2A67-F2A3-4D2D-BF9B-202BD5E412EA}" name="Giá trị VAT" dataDxfId="330"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29"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28"/>
    <tableColumn id="11" xr3:uid="{DB25EBA2-EAF5-4D85-89BC-088940F2D607}" name="Còn lại" dataDxfId="327">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22" dataDxfId="321">
  <autoFilter ref="B28:N46" xr:uid="{A6B1C031-348A-44B9-8D33-5EE5EC82DEAF}"/>
  <sortState xmlns:xlrd2="http://schemas.microsoft.com/office/spreadsheetml/2017/richdata2" ref="B29:N46">
    <sortCondition ref="D28:D46"/>
  </sortState>
  <tableColumns count="13">
    <tableColumn id="4" xr3:uid="{C7435740-0E30-4F59-870A-C7042BDA6B68}" name="STT" dataDxfId="320"/>
    <tableColumn id="1" xr3:uid="{3D886268-D42B-4EDF-9DDD-8B07A3BB1ADB}" name="Mã phiếu thu chi" dataDxfId="319">
      <calculatedColumnFormula>CONCATENATE(E29,"-",H29,"-",MOD(YEAR(D29),100)*10000+MONTH(D29)*100+DAY(D29),"-",B29)</calculatedColumnFormula>
    </tableColumn>
    <tableColumn id="2" xr3:uid="{491FCAFA-B1AD-46FB-8647-AA401FFD2AAA}" name="Ngày GD" dataDxfId="318"/>
    <tableColumn id="3" xr3:uid="{B9BD7AA2-C1D5-4E64-8D16-409D287CC48C}" name="Loại GD" dataDxfId="317"/>
    <tableColumn id="12" xr3:uid="{3A7EF55C-3E4D-4ADC-A987-EE3819E551D7}" name="Nội dung GD" dataDxfId="316"/>
    <tableColumn id="13" xr3:uid="{48204029-EABB-4AAE-9C1D-051B6312696D}" name="Nhóm đối tác" dataDxfId="315"/>
    <tableColumn id="5" xr3:uid="{49A47456-4C51-4447-84B0-C657FFDF4DD6}" name="Đối tác" dataDxfId="314"/>
    <tableColumn id="6" xr3:uid="{0CDCC0A6-47DE-4B3C-A651-2B10AE2D54EE}" name="TK GD" dataDxfId="313"/>
    <tableColumn id="7" xr3:uid="{4E5E42A3-26F6-4DBE-8D74-7F5305C9516A}" name="Giá trị GD" dataDxfId="312" dataCellStyle="Comma"/>
    <tableColumn id="10" xr3:uid="{A4473CA9-1AA1-40AA-B166-CA4639D6D21D}" name="Phí suất GD" dataDxfId="311">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310" dataCellStyle="Comma">
      <calculatedColumnFormula>J29*K29</calculatedColumnFormula>
    </tableColumn>
    <tableColumn id="11" xr3:uid="{A664AE69-C2DC-4436-BDB2-AEFE89079C62}" name="Giá trị sau phí" dataDxfId="309" dataCellStyle="Comma">
      <calculatedColumnFormula>Table_ThuChiKD[[#This Row],[Giá trị GD]]-Table_ThuChiKD[[#This Row],[Phí GD]]</calculatedColumnFormula>
    </tableColumn>
    <tableColumn id="8" xr3:uid="{82EB006A-DD38-4126-823B-D7856CE71E6B}" name="Add" dataDxfId="308"/>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307" dataDxfId="306">
  <autoFilter ref="E3:F12" xr:uid="{D10BD9CF-04EA-4A06-A52D-50A7CE300F60}"/>
  <tableColumns count="2">
    <tableColumn id="2" xr3:uid="{40512225-2330-428E-AB71-937372499A1F}" name="STT" dataDxfId="305">
      <calculatedColumnFormula>IFERROR(+E3+1,1)</calculatedColumnFormula>
    </tableColumn>
    <tableColumn id="1" xr3:uid="{3A75AD2B-488A-42AD-80B3-1BB5E573CF50}" name="Nội dung GD" dataDxfId="304"/>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300" dataDxfId="299">
  <autoFilter ref="B16:L17" xr:uid="{A6B1C031-348A-44B9-8D33-5EE5EC82DEAF}"/>
  <sortState xmlns:xlrd2="http://schemas.microsoft.com/office/spreadsheetml/2017/richdata2" ref="B17:L17">
    <sortCondition ref="D16:D17"/>
  </sortState>
  <tableColumns count="11">
    <tableColumn id="4" xr3:uid="{F803AFF6-797E-4542-A408-654C11CA19E2}" name="STT" dataDxfId="298"/>
    <tableColumn id="1" xr3:uid="{45742FAA-80A9-4C34-988A-130A5FA27BBE}" name="Mã phiếu thu chi" dataDxfId="297">
      <calculatedColumnFormula>CONCATENATE(E17,"-",H17,"-",MOD(YEAR(D17),100)*10000+MONTH(D17)*100+DAY(D17),"-",B17)</calculatedColumnFormula>
    </tableColumn>
    <tableColumn id="2" xr3:uid="{1F07107C-BEAF-4595-9D97-3CA40A6E5C13}" name="Ngày GD" dataDxfId="296"/>
    <tableColumn id="3" xr3:uid="{AD4ECA87-A6F4-41AD-85ED-A453FDAEF2A3}" name="Loại GD" dataDxfId="295"/>
    <tableColumn id="12" xr3:uid="{269689F3-A1F2-4FF9-896E-1F077776B351}" name="Nội dung GD" dataDxfId="294"/>
    <tableColumn id="10" xr3:uid="{0A32DAC3-670F-44F4-8435-A9DF6980C954}" name="Nhóm đối tác" dataDxfId="293"/>
    <tableColumn id="5" xr3:uid="{FA4A4CC0-A12B-4EA7-9660-3F36083E3F33}" name="Đối tác" dataDxfId="292"/>
    <tableColumn id="6" xr3:uid="{6E6D9ED9-7C73-4BEA-8509-DA3B5B025931}" name="TK GD" dataDxfId="291"/>
    <tableColumn id="7" xr3:uid="{B32B184A-91D5-47BD-AF78-AAC7293CCA62}" name="Giá trị GD" dataDxfId="290" dataCellStyle="Comma"/>
    <tableColumn id="9" xr3:uid="{175C7478-C2C1-4F15-846F-5B33016C4AA2}" name="Ngày đáo hạn" dataDxfId="289">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88"/>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87" dataDxfId="286">
  <autoFilter ref="E3:F13" xr:uid="{D10BD9CF-04EA-4A06-A52D-50A7CE300F60}"/>
  <tableColumns count="2">
    <tableColumn id="2" xr3:uid="{1B498D18-30F5-4944-9156-0E4A00896955}" name="STT" dataDxfId="285">
      <calculatedColumnFormula>IFERROR(E3+1,1)</calculatedColumnFormula>
    </tableColumn>
    <tableColumn id="1" xr3:uid="{768EC5AA-4BC6-4314-8EB2-C60AA81000E0}" name="Các hạng mục giao dịch" dataDxfId="284"/>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81" dataDxfId="280">
  <autoFilter ref="B4:G5" xr:uid="{7981BC7E-C06D-4928-91D7-60ED2FF9E0B2}"/>
  <tableColumns count="6">
    <tableColumn id="5" xr3:uid="{110B2137-B0AB-411B-AE82-F8D4A7958DC7}" name="Mã Tài khoản" dataDxfId="279"/>
    <tableColumn id="1" xr3:uid="{6BCAD684-B6EA-41EB-91E4-5267F4AA263E}" name="Loại tài khoản" dataDxfId="278"/>
    <tableColumn id="2" xr3:uid="{603DB923-4BC5-4423-A274-A17C876CE4A2}" name="Số Tài khoản" dataDxfId="277"/>
    <tableColumn id="4" xr3:uid="{C4306A62-2891-4731-A717-CC6F7910F169}" name="Phí Thanh toán" dataDxfId="276" dataCellStyle="Percent"/>
    <tableColumn id="3" xr3:uid="{4E886D6E-8A90-4289-A5D3-7DE9B8C36862}" name="Số dư ban đầu" dataDxfId="275" dataCellStyle="Comma"/>
    <tableColumn id="6" xr3:uid="{8C5B89A2-9332-4B66-BC31-5DFDAE28C026}" name="Add" dataDxfId="274"/>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72" dataDxfId="271">
  <autoFilter ref="B4:J5" xr:uid="{33BA97D5-806B-467F-8072-874973E61A4E}"/>
  <tableColumns count="9">
    <tableColumn id="1" xr3:uid="{13417069-BFE5-4A56-98E1-E251A793602E}" name="Mã khoản đầu tư" dataDxfId="270"/>
    <tableColumn id="2" xr3:uid="{7D0B06DC-AD10-4C17-8CA5-5D5883186557}" name="Tài sản đầu tư" dataDxfId="269"/>
    <tableColumn id="3" xr3:uid="{D33CF87D-21E8-4D3A-8E01-4F1161353E26}" name="Giá trị đầu tư" dataDxfId="268" dataCellStyle="Comma"/>
    <tableColumn id="4" xr3:uid="{EFB06D4B-4971-468B-9A1B-D04F8830D305}" name="Thời hạn (tháng)" dataDxfId="267" dataCellStyle="Comma"/>
    <tableColumn id="8" xr3:uid="{65743D85-4109-4D92-B664-2BCBF0420CA1}" name="Lãi suất (năm)" dataDxfId="266" dataCellStyle="Percent"/>
    <tableColumn id="9" xr3:uid="{846A9515-722D-44B8-90F2-8D8E0F05BA3D}" name="Kỳ đầu tư" dataDxfId="265"/>
    <tableColumn id="6" xr3:uid="{4C00745A-B1FE-45B1-9B3E-38A95580281F}" name="Kỳ đáo hạn" dataDxfId="264">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63" dataCellStyle="Comma">
      <calculatedColumnFormula>IF(ISBLANK(Table_DauTu[[#This Row],[Lãi suất (năm)]]),0,Table_DauTu[[#This Row],[Giá trị đầu tư]]* Table_DauTu[[#This Row],[Lãi suất (năm)]]/12)</calculatedColumnFormula>
    </tableColumn>
    <tableColumn id="10" xr3:uid="{DD51B405-73CD-400C-ADF6-CF820E5F4616}" name="Add" dataDxfId="262"/>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58" dataDxfId="257">
  <autoFilter ref="B4:M8" xr:uid="{33BA97D5-806B-467F-8072-874973E61A4E}"/>
  <tableColumns count="12">
    <tableColumn id="1" xr3:uid="{4A93644F-8224-447B-9E36-259792E6E138}" name="Mã khoản vay" dataDxfId="256"/>
    <tableColumn id="2" xr3:uid="{A89F2CB3-3FD7-456C-B7F4-0E3DBE246171}" name="Bên cho vay" dataDxfId="255"/>
    <tableColumn id="3" xr3:uid="{0346E20E-CC57-4F1B-B612-52C1688C2B55}" name="Giá trị vay" dataDxfId="254" dataCellStyle="Comma"/>
    <tableColumn id="12" xr3:uid="{B3E707F2-4568-4E1A-A294-7D6F30EC02BD}" name="Tần suất trả nợ" dataDxfId="253" dataCellStyle="Comma"/>
    <tableColumn id="11" xr3:uid="{AA3EB2D4-0F79-41E8-BF8E-F9B87967230F}" name="Thời hạn (năm)" dataDxfId="252" dataCellStyle="Comma"/>
    <tableColumn id="4" xr3:uid="{57419588-C918-4A04-A1A6-318776271252}" name="Thời hạn (tháng)" dataDxfId="251" dataCellStyle="Comma"/>
    <tableColumn id="8" xr3:uid="{ADE26E08-469E-496D-8DD9-6D7A2F0B7494}" name="Lãi suất (năm)" dataDxfId="250" dataCellStyle="Percent"/>
    <tableColumn id="9" xr3:uid="{BE0A26C0-FBBB-45BA-804C-0B8E64CC81D3}" name="Ngày vay" dataDxfId="249"/>
    <tableColumn id="5" xr3:uid="{77AF3B82-48AE-4D87-A5EB-64C9E37C071D}" name="Bắt đầu trả gốc" dataDxfId="248"/>
    <tableColumn id="6" xr3:uid="{585AAE9C-F2FC-4DF5-9A78-D2638745E9B1}" name="Kết thúc trả gốc" dataDxfId="24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4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45"/>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42" dataDxfId="241">
  <autoFilter ref="B4:K5" xr:uid="{1C709573-89B6-4517-AED2-CA532A54D3DD}"/>
  <tableColumns count="10">
    <tableColumn id="1" xr3:uid="{11E1E3A6-FE95-4E0C-BEA8-076729333970}" name="Mã Cổ đông" dataDxfId="240"/>
    <tableColumn id="2" xr3:uid="{65209269-4DB8-4391-A298-4C64CE3A340D}" name="Tên Cổ đông" dataDxfId="239"/>
    <tableColumn id="3" xr3:uid="{C0AAD33A-81E5-48B1-BB5B-03749E6409F0}" name="Vốn góp ban đầu" dataDxfId="238" dataCellStyle="Comma"/>
    <tableColumn id="4" xr3:uid="{0167E8D1-6899-412F-9852-A8F5405AB4C3}" name="Vốn góp hiện tại" dataDxfId="237"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36" dataCellStyle="Percent">
      <calculatedColumnFormula>IFERROR(Table_CoDong[[#This Row],[Vốn góp hiện tại]]/SUM(Table_CoDong[Vốn góp hiện tại]),0)</calculatedColumnFormula>
    </tableColumn>
    <tableColumn id="6" xr3:uid="{0788CB80-297F-4206-91C9-CF1E0FC99640}" name="Tỷ lệ chia lợi nhuận" dataDxfId="235" dataCellStyle="Percent">
      <calculatedColumnFormula>Table_CoDong[[#This Row],[Tỷ lệ sở hữu]]</calculatedColumnFormula>
    </tableColumn>
    <tableColumn id="7" xr3:uid="{CF2A8E55-DDBD-4A97-B224-28CD96F9E7D5}" name="MST / CCCD" dataDxfId="234"/>
    <tableColumn id="8" xr3:uid="{E7AC8E04-EB64-406A-BE0D-7081826BA7F9}" name="Địa chỉ" dataDxfId="233"/>
    <tableColumn id="9" xr3:uid="{F171E66A-5F9D-4092-B19D-F0B4D3C1A7D4}" name="SĐT" dataDxfId="232"/>
    <tableColumn id="10" xr3:uid="{157EEF0C-DA61-4F78-B69B-396759529D02}" name="Add" dataDxfId="231"/>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L21:AB22" totalsRowShown="0" headerRowDxfId="228" dataDxfId="227">
  <autoFilter ref="L21:AB22" xr:uid="{5F991E17-DE02-4747-B5A3-0BC9073CB224}"/>
  <tableColumns count="17">
    <tableColumn id="1" xr3:uid="{8EB76FFF-4298-4FA9-8AEF-A1BCE446D786}" name="STT" dataDxfId="226"/>
    <tableColumn id="2" xr3:uid="{BD174AD5-E97E-477B-BC4F-E91FD9C428FE}" name="Mã chi phí" dataDxfId="225">
      <calculatedColumnFormula>CONCATENATE("CP-",U22,"-",MOD(O22,100)*100+P22,"-",L22)</calculatedColumnFormula>
    </tableColumn>
    <tableColumn id="4" xr3:uid="{E44E3A1C-E824-4C08-B3CB-09598F123B88}" name="Kỳ" dataDxfId="224">
      <calculatedColumnFormula>IFERROR(
IF(ISBLANK(Table_ChiPhiKD[[#This Row],[Tháng]]),
DATE(Table_ChiPhiKD[[#This Row],[Năm]],12,1),
DATE(Table_ChiPhiKD[[#This Row],[Năm]],Table_ChiPhiKD[[#This Row],[Tháng]],1)),0)</calculatedColumnFormula>
    </tableColumn>
    <tableColumn id="3" xr3:uid="{951F499D-E058-410C-B58A-2B55796DF745}" name="Năm" dataDxfId="223" dataCellStyle="Comma"/>
    <tableColumn id="10" xr3:uid="{B1FB9B04-80B2-4715-A31B-B948274CB86B}" name="Tháng" dataDxfId="222" dataCellStyle="Comma"/>
    <tableColumn id="16" xr3:uid="{AA4DD464-AA58-4FC8-AA01-05E1E24161BC}" name="Phân bổ từ" dataDxfId="221"/>
    <tableColumn id="17" xr3:uid="{3D1DA3BA-92E3-490C-B457-D14473A7D91A}" name="Phân bổ đến" dataDxfId="220"/>
    <tableColumn id="5" xr3:uid="{C39693CD-AB60-4CF1-A1B9-5926B9B0DCC1}" name="Nhóm chi phí" dataDxfId="219"/>
    <tableColumn id="15" xr3:uid="{D484D441-3E9A-4FB5-870D-8565F8778970}" name="Nhóm vendor" dataDxfId="218"/>
    <tableColumn id="6" xr3:uid="{D224774D-C286-440F-9995-EADC42C63DDB}" name="Vendor" dataDxfId="217"/>
    <tableColumn id="8" xr3:uid="{784EA8E4-5DA1-413C-B845-3AC745F511D2}" name="Nội dung" dataDxfId="216"/>
    <tableColumn id="9" xr3:uid="{9CFBD63A-3004-4019-B4C0-8BC6155C769E}" name="Giá trị" dataDxfId="215"/>
    <tableColumn id="11" xr3:uid="{F137258A-D68A-4907-82AC-D5F9125EDBEF}" name="Tỷ suất VAT kháu trừ" dataDxfId="214"/>
    <tableColumn id="13" xr3:uid="{61812D02-8B46-4BA6-871B-7AE02B78CA8A}" name="VAT khấu trừ" dataDxfId="213">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212">
      <calculatedColumnFormula>Table_ChiPhiKD[[#This Row],[Giá trị]]-Table_ChiPhiKD[[#This Row],[VAT khấu trừ]]</calculatedColumnFormula>
    </tableColumn>
    <tableColumn id="12" xr3:uid="{B64FA33D-F32F-4150-89F0-5E5629BF018D}" name="Add" dataDxfId="211"/>
    <tableColumn id="7" xr3:uid="{925DFFB3-F75E-4803-8AB1-5A25D839F13D}" name="Còn lại" dataDxfId="210">
      <calculatedColumnFormula array="1"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A829BAB-EAA8-4CEC-8729-FEB23DC461F0}" name="Table_ChiPhiKD_PhanBo" displayName="Table_ChiPhiKD_PhanBo" ref="B21:J22" totalsRowShown="0" headerRowDxfId="209" dataDxfId="207" headerRowBorderDxfId="208" tableBorderDxfId="206" totalsRowBorderDxfId="205">
  <autoFilter ref="B21:J22" xr:uid="{CA829BAB-EAA8-4CEC-8729-FEB23DC461F0}"/>
  <tableColumns count="9">
    <tableColumn id="2" xr3:uid="{8758E641-9FC9-4E2A-A29D-0034C0ECDB6C}" name="Kỳ" dataDxfId="204">
      <calculatedColumnFormula>IFERROR(
IF(ISBLANK(D22),
DATE(C22,12,1),
DATE(C22,D22,1)),0)</calculatedColumnFormula>
    </tableColumn>
    <tableColumn id="1" xr3:uid="{ECB58036-A7FC-4654-9002-29059A2F1910}" name="Năm" dataDxfId="203"/>
    <tableColumn id="6" xr3:uid="{DD4BCD06-7928-4810-BE08-438C5A629337}" name="Tháng" dataDxfId="202"/>
    <tableColumn id="8" xr3:uid="{919E23A3-BD19-4641-8A6E-C83B9766C74B}" name="Phân bổ từ" dataDxfId="201"/>
    <tableColumn id="9" xr3:uid="{2D113709-C06A-4FC5-BBED-92EF0652E204}" name="Phân bổ đến" dataDxfId="200"/>
    <tableColumn id="3" xr3:uid="{38854166-B381-4850-89BC-C77D9602A34C}" name="Chi phí" dataDxfId="199"/>
    <tableColumn id="4" xr3:uid="{FF35A440-F1CA-45A1-8D46-6AC05CB1D37B}" name="Chức năng" dataDxfId="198"/>
    <tableColumn id="5" xr3:uid="{DE55F636-84F4-4EBC-89C2-A9E3BEE9EA49}" name="Tỷ lệ phân bổ" dataDxfId="197" dataCellStyle="Percent"/>
    <tableColumn id="7" xr3:uid="{BDD94865-37AC-436D-AE47-AF4C300F9F6D}" name="Add" dataDxfId="196"/>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G3:H18" totalsRowShown="0" headerRowDxfId="195" dataDxfId="194">
  <autoFilter ref="G3:H18" xr:uid="{A3BF0C5B-FC17-4D9C-B315-53375E480D6F}"/>
  <tableColumns count="2">
    <tableColumn id="1" xr3:uid="{5A01712E-882C-4D38-85D0-54B58A2EB9BA}" name="Nhóm chi phí" dataDxfId="193"/>
    <tableColumn id="3" xr3:uid="{995D1958-CA48-46CF-BFF8-F6D8301B03B8}" name="Chức năng" dataDxfId="192"/>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17" totalsRowShown="0" headerRowDxfId="184" dataDxfId="182" headerRowBorderDxfId="183" tableBorderDxfId="181" totalsRowBorderDxfId="180">
  <autoFilter ref="B14:J17" xr:uid="{F9CDC939-2E96-4476-86E6-B56E18A675E8}"/>
  <tableColumns count="9">
    <tableColumn id="1" xr3:uid="{7721CE83-F664-4762-9716-4889305A9FE2}" name="Mã Đối tác" dataDxfId="179"/>
    <tableColumn id="2" xr3:uid="{41D3F0CF-E150-49FF-8B01-450666B3CC4E}" name="Tên Đối tác" dataDxfId="178"/>
    <tableColumn id="8" xr3:uid="{CF26196B-69EB-46EC-B556-EA7E356900A5}" name="Loại đối tác" dataDxfId="177"/>
    <tableColumn id="3" xr3:uid="{B91B8895-5250-4079-BB0D-F4FE31F381D7}" name="Mã số thuế" dataDxfId="176"/>
    <tableColumn id="4" xr3:uid="{81E3C711-500A-4593-942E-FEAB04058687}" name="SĐT" dataDxfId="175"/>
    <tableColumn id="5" xr3:uid="{BB737E9B-C3C7-42A0-AE4B-C771A4B94B46}" name="Địa điểm" dataDxfId="174"/>
    <tableColumn id="6" xr3:uid="{ABBC3333-2DA9-426E-B6D7-895106AB9BC7}" name="Tài khoản" dataDxfId="173"/>
    <tableColumn id="9" xr3:uid="{AB1EED42-5145-44D2-B0AC-5FA7A87C5A4B}" name="Dư nợ" dataDxfId="172" dataCellStyle="Comma">
      <calculatedColumnFormula>IFERROR(VLOOKUP(Table_NhaCungCap[[#This Row],[Mã Đối tác]],Table_PhaiTra[[Đối tác]:[Add]],COUNTA(Table_PhaiTra[[#Headers],[Đối tác]:[Add]])-1,0),0)</calculatedColumnFormula>
    </tableColumn>
    <tableColumn id="7" xr3:uid="{33848DA7-3319-42F8-95F5-D04554228C07}" name="Add" dataDxfId="171"/>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8" dataDxfId="167">
  <autoFilter ref="T9:AC10" xr:uid="{D36C50C2-9F50-44F9-851E-AF3CE876FBFE}"/>
  <tableColumns count="10">
    <tableColumn id="1" xr3:uid="{4A3FCD0C-E17B-4120-9BE4-7374A2C75088}" name="Mã NV" dataDxfId="166"/>
    <tableColumn id="2" xr3:uid="{3FF44A59-1049-4D92-87E1-AE653BB3E15F}" name="Tên NV" dataDxfId="165"/>
    <tableColumn id="8" xr3:uid="{99A1AB96-F8C1-4D21-9FC4-EF4072A4DE00}" name="Bộ phận" dataDxfId="164"/>
    <tableColumn id="5" xr3:uid="{BEAC1714-C1E8-49D6-9AC3-1AF3087A84E0}" name="Phòng" dataDxfId="163">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2">
      <calculatedColumnFormula>IFERROR(
VLOOKUP(Table_NhanVien[[#This Row],[Phòng]],Table_CauTruc_PhongBan[],COUNTA(Table_CauTruc_PhongBan[[#Headers],[Tên phòng ban]:[Chức năng]]),0),0)</calculatedColumnFormula>
    </tableColumn>
    <tableColumn id="6" xr3:uid="{7B5CEAB6-BD30-4D2D-943C-5EC7D3E12B9D}" name="Vị trí" dataDxfId="161"/>
    <tableColumn id="7" xr3:uid="{8B9A2DC1-6892-4BE3-8A30-44D5EB94ABC1}" name="Lương gross" dataDxfId="160" dataCellStyle="Comma"/>
    <tableColumn id="12" xr3:uid="{E89F53C3-90D6-460E-8E47-F1E06E1BC555}" name="Người phụ thuộc" dataDxfId="159" dataCellStyle="Comma"/>
    <tableColumn id="9" xr3:uid="{DA7672C3-D179-41D7-B233-EF01246FF73A}" name="Nghỉ phép năm" dataDxfId="158" dataCellStyle="Comma"/>
    <tableColumn id="3" xr3:uid="{0997A14D-6FB9-4585-89CD-7360C6B38981}" name="Add" dataDxfId="157"/>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6" dataDxfId="155">
  <autoFilter ref="B9:E10" xr:uid="{874024D3-C0F6-4B78-91DE-183D234B7E0A}"/>
  <tableColumns count="4">
    <tableColumn id="2" xr3:uid="{4955A630-83A9-465E-8E2B-CCAF528A483F}" name="Tên phòng ban" dataDxfId="154"/>
    <tableColumn id="3" xr3:uid="{BB289D1A-97DE-4CC3-9BC0-D73268339B89}" name="Chức năng" dataDxfId="153"/>
    <tableColumn id="4" xr3:uid="{BD3DB428-9E80-4CCB-859B-3280E06AA362}" name="Trưởng phòng" dataDxfId="152"/>
    <tableColumn id="5" xr3:uid="{196D9394-A077-432C-A305-7C9FA44F664A}" name="Add" dataDxfId="151"/>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50" dataDxfId="149">
  <autoFilter ref="G9:J10" xr:uid="{63F1D030-35D8-461C-A2E4-DECEBB912102}"/>
  <tableColumns count="4">
    <tableColumn id="2" xr3:uid="{17A0FDD1-EA20-464F-B4AF-395480699CFD}" name="Tên bộ phận" dataDxfId="148"/>
    <tableColumn id="3" xr3:uid="{C35AC608-7B82-4B64-A7A0-64477DE43413}" name="Phòng trực thuộc" dataDxfId="147"/>
    <tableColumn id="4" xr3:uid="{509D9E98-94F9-4818-A87B-FC2F4C2B8217}" name="Trưởng bộ phận" dataDxfId="146"/>
    <tableColumn id="5" xr3:uid="{BA1EEDDC-46C1-425D-ABD9-403CE33F6A1A}" name="Add" dataDxfId="145"/>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4" dataDxfId="143">
  <autoFilter ref="L9:Q10" xr:uid="{BCDFD35B-AF46-4CAA-8C17-32B8AF8F3C2E}"/>
  <tableColumns count="6">
    <tableColumn id="1" xr3:uid="{CB2DDD6C-91E3-4F80-827C-B2E595D107A9}" name="Vị trí" dataDxfId="142"/>
    <tableColumn id="2" xr3:uid="{095AE0D0-0F39-4AEF-8276-39235A16F179}" name="Bộ phận" dataDxfId="141"/>
    <tableColumn id="3" xr3:uid="{535346B0-31A3-47B7-BD2E-E27629B35699}" name="Lương gross tiêu chuẩn" dataDxfId="140"/>
    <tableColumn id="4" xr3:uid="{8DC987E5-7EDA-444E-8653-BC208CE9DA98}" name="Số lượng mục tiêu" dataDxfId="139"/>
    <tableColumn id="5" xr3:uid="{0DE7B6C0-6272-4C44-A820-47B109AAF2DD}" name="Số lượng hiện tại" dataDxfId="138">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7"/>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3" dataDxfId="132">
  <autoFilter ref="H23:AD29" xr:uid="{40AFBD15-C3DB-4B1A-A7ED-68DC4F48A342}"/>
  <tableColumns count="23">
    <tableColumn id="1" xr3:uid="{A47B5657-C017-4789-8658-5878F1E279FC}" name="Mã Tài sản" dataDxfId="131"/>
    <tableColumn id="12" xr3:uid="{6EEF3686-9329-4F08-B3CD-EA296F7F9C7B}" name="Tên tài sản" dataDxfId="130"/>
    <tableColumn id="2" xr3:uid="{4F42ED11-12D7-40D8-B475-C321101CBE70}" name="Chức năng" dataDxfId="129"/>
    <tableColumn id="18" xr3:uid="{7C7701C7-1751-4E95-9C28-B86A2A873F7A}" name="Phân loại" dataDxfId="128"/>
    <tableColumn id="16" xr3:uid="{1E1E7B91-780E-48E4-A150-E80FD4EECDAF}" name="Công suất" dataDxfId="127" dataCellStyle="Comma"/>
    <tableColumn id="17" xr3:uid="{CF466C8E-B41D-429E-BDA5-A572C444FD7B}" name="Đơn vị công suất" dataDxfId="126"/>
    <tableColumn id="7" xr3:uid="{EB0326DA-5004-47BD-903B-08B8745AEC52}" name="Giá trị sổ sách" dataDxfId="125" dataCellStyle="Comma"/>
    <tableColumn id="9" xr3:uid="{F17E30ED-4447-4BC1-AC59-9DECB27CE82F}" name="Ngày mua" dataDxfId="124"/>
    <tableColumn id="3" xr3:uid="{367D1F63-7B9D-4BD0-908B-ED95605B8762}" name="Năm khấu hao" dataDxfId="123" dataCellStyle="Comma"/>
    <tableColumn id="4" xr3:uid="{DAEEE6C4-A0AA-484E-B5B8-9797AC6DD237}" name="Tháng khấu hao" dataDxfId="122" dataCellStyle="Comma">
      <calculatedColumnFormula>Table_TSCD[[#This Row],[Năm khấu hao]]*12</calculatedColumnFormula>
    </tableColumn>
    <tableColumn id="5" xr3:uid="{07F00AC5-E602-4A83-B7F0-0D26923028DF}" name="Ngày vận hành" dataDxfId="121"/>
    <tableColumn id="10" xr3:uid="{0433B6A4-1457-4046-8C56-89725B66D191}" name="Ngày thanh lý" dataDxfId="120"/>
    <tableColumn id="6" xr3:uid="{16F64D22-997F-4AD6-BAD5-FC61B6F5356C}" name="Ngày kết thúc" dataDxfId="119">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8" dataCellStyle="Comma">
      <calculatedColumnFormula>IFERROR(
Table_TSCD[[#This Row],[Giá trị sổ sách]]/Table_TSCD[[#This Row],[Tháng khấu hao]],
0)</calculatedColumnFormula>
    </tableColumn>
    <tableColumn id="15" xr3:uid="{D7FCA084-26D7-43E9-AB01-6C08A1C39460}" name="Tình trạng VAT" dataDxfId="117"/>
    <tableColumn id="13" xr3:uid="{7E34F990-ADFE-456A-A4D5-00D9D0FBED1F}" name="Tỷ suất VAT" dataDxfId="116" dataCellStyle="Percent"/>
    <tableColumn id="14" xr3:uid="{596FA92E-DD2A-48BD-B8C1-3CEAB720BF6D}" name="VAT khấu trừ" dataDxfId="115"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4"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3"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2" dataCellStyle="Percent">
      <calculatedColumnFormula>Table_TSCD[[#This Row],[Khấu hao lũy kế theo ngày]]/Table_TSCD[[#This Row],[Giá trị sổ sách]]</calculatedColumnFormula>
    </tableColumn>
    <tableColumn id="22" xr3:uid="{5B2AFBB9-6F62-4288-9CC5-CFDFEB00724B}" name="Giá trị còn lại" dataDxfId="111" dataCellStyle="Comma">
      <calculatedColumnFormula>Table_TSCD[[#This Row],[Giá trị sổ sách]]-Table_TSCD[[#This Row],[Khấu hao lũy kế theo ngày]]</calculatedColumnFormula>
    </tableColumn>
    <tableColumn id="23" xr3:uid="{B68CD42B-E757-4940-B628-028C623B9FF4}" name="Số ngày còn lại" dataDxfId="110"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2" dataDxfId="100" headerRowBorderDxfId="101" tableBorderDxfId="99" totalsRowBorderDxfId="98">
  <autoFilter ref="C8:J10" xr:uid="{F9CDC939-2E96-4476-86E6-B56E18A675E8}"/>
  <tableColumns count="8">
    <tableColumn id="1" xr3:uid="{1B67AE99-FDAD-4835-9D4E-34EA44144EE0}" name="Mã Nguyên liệu" dataDxfId="97"/>
    <tableColumn id="2" xr3:uid="{3C30776B-A6FB-47C4-8E72-61682F243AD3}" name="Tên Nguyên liệu" dataDxfId="96"/>
    <tableColumn id="3" xr3:uid="{87313DE0-6E80-44F2-914E-50F319B39506}" name="Chức năng" dataDxfId="95"/>
    <tableColumn id="4" xr3:uid="{915AAD01-0CDD-4393-9B34-72D2B09711C7}" name="Đơn vị" dataDxfId="94"/>
    <tableColumn id="5" xr3:uid="{43F9A0B6-22CC-4BE8-94BC-83710307A141}" name="Tỷ suất VAT" dataDxfId="93"/>
    <tableColumn id="8" xr3:uid="{1E207E09-C9FA-4E1E-BBA2-DE7826E06361}" name="Hạn sử dụng" dataDxfId="92"/>
    <tableColumn id="6" xr3:uid="{CD709ECA-DA11-4A56-A7D0-4462FFBF48DD}" name="Tồn kho" dataDxfId="91"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90"/>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8" dataDxfId="87">
  <autoFilter ref="B5:N6" xr:uid="{89D4D2D8-07A6-4019-B2DE-FD28C29C2B5F}"/>
  <tableColumns count="13">
    <tableColumn id="1" xr3:uid="{C07B4D49-6C55-4384-8622-8E12E3545080}" name="Mã Chương trình" dataDxfId="86"/>
    <tableColumn id="10" xr3:uid="{C922E9CA-E240-489B-BF96-87E46297C0A4}" name="Đối tượng CK" dataDxfId="85"/>
    <tableColumn id="2" xr3:uid="{60DDFE69-7F8F-4970-9DF7-BBE4159ACE63}" name="Nội dung Chương trình" dataDxfId="84"/>
    <tableColumn id="3" xr3:uid="{6AD3BBB5-4931-4482-A0C5-69CCB2D21437}" name="Bắt đầu" dataDxfId="83"/>
    <tableColumn id="4" xr3:uid="{D841A234-B8B9-421B-BC2F-26B35AA9284D}" name="Kết thúc" dataDxfId="82"/>
    <tableColumn id="5" xr3:uid="{18734680-1290-4A36-81B4-E137009CFECE}" name="Tỷ lệ CK" dataDxfId="81"/>
    <tableColumn id="6" xr3:uid="{A4897EC7-31DE-4F08-8716-1B71CB19BB9C}" name="Giá trị CK" dataDxfId="80" dataCellStyle="Comma"/>
    <tableColumn id="8" xr3:uid="{A678DB58-0A2F-46DD-ADD2-53C6F78C9D5D}" name="Số lượng" dataDxfId="79" dataCellStyle="Comma"/>
    <tableColumn id="9" xr3:uid="{0B14159A-8061-4F3D-9C98-CC9169AF2819}" name="Giá trị tối thiểu" dataDxfId="78" dataCellStyle="Comma"/>
    <tableColumn id="14" xr3:uid="{02C28D48-ADA4-42D2-B1D6-6B3ECF7B9637}" name="Sinh nhật" dataDxfId="77" dataCellStyle="Comma"/>
    <tableColumn id="15" xr3:uid="{E08C58CE-C14D-4155-BD98-3405A6557F2C}" name="Ngày mua cuối" dataDxfId="76" dataCellStyle="Comma"/>
    <tableColumn id="7" xr3:uid="{2C3E4CBC-B39B-4DE4-8CC7-9D656A80807F}" name="Chi phí" dataDxfId="75" dataCellStyle="Comma"/>
    <tableColumn id="11" xr3:uid="{9F97954A-5E09-49C4-BF7A-3D47ED5D6855}" name="Add" dataDxfId="7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2" dataDxfId="71">
  <autoFilter ref="B4:G5" xr:uid="{BFD265DA-C428-4BBF-9997-524EA24EACF2}"/>
  <tableColumns count="6">
    <tableColumn id="1" xr3:uid="{A976ACD2-663C-42B5-A29A-3F119C4BFAF8}" name="SKU" dataDxfId="70"/>
    <tableColumn id="2" xr3:uid="{7B693058-09CD-4FC7-82F6-C9C42132806D}" name="Đối tượng" dataDxfId="69"/>
    <tableColumn id="3" xr3:uid="{EA765741-F5DC-4846-BA61-71C5CC0C8E9D}" name="Mã Nhân viên" dataDxfId="68"/>
    <tableColumn id="4" xr3:uid="{6C52C6DF-D30B-490B-AE76-9A46BD269A4B}" name="Mã Kênh" dataDxfId="67"/>
    <tableColumn id="5" xr3:uid="{8CACF372-1843-432A-91FD-C2D566B04294}" name="Tỷ lệ" dataDxfId="66" dataCellStyle="Percent"/>
    <tableColumn id="6" xr3:uid="{7BF68F79-ABD2-4029-8EC0-27A97CFFE79A}" name="Add" dataDxfId="65"/>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3" dataDxfId="62">
  <autoFilter ref="B5:E6" xr:uid="{2C190213-2920-4301-9BD2-35D456F6F833}"/>
  <tableColumns count="4">
    <tableColumn id="1" xr3:uid="{48D2CC13-06FE-4B51-8CAD-C4F4EF85420A}" name="Mã Kênh" dataDxfId="61"/>
    <tableColumn id="2" xr3:uid="{FF2BFB4A-9E52-473D-B444-382777BA80E7}" name="Tên Kênh" dataDxfId="60"/>
    <tableColumn id="5" xr3:uid="{D22ACC48-099B-4D66-B1CD-75FB257CD025}" name="Nhóm Kênh" dataDxfId="59"/>
    <tableColumn id="4" xr3:uid="{1A6D0473-8727-4A96-823F-B0D1727EF43F}" name="Add" dataDxfId="58"/>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6" dataDxfId="55">
  <autoFilter ref="B4:H10" xr:uid="{2A700966-B946-4558-BE22-99AF6B5C1F14}"/>
  <tableColumns count="7">
    <tableColumn id="1" xr3:uid="{6540178E-6A74-4E52-9659-A4417E2EEE4E}" name="Cấp khách hàng" dataDxfId="54"/>
    <tableColumn id="2" xr3:uid="{09519A03-DE47-49D1-A93A-D7D1B0D21CA7}" name="Doanh thu tối thiểu" dataDxfId="53" dataCellStyle="Comma"/>
    <tableColumn id="3" xr3:uid="{3D6F47F4-0B0E-46DC-994D-47D05A146FEB}" name="Doanh thu tối đa" dataDxfId="52" dataCellStyle="Comma"/>
    <tableColumn id="6" xr3:uid="{80CA5847-269C-4A48-832B-FA8EE738B896}" name="Tỷ lệ điểm thưởng" dataDxfId="51" dataCellStyle="Percent"/>
    <tableColumn id="4" xr3:uid="{ACB3DB24-CDD2-4384-8CDA-D6179B576C5B}" name="Điểm thưởng tối đa" dataDxfId="50"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9"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8"/>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L8" totalsRowShown="0" headerRowDxfId="45" dataDxfId="44">
  <autoFilter ref="B5:L8" xr:uid="{2EBADAAF-4973-4630-9BDB-5AF1B00AEAF7}"/>
  <tableColumns count="11">
    <tableColumn id="1" xr3:uid="{D1EE74C4-8BF8-4369-81F8-60D04CDD26D7}" name="Mã KH" dataDxfId="43"/>
    <tableColumn id="3" xr3:uid="{4E5DA2CF-550B-4BCB-8C7D-5456FFB6D93D}" name="Tên KH" dataDxfId="42"/>
    <tableColumn id="7" xr3:uid="{9AE8DD08-A2D5-4075-A123-CC5A43E448DA}" name="Phân khúc" dataDxfId="41"/>
    <tableColumn id="5" xr3:uid="{FD3B42F2-01B0-43C5-B7E1-FAE3A48CDD5B}" name="Mã số thuế" dataDxfId="40"/>
    <tableColumn id="4" xr3:uid="{0FDCF1F2-5A53-41D3-9656-BA5781D47D38}" name="SĐT" dataDxfId="39"/>
    <tableColumn id="2" xr3:uid="{71DC607F-1DB8-4928-BFA3-B3A477A5C8EB}" name="Địa chỉ" dataDxfId="38"/>
    <tableColumn id="8" xr3:uid="{4511C0B7-321C-427D-A888-13DDC7FF20CC}" name="Phường"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ctrlProp" Target="../ctrlProps/ctrlProp482.xml"/><Relationship Id="rId3" Type="http://schemas.openxmlformats.org/officeDocument/2006/relationships/vmlDrawing" Target="../drawings/vmlDrawing35.vml"/><Relationship Id="rId21" Type="http://schemas.openxmlformats.org/officeDocument/2006/relationships/ctrlProp" Target="../ctrlProps/ctrlProp485.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table" Target="../tables/table106.xml"/><Relationship Id="rId2" Type="http://schemas.openxmlformats.org/officeDocument/2006/relationships/drawing" Target="../drawings/drawing38.xml"/><Relationship Id="rId16" Type="http://schemas.openxmlformats.org/officeDocument/2006/relationships/ctrlProp" Target="../ctrlProps/ctrlProp480.xml"/><Relationship Id="rId20" Type="http://schemas.openxmlformats.org/officeDocument/2006/relationships/ctrlProp" Target="../ctrlProps/ctrlProp484.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table" Target="../tables/table105.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table" Target="../tables/table104.xml"/><Relationship Id="rId10" Type="http://schemas.openxmlformats.org/officeDocument/2006/relationships/ctrlProp" Target="../ctrlProps/ctrlProp474.xml"/><Relationship Id="rId19" Type="http://schemas.openxmlformats.org/officeDocument/2006/relationships/ctrlProp" Target="../ctrlProps/ctrlProp483.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90.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9.xml"/><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6.xml"/><Relationship Id="rId13" Type="http://schemas.openxmlformats.org/officeDocument/2006/relationships/ctrlProp" Target="../ctrlProps/ctrlProp501.xml"/><Relationship Id="rId3" Type="http://schemas.openxmlformats.org/officeDocument/2006/relationships/ctrlProp" Target="../ctrlProps/ctrlProp491.xml"/><Relationship Id="rId7" Type="http://schemas.openxmlformats.org/officeDocument/2006/relationships/ctrlProp" Target="../ctrlProps/ctrlProp495.xml"/><Relationship Id="rId12" Type="http://schemas.openxmlformats.org/officeDocument/2006/relationships/ctrlProp" Target="../ctrlProps/ctrlProp500.xml"/><Relationship Id="rId2" Type="http://schemas.openxmlformats.org/officeDocument/2006/relationships/vmlDrawing" Target="../drawings/vmlDrawing37.vml"/><Relationship Id="rId16" Type="http://schemas.openxmlformats.org/officeDocument/2006/relationships/table" Target="../tables/table107.xml"/><Relationship Id="rId1" Type="http://schemas.openxmlformats.org/officeDocument/2006/relationships/drawing" Target="../drawings/drawing40.xml"/><Relationship Id="rId6" Type="http://schemas.openxmlformats.org/officeDocument/2006/relationships/ctrlProp" Target="../ctrlProps/ctrlProp494.xml"/><Relationship Id="rId11" Type="http://schemas.openxmlformats.org/officeDocument/2006/relationships/ctrlProp" Target="../ctrlProps/ctrlProp499.xml"/><Relationship Id="rId5" Type="http://schemas.openxmlformats.org/officeDocument/2006/relationships/ctrlProp" Target="../ctrlProps/ctrlProp493.xml"/><Relationship Id="rId15" Type="http://schemas.openxmlformats.org/officeDocument/2006/relationships/ctrlProp" Target="../ctrlProps/ctrlProp503.xml"/><Relationship Id="rId10" Type="http://schemas.openxmlformats.org/officeDocument/2006/relationships/ctrlProp" Target="../ctrlProps/ctrlProp498.xml"/><Relationship Id="rId4" Type="http://schemas.openxmlformats.org/officeDocument/2006/relationships/ctrlProp" Target="../ctrlProps/ctrlProp492.xml"/><Relationship Id="rId9" Type="http://schemas.openxmlformats.org/officeDocument/2006/relationships/ctrlProp" Target="../ctrlProps/ctrlProp497.xml"/><Relationship Id="rId14" Type="http://schemas.openxmlformats.org/officeDocument/2006/relationships/ctrlProp" Target="../ctrlProps/ctrlProp50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9.xml"/><Relationship Id="rId13" Type="http://schemas.openxmlformats.org/officeDocument/2006/relationships/ctrlProp" Target="../ctrlProps/ctrlProp514.xml"/><Relationship Id="rId18" Type="http://schemas.openxmlformats.org/officeDocument/2006/relationships/ctrlProp" Target="../ctrlProps/ctrlProp519.xml"/><Relationship Id="rId26" Type="http://schemas.openxmlformats.org/officeDocument/2006/relationships/ctrlProp" Target="../ctrlProps/ctrlProp527.xml"/><Relationship Id="rId3" Type="http://schemas.openxmlformats.org/officeDocument/2006/relationships/ctrlProp" Target="../ctrlProps/ctrlProp504.xml"/><Relationship Id="rId21" Type="http://schemas.openxmlformats.org/officeDocument/2006/relationships/ctrlProp" Target="../ctrlProps/ctrlProp522.xml"/><Relationship Id="rId7" Type="http://schemas.openxmlformats.org/officeDocument/2006/relationships/ctrlProp" Target="../ctrlProps/ctrlProp508.xml"/><Relationship Id="rId12" Type="http://schemas.openxmlformats.org/officeDocument/2006/relationships/ctrlProp" Target="../ctrlProps/ctrlProp513.xml"/><Relationship Id="rId17" Type="http://schemas.openxmlformats.org/officeDocument/2006/relationships/ctrlProp" Target="../ctrlProps/ctrlProp518.xml"/><Relationship Id="rId25" Type="http://schemas.openxmlformats.org/officeDocument/2006/relationships/ctrlProp" Target="../ctrlProps/ctrlProp526.xml"/><Relationship Id="rId2" Type="http://schemas.openxmlformats.org/officeDocument/2006/relationships/vmlDrawing" Target="../drawings/vmlDrawing38.vml"/><Relationship Id="rId16" Type="http://schemas.openxmlformats.org/officeDocument/2006/relationships/ctrlProp" Target="../ctrlProps/ctrlProp517.xml"/><Relationship Id="rId20" Type="http://schemas.openxmlformats.org/officeDocument/2006/relationships/ctrlProp" Target="../ctrlProps/ctrlProp521.xml"/><Relationship Id="rId29" Type="http://schemas.openxmlformats.org/officeDocument/2006/relationships/table" Target="../tables/table109.xml"/><Relationship Id="rId1" Type="http://schemas.openxmlformats.org/officeDocument/2006/relationships/drawing" Target="../drawings/drawing41.xml"/><Relationship Id="rId6" Type="http://schemas.openxmlformats.org/officeDocument/2006/relationships/ctrlProp" Target="../ctrlProps/ctrlProp507.xml"/><Relationship Id="rId11" Type="http://schemas.openxmlformats.org/officeDocument/2006/relationships/ctrlProp" Target="../ctrlProps/ctrlProp512.xml"/><Relationship Id="rId24" Type="http://schemas.openxmlformats.org/officeDocument/2006/relationships/ctrlProp" Target="../ctrlProps/ctrlProp525.xml"/><Relationship Id="rId5" Type="http://schemas.openxmlformats.org/officeDocument/2006/relationships/ctrlProp" Target="../ctrlProps/ctrlProp506.xml"/><Relationship Id="rId15" Type="http://schemas.openxmlformats.org/officeDocument/2006/relationships/ctrlProp" Target="../ctrlProps/ctrlProp516.xml"/><Relationship Id="rId23" Type="http://schemas.openxmlformats.org/officeDocument/2006/relationships/ctrlProp" Target="../ctrlProps/ctrlProp524.xml"/><Relationship Id="rId28" Type="http://schemas.openxmlformats.org/officeDocument/2006/relationships/table" Target="../tables/table108.xml"/><Relationship Id="rId10" Type="http://schemas.openxmlformats.org/officeDocument/2006/relationships/ctrlProp" Target="../ctrlProps/ctrlProp511.xml"/><Relationship Id="rId19" Type="http://schemas.openxmlformats.org/officeDocument/2006/relationships/ctrlProp" Target="../ctrlProps/ctrlProp520.xml"/><Relationship Id="rId31" Type="http://schemas.openxmlformats.org/officeDocument/2006/relationships/table" Target="../tables/table111.xml"/><Relationship Id="rId4" Type="http://schemas.openxmlformats.org/officeDocument/2006/relationships/ctrlProp" Target="../ctrlProps/ctrlProp505.xml"/><Relationship Id="rId9" Type="http://schemas.openxmlformats.org/officeDocument/2006/relationships/ctrlProp" Target="../ctrlProps/ctrlProp510.xml"/><Relationship Id="rId14" Type="http://schemas.openxmlformats.org/officeDocument/2006/relationships/ctrlProp" Target="../ctrlProps/ctrlProp515.xml"/><Relationship Id="rId22" Type="http://schemas.openxmlformats.org/officeDocument/2006/relationships/ctrlProp" Target="../ctrlProps/ctrlProp523.xml"/><Relationship Id="rId27" Type="http://schemas.openxmlformats.org/officeDocument/2006/relationships/ctrlProp" Target="../ctrlProps/ctrlProp528.xml"/><Relationship Id="rId30" Type="http://schemas.openxmlformats.org/officeDocument/2006/relationships/table" Target="../tables/table1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33.xml"/><Relationship Id="rId13" Type="http://schemas.openxmlformats.org/officeDocument/2006/relationships/ctrlProp" Target="../ctrlProps/ctrlProp538.xml"/><Relationship Id="rId18" Type="http://schemas.openxmlformats.org/officeDocument/2006/relationships/table" Target="../tables/table112.xml"/><Relationship Id="rId3" Type="http://schemas.openxmlformats.org/officeDocument/2006/relationships/vmlDrawing" Target="../drawings/vmlDrawing39.vml"/><Relationship Id="rId7" Type="http://schemas.openxmlformats.org/officeDocument/2006/relationships/ctrlProp" Target="../ctrlProps/ctrlProp532.xml"/><Relationship Id="rId12" Type="http://schemas.openxmlformats.org/officeDocument/2006/relationships/ctrlProp" Target="../ctrlProps/ctrlProp537.xml"/><Relationship Id="rId17" Type="http://schemas.openxmlformats.org/officeDocument/2006/relationships/ctrlProp" Target="../ctrlProps/ctrlProp542.xml"/><Relationship Id="rId2" Type="http://schemas.openxmlformats.org/officeDocument/2006/relationships/drawing" Target="../drawings/drawing42.xml"/><Relationship Id="rId16" Type="http://schemas.openxmlformats.org/officeDocument/2006/relationships/ctrlProp" Target="../ctrlProps/ctrlProp541.xml"/><Relationship Id="rId1" Type="http://schemas.openxmlformats.org/officeDocument/2006/relationships/pivotTable" Target="../pivotTables/pivotTable25.xml"/><Relationship Id="rId6" Type="http://schemas.openxmlformats.org/officeDocument/2006/relationships/ctrlProp" Target="../ctrlProps/ctrlProp531.xml"/><Relationship Id="rId11" Type="http://schemas.openxmlformats.org/officeDocument/2006/relationships/ctrlProp" Target="../ctrlProps/ctrlProp536.xml"/><Relationship Id="rId5" Type="http://schemas.openxmlformats.org/officeDocument/2006/relationships/ctrlProp" Target="../ctrlProps/ctrlProp530.xml"/><Relationship Id="rId15" Type="http://schemas.openxmlformats.org/officeDocument/2006/relationships/ctrlProp" Target="../ctrlProps/ctrlProp540.xml"/><Relationship Id="rId10" Type="http://schemas.openxmlformats.org/officeDocument/2006/relationships/ctrlProp" Target="../ctrlProps/ctrlProp535.xml"/><Relationship Id="rId4" Type="http://schemas.openxmlformats.org/officeDocument/2006/relationships/ctrlProp" Target="../ctrlProps/ctrlProp529.xml"/><Relationship Id="rId9" Type="http://schemas.openxmlformats.org/officeDocument/2006/relationships/ctrlProp" Target="../ctrlProps/ctrlProp534.xml"/><Relationship Id="rId14" Type="http://schemas.openxmlformats.org/officeDocument/2006/relationships/ctrlProp" Target="../ctrlProps/ctrlProp53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8.xml"/><Relationship Id="rId13" Type="http://schemas.openxmlformats.org/officeDocument/2006/relationships/ctrlProp" Target="../ctrlProps/ctrlProp553.xml"/><Relationship Id="rId3" Type="http://schemas.openxmlformats.org/officeDocument/2006/relationships/ctrlProp" Target="../ctrlProps/ctrlProp543.x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vmlDrawing" Target="../drawings/vmlDrawing40.vml"/><Relationship Id="rId16" Type="http://schemas.openxmlformats.org/officeDocument/2006/relationships/table" Target="../tables/table113.xml"/><Relationship Id="rId1" Type="http://schemas.openxmlformats.org/officeDocument/2006/relationships/drawing" Target="../drawings/drawing43.xm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5" Type="http://schemas.openxmlformats.org/officeDocument/2006/relationships/ctrlProp" Target="../ctrlProps/ctrlProp55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 Id="rId14" Type="http://schemas.openxmlformats.org/officeDocument/2006/relationships/ctrlProp" Target="../ctrlProps/ctrlProp55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61.xml"/><Relationship Id="rId13" Type="http://schemas.openxmlformats.org/officeDocument/2006/relationships/ctrlProp" Target="../ctrlProps/ctrlProp566.xml"/><Relationship Id="rId3" Type="http://schemas.openxmlformats.org/officeDocument/2006/relationships/ctrlProp" Target="../ctrlProps/ctrlProp556.xml"/><Relationship Id="rId7" Type="http://schemas.openxmlformats.org/officeDocument/2006/relationships/ctrlProp" Target="../ctrlProps/ctrlProp560.xml"/><Relationship Id="rId12" Type="http://schemas.openxmlformats.org/officeDocument/2006/relationships/ctrlProp" Target="../ctrlProps/ctrlProp565.xml"/><Relationship Id="rId2" Type="http://schemas.openxmlformats.org/officeDocument/2006/relationships/vmlDrawing" Target="../drawings/vmlDrawing41.vml"/><Relationship Id="rId16" Type="http://schemas.openxmlformats.org/officeDocument/2006/relationships/table" Target="../tables/table114.xml"/><Relationship Id="rId1" Type="http://schemas.openxmlformats.org/officeDocument/2006/relationships/drawing" Target="../drawings/drawing44.xml"/><Relationship Id="rId6" Type="http://schemas.openxmlformats.org/officeDocument/2006/relationships/ctrlProp" Target="../ctrlProps/ctrlProp559.xml"/><Relationship Id="rId11" Type="http://schemas.openxmlformats.org/officeDocument/2006/relationships/ctrlProp" Target="../ctrlProps/ctrlProp564.xml"/><Relationship Id="rId5" Type="http://schemas.openxmlformats.org/officeDocument/2006/relationships/ctrlProp" Target="../ctrlProps/ctrlProp558.xml"/><Relationship Id="rId15" Type="http://schemas.openxmlformats.org/officeDocument/2006/relationships/ctrlProp" Target="../ctrlProps/ctrlProp568.xml"/><Relationship Id="rId10" Type="http://schemas.openxmlformats.org/officeDocument/2006/relationships/ctrlProp" Target="../ctrlProps/ctrlProp563.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74.xml"/><Relationship Id="rId13" Type="http://schemas.openxmlformats.org/officeDocument/2006/relationships/ctrlProp" Target="../ctrlProps/ctrlProp579.xml"/><Relationship Id="rId3" Type="http://schemas.openxmlformats.org/officeDocument/2006/relationships/ctrlProp" Target="../ctrlProps/ctrlProp569.xml"/><Relationship Id="rId7" Type="http://schemas.openxmlformats.org/officeDocument/2006/relationships/ctrlProp" Target="../ctrlProps/ctrlProp573.xml"/><Relationship Id="rId12" Type="http://schemas.openxmlformats.org/officeDocument/2006/relationships/ctrlProp" Target="../ctrlProps/ctrlProp578.xml"/><Relationship Id="rId2" Type="http://schemas.openxmlformats.org/officeDocument/2006/relationships/vmlDrawing" Target="../drawings/vmlDrawing42.vml"/><Relationship Id="rId16" Type="http://schemas.openxmlformats.org/officeDocument/2006/relationships/table" Target="../tables/table115.xml"/><Relationship Id="rId1" Type="http://schemas.openxmlformats.org/officeDocument/2006/relationships/drawing" Target="../drawings/drawing45.xml"/><Relationship Id="rId6" Type="http://schemas.openxmlformats.org/officeDocument/2006/relationships/ctrlProp" Target="../ctrlProps/ctrlProp572.xml"/><Relationship Id="rId11" Type="http://schemas.openxmlformats.org/officeDocument/2006/relationships/ctrlProp" Target="../ctrlProps/ctrlProp577.xml"/><Relationship Id="rId5" Type="http://schemas.openxmlformats.org/officeDocument/2006/relationships/ctrlProp" Target="../ctrlProps/ctrlProp571.xml"/><Relationship Id="rId15" Type="http://schemas.openxmlformats.org/officeDocument/2006/relationships/ctrlProp" Target="../ctrlProps/ctrlProp581.xml"/><Relationship Id="rId10" Type="http://schemas.openxmlformats.org/officeDocument/2006/relationships/ctrlProp" Target="../ctrlProps/ctrlProp576.xml"/><Relationship Id="rId4" Type="http://schemas.openxmlformats.org/officeDocument/2006/relationships/ctrlProp" Target="../ctrlProps/ctrlProp570.xml"/><Relationship Id="rId9" Type="http://schemas.openxmlformats.org/officeDocument/2006/relationships/ctrlProp" Target="../ctrlProps/ctrlProp575.xml"/><Relationship Id="rId14" Type="http://schemas.openxmlformats.org/officeDocument/2006/relationships/ctrlProp" Target="../ctrlProps/ctrlProp58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ctrlProp" Target="../ctrlProps/ctrlProp582.xml"/><Relationship Id="rId7" Type="http://schemas.openxmlformats.org/officeDocument/2006/relationships/ctrlProp" Target="../ctrlProps/ctrlProp586.xml"/><Relationship Id="rId12" Type="http://schemas.openxmlformats.org/officeDocument/2006/relationships/ctrlProp" Target="../ctrlProps/ctrlProp591.xml"/><Relationship Id="rId2" Type="http://schemas.openxmlformats.org/officeDocument/2006/relationships/vmlDrawing" Target="../drawings/vmlDrawing43.vml"/><Relationship Id="rId16" Type="http://schemas.openxmlformats.org/officeDocument/2006/relationships/table" Target="../tables/table116.xml"/><Relationship Id="rId1" Type="http://schemas.openxmlformats.org/officeDocument/2006/relationships/drawing" Target="../drawings/drawing46.xml"/><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3" Type="http://schemas.openxmlformats.org/officeDocument/2006/relationships/ctrlProp" Target="../ctrlProps/ctrlProp595.xml"/><Relationship Id="rId7" Type="http://schemas.openxmlformats.org/officeDocument/2006/relationships/ctrlProp" Target="../ctrlProps/ctrlProp599.xml"/><Relationship Id="rId12" Type="http://schemas.openxmlformats.org/officeDocument/2006/relationships/ctrlProp" Target="../ctrlProps/ctrlProp604.xml"/><Relationship Id="rId2" Type="http://schemas.openxmlformats.org/officeDocument/2006/relationships/vmlDrawing" Target="../drawings/vmlDrawing44.vml"/><Relationship Id="rId16" Type="http://schemas.openxmlformats.org/officeDocument/2006/relationships/table" Target="../tables/table117.xml"/><Relationship Id="rId1" Type="http://schemas.openxmlformats.org/officeDocument/2006/relationships/drawing" Target="../drawings/drawing47.xml"/><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13.xml"/><Relationship Id="rId13" Type="http://schemas.openxmlformats.org/officeDocument/2006/relationships/ctrlProp" Target="../ctrlProps/ctrlProp618.xml"/><Relationship Id="rId3" Type="http://schemas.openxmlformats.org/officeDocument/2006/relationships/ctrlProp" Target="../ctrlProps/ctrlProp608.xml"/><Relationship Id="rId7" Type="http://schemas.openxmlformats.org/officeDocument/2006/relationships/ctrlProp" Target="../ctrlProps/ctrlProp612.xml"/><Relationship Id="rId12" Type="http://schemas.openxmlformats.org/officeDocument/2006/relationships/ctrlProp" Target="../ctrlProps/ctrlProp617.xml"/><Relationship Id="rId2" Type="http://schemas.openxmlformats.org/officeDocument/2006/relationships/vmlDrawing" Target="../drawings/vmlDrawing45.vml"/><Relationship Id="rId16" Type="http://schemas.openxmlformats.org/officeDocument/2006/relationships/table" Target="../tables/table118.xml"/><Relationship Id="rId1" Type="http://schemas.openxmlformats.org/officeDocument/2006/relationships/drawing" Target="../drawings/drawing48.xml"/><Relationship Id="rId6" Type="http://schemas.openxmlformats.org/officeDocument/2006/relationships/ctrlProp" Target="../ctrlProps/ctrlProp611.xml"/><Relationship Id="rId11" Type="http://schemas.openxmlformats.org/officeDocument/2006/relationships/ctrlProp" Target="../ctrlProps/ctrlProp616.xml"/><Relationship Id="rId5" Type="http://schemas.openxmlformats.org/officeDocument/2006/relationships/ctrlProp" Target="../ctrlProps/ctrlProp610.xml"/><Relationship Id="rId15" Type="http://schemas.openxmlformats.org/officeDocument/2006/relationships/ctrlProp" Target="../ctrlProps/ctrlProp620.xml"/><Relationship Id="rId10" Type="http://schemas.openxmlformats.org/officeDocument/2006/relationships/ctrlProp" Target="../ctrlProps/ctrlProp615.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table" Target="../tables/table120.xml"/><Relationship Id="rId3" Type="http://schemas.openxmlformats.org/officeDocument/2006/relationships/vmlDrawing" Target="../drawings/vmlDrawing46.v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table" Target="../tables/table119.xml"/><Relationship Id="rId2" Type="http://schemas.openxmlformats.org/officeDocument/2006/relationships/drawing" Target="../drawings/drawing49.xml"/><Relationship Id="rId16" Type="http://schemas.openxmlformats.org/officeDocument/2006/relationships/ctrlProp" Target="../ctrlProps/ctrlProp633.xml"/><Relationship Id="rId1" Type="http://schemas.openxmlformats.org/officeDocument/2006/relationships/printerSettings" Target="../printerSettings/printerSettings25.bin"/><Relationship Id="rId6" Type="http://schemas.openxmlformats.org/officeDocument/2006/relationships/ctrlProp" Target="../ctrlProps/ctrlProp623.xml"/><Relationship Id="rId11" Type="http://schemas.openxmlformats.org/officeDocument/2006/relationships/ctrlProp" Target="../ctrlProps/ctrlProp628.xml"/><Relationship Id="rId5" Type="http://schemas.openxmlformats.org/officeDocument/2006/relationships/ctrlProp" Target="../ctrlProps/ctrlProp622.xml"/><Relationship Id="rId15" Type="http://schemas.openxmlformats.org/officeDocument/2006/relationships/ctrlProp" Target="../ctrlProps/ctrlProp632.xml"/><Relationship Id="rId10" Type="http://schemas.openxmlformats.org/officeDocument/2006/relationships/ctrlProp" Target="../ctrlProps/ctrlProp627.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3" Type="http://schemas.openxmlformats.org/officeDocument/2006/relationships/ctrlProp" Target="../ctrlProps/ctrlProp634.xml"/><Relationship Id="rId7" Type="http://schemas.openxmlformats.org/officeDocument/2006/relationships/ctrlProp" Target="../ctrlProps/ctrlProp638.xml"/><Relationship Id="rId12" Type="http://schemas.openxmlformats.org/officeDocument/2006/relationships/ctrlProp" Target="../ctrlProps/ctrlProp643.xml"/><Relationship Id="rId2" Type="http://schemas.openxmlformats.org/officeDocument/2006/relationships/vmlDrawing" Target="../drawings/vmlDrawing47.vml"/><Relationship Id="rId16" Type="http://schemas.openxmlformats.org/officeDocument/2006/relationships/table" Target="../tables/table121.xml"/><Relationship Id="rId1" Type="http://schemas.openxmlformats.org/officeDocument/2006/relationships/drawing" Target="../drawings/drawing50.xml"/><Relationship Id="rId6" Type="http://schemas.openxmlformats.org/officeDocument/2006/relationships/ctrlProp" Target="../ctrlProps/ctrlProp637.xml"/><Relationship Id="rId11" Type="http://schemas.openxmlformats.org/officeDocument/2006/relationships/ctrlProp" Target="../ctrlProps/ctrlProp642.xml"/><Relationship Id="rId5" Type="http://schemas.openxmlformats.org/officeDocument/2006/relationships/ctrlProp" Target="../ctrlProps/ctrlProp636.xml"/><Relationship Id="rId15" Type="http://schemas.openxmlformats.org/officeDocument/2006/relationships/ctrlProp" Target="../ctrlProps/ctrlProp646.xml"/><Relationship Id="rId10" Type="http://schemas.openxmlformats.org/officeDocument/2006/relationships/ctrlProp" Target="../ctrlProps/ctrlProp641.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869</v>
      </c>
      <c r="B1" s="187" t="s">
        <v>14</v>
      </c>
      <c r="C1" s="188" t="s">
        <v>15</v>
      </c>
      <c r="D1" s="190" t="s">
        <v>870</v>
      </c>
      <c r="E1" s="190" t="s">
        <v>871</v>
      </c>
      <c r="F1" s="186" t="s">
        <v>872</v>
      </c>
      <c r="G1" s="189" t="s">
        <v>873</v>
      </c>
      <c r="H1" s="186" t="s">
        <v>874</v>
      </c>
      <c r="I1" s="186" t="s">
        <v>875</v>
      </c>
      <c r="J1" s="189" t="s">
        <v>876</v>
      </c>
      <c r="K1" s="189" t="s">
        <v>877</v>
      </c>
      <c r="L1" s="189" t="s">
        <v>878</v>
      </c>
      <c r="M1" s="189" t="s">
        <v>879</v>
      </c>
      <c r="N1" s="257"/>
      <c r="O1" s="257"/>
      <c r="P1" s="257"/>
      <c r="Q1" s="257"/>
      <c r="R1" s="257"/>
      <c r="S1" s="257"/>
      <c r="T1" s="257"/>
      <c r="U1" s="257"/>
      <c r="V1" s="257"/>
      <c r="W1" s="257"/>
      <c r="X1" s="257"/>
      <c r="Y1" s="257"/>
      <c r="Z1" s="98" t="s">
        <v>881</v>
      </c>
    </row>
    <row r="2" spans="1:26" x14ac:dyDescent="0.3">
      <c r="A2" s="257" t="s">
        <v>1019</v>
      </c>
      <c r="B2" s="98" t="s">
        <v>1258</v>
      </c>
      <c r="C2" s="98" t="s">
        <v>1259</v>
      </c>
      <c r="D2" s="191">
        <v>45785</v>
      </c>
      <c r="E2" s="191">
        <v>46150</v>
      </c>
      <c r="F2" s="257">
        <v>365</v>
      </c>
      <c r="G2" s="98" t="s">
        <v>1020</v>
      </c>
      <c r="H2" s="257"/>
      <c r="I2" s="257"/>
      <c r="J2" s="257"/>
      <c r="K2" s="257"/>
      <c r="L2" s="257"/>
      <c r="M2" s="257"/>
      <c r="N2" s="257"/>
      <c r="O2" s="257"/>
      <c r="P2" s="257"/>
      <c r="Q2" s="257"/>
      <c r="R2" s="257"/>
      <c r="S2" s="257"/>
      <c r="T2" s="257"/>
      <c r="U2" s="257"/>
      <c r="V2" s="257"/>
      <c r="W2" s="257"/>
      <c r="X2" s="257"/>
      <c r="Y2" s="257"/>
      <c r="Z2" s="257" t="s">
        <v>1098</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7">
        <v>1</v>
      </c>
      <c r="B1" s="40"/>
      <c r="C1" s="40"/>
      <c r="D1" s="40"/>
      <c r="E1" s="40"/>
    </row>
    <row r="2" spans="1:5" x14ac:dyDescent="0.3">
      <c r="A2" s="447">
        <v>1</v>
      </c>
    </row>
    <row r="3" spans="1:5" x14ac:dyDescent="0.3">
      <c r="A3" s="447"/>
    </row>
    <row r="4" spans="1:5" x14ac:dyDescent="0.3">
      <c r="A4" s="447"/>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tabSelected="1" zoomScaleNormal="100" workbookViewId="0">
      <selection activeCell="J11" sqref="J11"/>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2"/>
      <c r="B5" s="192" t="s">
        <v>1073</v>
      </c>
    </row>
    <row r="6" spans="1:2" ht="17.25" x14ac:dyDescent="0.3">
      <c r="A6" s="252"/>
      <c r="B6" s="192" t="s">
        <v>880</v>
      </c>
    </row>
    <row r="7" spans="1:2" ht="17.25" x14ac:dyDescent="0.3">
      <c r="A7" s="252"/>
      <c r="B7" s="192" t="s">
        <v>1074</v>
      </c>
    </row>
    <row r="8" spans="1:2" ht="17.25" x14ac:dyDescent="0.3">
      <c r="A8" s="252"/>
      <c r="B8" s="192" t="s">
        <v>1075</v>
      </c>
    </row>
    <row r="9" spans="1:2" ht="17.25" x14ac:dyDescent="0.3">
      <c r="A9" s="252"/>
      <c r="B9" s="193" t="s">
        <v>1076</v>
      </c>
    </row>
    <row r="10" spans="1:2" x14ac:dyDescent="0.3">
      <c r="A10" s="252"/>
      <c r="B10" s="252"/>
    </row>
    <row r="11" spans="1:2" ht="37.5" x14ac:dyDescent="0.3">
      <c r="A11" s="183" t="s">
        <v>12</v>
      </c>
      <c r="B11" s="183" t="s">
        <v>13</v>
      </c>
    </row>
    <row r="12" spans="1:2" x14ac:dyDescent="0.3">
      <c r="A12" s="184" t="s">
        <v>14</v>
      </c>
      <c r="B12" s="170" t="s">
        <v>1258</v>
      </c>
    </row>
    <row r="13" spans="1:2" x14ac:dyDescent="0.3">
      <c r="A13" s="184" t="s">
        <v>15</v>
      </c>
      <c r="B13" s="170" t="s">
        <v>1259</v>
      </c>
    </row>
    <row r="14" spans="1:2" ht="17.25" x14ac:dyDescent="0.3">
      <c r="A14" s="252"/>
      <c r="B14" s="181" t="s">
        <v>7</v>
      </c>
    </row>
    <row r="15" spans="1:2" ht="17.25" x14ac:dyDescent="0.3">
      <c r="A15" s="252"/>
      <c r="B15" s="181" t="s">
        <v>8</v>
      </c>
    </row>
    <row r="16" spans="1:2" ht="17.25" x14ac:dyDescent="0.3">
      <c r="A16" s="252"/>
      <c r="B16" s="181" t="s">
        <v>9</v>
      </c>
    </row>
    <row r="17" spans="1:2" ht="17.25" x14ac:dyDescent="0.3">
      <c r="A17" s="252"/>
      <c r="B17" s="181" t="s">
        <v>10</v>
      </c>
    </row>
    <row r="18" spans="1:2" ht="17.25" x14ac:dyDescent="0.3">
      <c r="A18" s="252"/>
      <c r="B18" s="182" t="s">
        <v>11</v>
      </c>
    </row>
    <row r="19" spans="1:2" x14ac:dyDescent="0.3">
      <c r="A19" s="252"/>
      <c r="B19" s="252"/>
    </row>
    <row r="20" spans="1:2" x14ac:dyDescent="0.3">
      <c r="A20" s="252"/>
      <c r="B20" s="252"/>
    </row>
    <row r="21" spans="1:2" x14ac:dyDescent="0.3">
      <c r="A21" s="252"/>
      <c r="B21" s="252"/>
    </row>
    <row r="22" spans="1:2" x14ac:dyDescent="0.3">
      <c r="A22" s="252"/>
      <c r="B22" s="252"/>
    </row>
    <row r="23" spans="1:2" x14ac:dyDescent="0.3">
      <c r="A23" s="252"/>
      <c r="B23" s="252"/>
    </row>
    <row r="24" spans="1:2" x14ac:dyDescent="0.3">
      <c r="A24" s="253"/>
      <c r="B24" s="252"/>
    </row>
    <row r="25" spans="1:2" x14ac:dyDescent="0.3">
      <c r="A25" s="254"/>
      <c r="B25" s="252"/>
    </row>
    <row r="26" spans="1:2" x14ac:dyDescent="0.3">
      <c r="A26" s="253"/>
      <c r="B26" s="252"/>
    </row>
    <row r="27" spans="1:2" x14ac:dyDescent="0.3">
      <c r="A27" s="254"/>
      <c r="B27" s="252"/>
    </row>
    <row r="28" spans="1:2" x14ac:dyDescent="0.3">
      <c r="A28" s="254"/>
      <c r="B28" s="252"/>
    </row>
    <row r="29" spans="1:2" x14ac:dyDescent="0.3">
      <c r="A29" s="254"/>
      <c r="B29" s="252"/>
    </row>
    <row r="30" spans="1:2" x14ac:dyDescent="0.3">
      <c r="A30" s="254"/>
      <c r="B30" s="252"/>
    </row>
    <row r="31" spans="1:2" x14ac:dyDescent="0.3">
      <c r="A31" s="253"/>
      <c r="B31" s="252"/>
    </row>
    <row r="32" spans="1:2" x14ac:dyDescent="0.3">
      <c r="A32" s="254"/>
      <c r="B32" s="252"/>
    </row>
    <row r="33" spans="1:2" x14ac:dyDescent="0.3">
      <c r="A33" s="254"/>
      <c r="B33" s="252"/>
    </row>
    <row r="34" spans="1:2" x14ac:dyDescent="0.3">
      <c r="A34" s="254"/>
      <c r="B34" s="252"/>
    </row>
    <row r="35" spans="1:2" x14ac:dyDescent="0.3">
      <c r="A35" s="254"/>
      <c r="B35" s="252"/>
    </row>
    <row r="36" spans="1:2" x14ac:dyDescent="0.3">
      <c r="A36" s="253"/>
      <c r="B36" s="252"/>
    </row>
    <row r="37" spans="1:2" x14ac:dyDescent="0.3">
      <c r="A37" s="255"/>
      <c r="B37" s="252"/>
    </row>
    <row r="38" spans="1:2" x14ac:dyDescent="0.3">
      <c r="A38" s="256"/>
      <c r="B38" s="252"/>
    </row>
    <row r="39" spans="1:2" x14ac:dyDescent="0.3">
      <c r="A39" s="255"/>
      <c r="B39" s="252"/>
    </row>
    <row r="40" spans="1:2" x14ac:dyDescent="0.3">
      <c r="A40" s="256"/>
      <c r="B40" s="252"/>
    </row>
    <row r="41" spans="1:2" x14ac:dyDescent="0.3">
      <c r="A41" s="255"/>
      <c r="B41" s="252"/>
    </row>
    <row r="42" spans="1:2" x14ac:dyDescent="0.3">
      <c r="A42" s="256"/>
      <c r="B42" s="252"/>
    </row>
    <row r="43" spans="1:2" x14ac:dyDescent="0.3">
      <c r="A43" s="255"/>
      <c r="B43" s="252"/>
    </row>
    <row r="44" spans="1:2" x14ac:dyDescent="0.3">
      <c r="A44" s="256"/>
      <c r="B44" s="252"/>
    </row>
    <row r="45" spans="1:2" x14ac:dyDescent="0.3">
      <c r="A45" s="255"/>
      <c r="B45" s="252"/>
    </row>
    <row r="46" spans="1:2" x14ac:dyDescent="0.3">
      <c r="A46" s="256"/>
      <c r="B46" s="252"/>
    </row>
    <row r="47" spans="1:2" x14ac:dyDescent="0.3">
      <c r="A47" s="254"/>
      <c r="B47" s="252"/>
    </row>
    <row r="48" spans="1:2" x14ac:dyDescent="0.3">
      <c r="A48" s="254"/>
      <c r="B48" s="252"/>
    </row>
    <row r="49" spans="1:2" x14ac:dyDescent="0.3">
      <c r="A49" s="254"/>
      <c r="B49" s="252"/>
    </row>
    <row r="50" spans="1:2" x14ac:dyDescent="0.3">
      <c r="A50" s="253"/>
      <c r="B50" s="252"/>
    </row>
    <row r="51" spans="1:2" x14ac:dyDescent="0.3">
      <c r="A51" s="254"/>
      <c r="B51" s="252"/>
    </row>
    <row r="52" spans="1:2" x14ac:dyDescent="0.3">
      <c r="A52" s="254"/>
      <c r="B52" s="252"/>
    </row>
    <row r="53" spans="1:2" x14ac:dyDescent="0.3">
      <c r="A53" s="254"/>
      <c r="B53" s="252"/>
    </row>
    <row r="54" spans="1:2" x14ac:dyDescent="0.3">
      <c r="A54" s="254"/>
      <c r="B54" s="252"/>
    </row>
    <row r="55" spans="1:2" x14ac:dyDescent="0.3">
      <c r="A55" s="253"/>
      <c r="B55" s="252"/>
    </row>
    <row r="56" spans="1:2" x14ac:dyDescent="0.3">
      <c r="A56" s="255"/>
      <c r="B56" s="252"/>
    </row>
    <row r="57" spans="1:2" x14ac:dyDescent="0.3">
      <c r="A57" s="255"/>
      <c r="B57" s="252"/>
    </row>
    <row r="58" spans="1:2" x14ac:dyDescent="0.3">
      <c r="A58" s="255"/>
      <c r="B58" s="252"/>
    </row>
    <row r="59" spans="1:2" x14ac:dyDescent="0.3">
      <c r="A59" s="255"/>
      <c r="B59" s="252"/>
    </row>
    <row r="60" spans="1:2" x14ac:dyDescent="0.3">
      <c r="A60" s="254"/>
      <c r="B60" s="252"/>
    </row>
    <row r="61" spans="1:2" x14ac:dyDescent="0.3">
      <c r="A61" s="254"/>
      <c r="B61" s="252"/>
    </row>
    <row r="62" spans="1:2" x14ac:dyDescent="0.3">
      <c r="A62" s="254"/>
      <c r="B62" s="252"/>
    </row>
    <row r="63" spans="1:2" x14ac:dyDescent="0.3">
      <c r="A63" s="253"/>
      <c r="B63" s="252"/>
    </row>
    <row r="64" spans="1:2" x14ac:dyDescent="0.3">
      <c r="A64" s="254"/>
      <c r="B64" s="252"/>
    </row>
    <row r="65" spans="1:2" x14ac:dyDescent="0.3">
      <c r="A65" s="254"/>
      <c r="B65" s="252"/>
    </row>
    <row r="66" spans="1:2" x14ac:dyDescent="0.3">
      <c r="A66" s="254"/>
      <c r="B66" s="252"/>
    </row>
    <row r="67" spans="1:2" x14ac:dyDescent="0.3">
      <c r="A67" s="254"/>
      <c r="B67" s="252"/>
    </row>
    <row r="68" spans="1:2" x14ac:dyDescent="0.3">
      <c r="A68" s="253"/>
      <c r="B68" s="252"/>
    </row>
    <row r="69" spans="1:2" x14ac:dyDescent="0.3">
      <c r="A69" s="255"/>
      <c r="B69" s="252"/>
    </row>
    <row r="70" spans="1:2" x14ac:dyDescent="0.3">
      <c r="A70" s="255"/>
      <c r="B70" s="252"/>
    </row>
    <row r="71" spans="1:2" x14ac:dyDescent="0.3">
      <c r="A71" s="255"/>
      <c r="B71" s="252"/>
    </row>
    <row r="72" spans="1:2" x14ac:dyDescent="0.3">
      <c r="A72" s="255"/>
      <c r="B72" s="252"/>
    </row>
    <row r="73" spans="1:2" x14ac:dyDescent="0.3">
      <c r="A73" s="255"/>
      <c r="B73" s="252"/>
    </row>
    <row r="74" spans="1:2" x14ac:dyDescent="0.3">
      <c r="A74" s="255"/>
      <c r="B74" s="252"/>
    </row>
    <row r="75" spans="1:2" x14ac:dyDescent="0.3">
      <c r="A75" s="254"/>
      <c r="B75" s="252"/>
    </row>
    <row r="76" spans="1:2" x14ac:dyDescent="0.3">
      <c r="A76" s="253"/>
      <c r="B76" s="25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09" customFormat="1" ht="37.5" customHeight="1" x14ac:dyDescent="0.7">
      <c r="A1" s="113"/>
      <c r="B1" s="113" t="s">
        <v>1257</v>
      </c>
      <c r="C1" s="507"/>
      <c r="D1" s="508"/>
      <c r="E1" s="508"/>
      <c r="F1" s="508"/>
    </row>
    <row r="2" spans="1:8" ht="18" customHeight="1" x14ac:dyDescent="0.3">
      <c r="A2" s="195"/>
      <c r="C2" s="194"/>
    </row>
    <row r="3" spans="1:8" ht="37.5" customHeight="1" x14ac:dyDescent="0.3">
      <c r="A3" s="322">
        <v>1</v>
      </c>
      <c r="B3" s="113" t="s">
        <v>1099</v>
      </c>
      <c r="C3" s="113" t="s">
        <v>1100</v>
      </c>
      <c r="H3" s="113" t="s">
        <v>1101</v>
      </c>
    </row>
    <row r="4" spans="1:8" ht="18" customHeight="1" x14ac:dyDescent="0.3">
      <c r="A4" s="322" t="s">
        <v>1068</v>
      </c>
      <c r="B4" s="194"/>
      <c r="C4" s="194"/>
    </row>
    <row r="5" spans="1:8" ht="18" customHeight="1" outlineLevel="1" x14ac:dyDescent="0.3">
      <c r="A5" s="322" t="s">
        <v>1069</v>
      </c>
      <c r="B5" s="194"/>
      <c r="C5" s="194"/>
    </row>
    <row r="6" spans="1:8" ht="18" customHeight="1" outlineLevel="1" x14ac:dyDescent="0.3">
      <c r="A6" s="322" t="s">
        <v>1070</v>
      </c>
      <c r="B6" s="194"/>
      <c r="C6" s="194"/>
    </row>
    <row r="7" spans="1:8" ht="18" customHeight="1" outlineLevel="1" x14ac:dyDescent="0.3">
      <c r="A7" s="322" t="s">
        <v>1071</v>
      </c>
      <c r="B7" s="194"/>
      <c r="C7" s="194"/>
    </row>
    <row r="8" spans="1:8" ht="18" customHeight="1" outlineLevel="1" x14ac:dyDescent="0.3">
      <c r="A8" s="322" t="s">
        <v>1072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72">
        <v>44927</v>
      </c>
    </row>
    <row r="4" spans="2:63" x14ac:dyDescent="0.3">
      <c r="BI4" s="14">
        <v>44928</v>
      </c>
    </row>
    <row r="5" spans="2:63" x14ac:dyDescent="0.3">
      <c r="B5" s="91" t="s">
        <v>21</v>
      </c>
      <c r="C5" s="91" t="s">
        <v>22</v>
      </c>
      <c r="E5" s="464" t="s">
        <v>3</v>
      </c>
      <c r="H5" s="38" t="s">
        <v>23</v>
      </c>
      <c r="I5" s="38" t="s">
        <v>24</v>
      </c>
      <c r="J5" s="38" t="s">
        <v>25</v>
      </c>
      <c r="K5" s="38" t="s">
        <v>26</v>
      </c>
      <c r="L5" s="38" t="s">
        <v>27</v>
      </c>
      <c r="M5" s="38" t="s">
        <v>28</v>
      </c>
      <c r="N5" s="38" t="s">
        <v>898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898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898</v>
      </c>
      <c r="BB5" t="s">
        <v>46</v>
      </c>
      <c r="BC5" t="s">
        <v>47</v>
      </c>
      <c r="BD5" t="s">
        <v>48</v>
      </c>
      <c r="BE5" t="s">
        <v>49</v>
      </c>
      <c r="BF5" t="s">
        <v>50</v>
      </c>
      <c r="BI5" s="14">
        <v>44929</v>
      </c>
    </row>
    <row r="6" spans="2:63" x14ac:dyDescent="0.3">
      <c r="B6" s="91">
        <v>-999999999999</v>
      </c>
      <c r="C6" s="91" t="s">
        <v>51</v>
      </c>
      <c r="E6" s="465">
        <v>45292</v>
      </c>
      <c r="H6" s="463">
        <v>45296</v>
      </c>
      <c r="I6" s="38" t="s">
        <v>940</v>
      </c>
      <c r="J6" s="38" t="s">
        <v>1006</v>
      </c>
      <c r="K6" s="38" t="s">
        <v>997</v>
      </c>
      <c r="L6" s="38" t="s">
        <v>959</v>
      </c>
      <c r="M6" s="38">
        <v>12</v>
      </c>
      <c r="N6" s="38">
        <v>107600000</v>
      </c>
      <c r="O6" s="38" t="s">
        <v>29</v>
      </c>
      <c r="P6" s="38">
        <v>150</v>
      </c>
      <c r="S6" s="466">
        <v>45235</v>
      </c>
      <c r="T6" s="467" t="s">
        <v>1006</v>
      </c>
      <c r="U6" s="467" t="s">
        <v>953</v>
      </c>
      <c r="V6" s="467" t="s">
        <v>997</v>
      </c>
      <c r="W6" s="467" t="s">
        <v>29</v>
      </c>
      <c r="X6" s="467" t="s">
        <v>52</v>
      </c>
      <c r="Y6" s="467" t="s">
        <v>53</v>
      </c>
      <c r="Z6" s="38">
        <v>27170000</v>
      </c>
      <c r="AA6" s="38">
        <v>143</v>
      </c>
      <c r="AC6" s="462">
        <v>45296</v>
      </c>
      <c r="AD6" t="s">
        <v>949</v>
      </c>
      <c r="AE6" t="s">
        <v>1006</v>
      </c>
      <c r="AF6">
        <v>107600000</v>
      </c>
      <c r="AG6" t="s">
        <v>54</v>
      </c>
      <c r="AH6" t="s">
        <v>29</v>
      </c>
      <c r="AI6">
        <v>30000000</v>
      </c>
      <c r="AK6" s="98">
        <v>2024</v>
      </c>
      <c r="AL6" s="98" t="s">
        <v>55</v>
      </c>
      <c r="AM6" s="98" t="s">
        <v>55</v>
      </c>
      <c r="AN6" s="98" t="s">
        <v>56</v>
      </c>
      <c r="AO6">
        <v>1000000000</v>
      </c>
      <c r="AP6">
        <v>799600000</v>
      </c>
      <c r="AQ6">
        <v>0.79959999999999998</v>
      </c>
      <c r="AS6" s="461">
        <v>45296</v>
      </c>
      <c r="AT6" s="98" t="s">
        <v>949</v>
      </c>
      <c r="AU6" s="98" t="s">
        <v>54</v>
      </c>
      <c r="AV6" s="98" t="s">
        <v>1006</v>
      </c>
      <c r="AW6" s="98" t="s">
        <v>940</v>
      </c>
      <c r="AX6" s="98">
        <v>12</v>
      </c>
      <c r="AY6" s="98" t="s">
        <v>55</v>
      </c>
      <c r="AZ6" s="98">
        <v>0</v>
      </c>
      <c r="BA6" s="98">
        <v>107600000</v>
      </c>
      <c r="BB6" s="98" t="s">
        <v>29</v>
      </c>
      <c r="BC6" s="98" t="s">
        <v>52</v>
      </c>
      <c r="BD6" s="98" t="s">
        <v>55</v>
      </c>
      <c r="BE6" s="98" t="s">
        <v>1008</v>
      </c>
      <c r="BF6">
        <v>30000000</v>
      </c>
      <c r="BI6" s="14">
        <v>44930</v>
      </c>
    </row>
    <row r="7" spans="2:63" x14ac:dyDescent="0.3">
      <c r="B7" s="91">
        <v>-999999999</v>
      </c>
      <c r="C7" s="91" t="s">
        <v>57</v>
      </c>
      <c r="E7" s="465">
        <v>45323</v>
      </c>
      <c r="H7" s="463">
        <v>45296</v>
      </c>
      <c r="I7" s="38" t="s">
        <v>940</v>
      </c>
      <c r="J7" s="38"/>
      <c r="K7" s="38"/>
      <c r="L7" s="38"/>
      <c r="M7" s="38"/>
      <c r="N7" s="38"/>
      <c r="O7" s="38" t="s">
        <v>58</v>
      </c>
      <c r="P7" s="38">
        <v>112</v>
      </c>
      <c r="S7" s="466">
        <v>45235</v>
      </c>
      <c r="T7" s="38"/>
      <c r="U7" s="38"/>
      <c r="V7" s="38"/>
      <c r="W7" s="467" t="s">
        <v>58</v>
      </c>
      <c r="X7" s="467" t="s">
        <v>59</v>
      </c>
      <c r="Y7" s="467" t="s">
        <v>53</v>
      </c>
      <c r="Z7" s="38">
        <v>30780000</v>
      </c>
      <c r="AA7" s="38">
        <v>108</v>
      </c>
      <c r="AC7" s="462">
        <v>45296</v>
      </c>
      <c r="AD7" t="s">
        <v>949</v>
      </c>
      <c r="AE7" t="s">
        <v>1006</v>
      </c>
      <c r="AF7"/>
      <c r="AG7" t="s">
        <v>54</v>
      </c>
      <c r="AH7" t="s">
        <v>58</v>
      </c>
      <c r="AI7">
        <v>33600000</v>
      </c>
      <c r="AK7" s="98">
        <v>2024</v>
      </c>
      <c r="AL7" s="98" t="s">
        <v>55</v>
      </c>
      <c r="AM7" s="98" t="s">
        <v>55</v>
      </c>
      <c r="AN7" s="98" t="s">
        <v>60</v>
      </c>
      <c r="AO7">
        <v>1000000000</v>
      </c>
      <c r="AP7">
        <v>696200000</v>
      </c>
      <c r="AQ7">
        <v>0.69620000000000004</v>
      </c>
      <c r="AS7" s="461">
        <v>45296</v>
      </c>
      <c r="AT7" s="98" t="s">
        <v>949</v>
      </c>
      <c r="AU7" s="98" t="s">
        <v>54</v>
      </c>
      <c r="AV7" s="98" t="s">
        <v>1006</v>
      </c>
      <c r="AW7" s="98" t="s">
        <v>940</v>
      </c>
      <c r="AX7" s="98">
        <v>12</v>
      </c>
      <c r="AY7" s="98" t="s">
        <v>55</v>
      </c>
      <c r="AZ7"/>
      <c r="BA7"/>
      <c r="BB7" s="98" t="s">
        <v>58</v>
      </c>
      <c r="BC7" s="98" t="s">
        <v>59</v>
      </c>
      <c r="BD7" s="98" t="s">
        <v>55</v>
      </c>
      <c r="BE7" s="98" t="s">
        <v>1008</v>
      </c>
      <c r="BF7">
        <v>33600000</v>
      </c>
      <c r="BI7" s="14">
        <v>44931</v>
      </c>
    </row>
    <row r="8" spans="2:63" x14ac:dyDescent="0.3">
      <c r="B8" s="91">
        <v>-999999</v>
      </c>
      <c r="C8" s="91" t="s">
        <v>61</v>
      </c>
      <c r="E8" s="465">
        <v>45352</v>
      </c>
      <c r="H8" s="463">
        <v>45296</v>
      </c>
      <c r="I8" s="38" t="s">
        <v>940</v>
      </c>
      <c r="J8" s="38"/>
      <c r="K8" s="38"/>
      <c r="L8" s="38"/>
      <c r="M8" s="38"/>
      <c r="N8" s="38"/>
      <c r="O8" s="38" t="s">
        <v>62</v>
      </c>
      <c r="P8" s="38">
        <v>88</v>
      </c>
      <c r="S8" s="466">
        <v>45235</v>
      </c>
      <c r="T8" s="38"/>
      <c r="U8" s="38"/>
      <c r="V8" s="38"/>
      <c r="W8" s="467" t="s">
        <v>62</v>
      </c>
      <c r="X8" s="467" t="s">
        <v>63</v>
      </c>
      <c r="Y8" s="467" t="s">
        <v>53</v>
      </c>
      <c r="Z8" s="38">
        <v>39425000</v>
      </c>
      <c r="AA8" s="38">
        <v>83</v>
      </c>
      <c r="AC8" s="462">
        <v>45296</v>
      </c>
      <c r="AD8" t="s">
        <v>949</v>
      </c>
      <c r="AE8" t="s">
        <v>1006</v>
      </c>
      <c r="AF8"/>
      <c r="AG8" t="s">
        <v>54</v>
      </c>
      <c r="AH8" t="s">
        <v>62</v>
      </c>
      <c r="AI8">
        <v>44000000</v>
      </c>
      <c r="AK8" s="98">
        <v>2024</v>
      </c>
      <c r="AL8" s="98" t="s">
        <v>55</v>
      </c>
      <c r="AM8" s="98" t="s">
        <v>54</v>
      </c>
      <c r="AN8" s="98" t="s">
        <v>55</v>
      </c>
      <c r="AO8">
        <v>3600000000</v>
      </c>
      <c r="AP8">
        <v>3361400000</v>
      </c>
      <c r="AQ8">
        <v>0.93372222222222223</v>
      </c>
      <c r="AS8" s="461">
        <v>45296</v>
      </c>
      <c r="AT8" s="98" t="s">
        <v>949</v>
      </c>
      <c r="AU8" s="98" t="s">
        <v>54</v>
      </c>
      <c r="AV8" s="98" t="s">
        <v>1006</v>
      </c>
      <c r="AW8" s="98" t="s">
        <v>940</v>
      </c>
      <c r="AX8" s="98">
        <v>12</v>
      </c>
      <c r="AY8" s="98" t="s">
        <v>55</v>
      </c>
      <c r="AZ8"/>
      <c r="BA8"/>
      <c r="BB8" s="98" t="s">
        <v>62</v>
      </c>
      <c r="BC8" s="98" t="s">
        <v>63</v>
      </c>
      <c r="BD8" s="98" t="s">
        <v>55</v>
      </c>
      <c r="BE8" s="98" t="s">
        <v>1008</v>
      </c>
      <c r="BF8">
        <v>44000000</v>
      </c>
      <c r="BI8" s="14">
        <v>44932</v>
      </c>
    </row>
    <row r="9" spans="2:63" x14ac:dyDescent="0.3">
      <c r="B9" s="91">
        <v>-999</v>
      </c>
      <c r="C9" s="91" t="s">
        <v>64</v>
      </c>
      <c r="E9" s="465">
        <v>45383</v>
      </c>
      <c r="H9" s="463">
        <v>45306</v>
      </c>
      <c r="I9" s="38" t="s">
        <v>943</v>
      </c>
      <c r="J9" s="38" t="s">
        <v>1006</v>
      </c>
      <c r="K9" s="38" t="s">
        <v>1000</v>
      </c>
      <c r="L9" s="38" t="s">
        <v>960</v>
      </c>
      <c r="M9" s="38">
        <v>4</v>
      </c>
      <c r="N9" s="38">
        <v>109500000</v>
      </c>
      <c r="O9" s="38" t="s">
        <v>29</v>
      </c>
      <c r="P9" s="38">
        <v>152</v>
      </c>
      <c r="S9" s="466">
        <v>45245</v>
      </c>
      <c r="T9" s="467" t="s">
        <v>1005</v>
      </c>
      <c r="U9" s="467" t="s">
        <v>954</v>
      </c>
      <c r="V9" s="467" t="s">
        <v>999</v>
      </c>
      <c r="W9" s="467" t="s">
        <v>29</v>
      </c>
      <c r="X9" s="467" t="s">
        <v>52</v>
      </c>
      <c r="Y9" s="467" t="s">
        <v>53</v>
      </c>
      <c r="Z9" s="38">
        <v>26980000</v>
      </c>
      <c r="AA9" s="38">
        <v>142</v>
      </c>
      <c r="AC9" s="462">
        <v>45306</v>
      </c>
      <c r="AD9" t="s">
        <v>56</v>
      </c>
      <c r="AE9" t="s">
        <v>1006</v>
      </c>
      <c r="AF9">
        <v>109500000</v>
      </c>
      <c r="AG9" t="s">
        <v>54</v>
      </c>
      <c r="AH9" t="s">
        <v>29</v>
      </c>
      <c r="AI9">
        <v>30400000</v>
      </c>
      <c r="AK9" s="98">
        <v>2024</v>
      </c>
      <c r="AL9" s="98" t="s">
        <v>55</v>
      </c>
      <c r="AM9" s="98" t="s">
        <v>65</v>
      </c>
      <c r="AN9" s="98" t="s">
        <v>55</v>
      </c>
      <c r="AO9">
        <v>1800000000</v>
      </c>
      <c r="AP9">
        <v>1501100000</v>
      </c>
      <c r="AQ9">
        <v>0.83394444444444449</v>
      </c>
      <c r="AS9" s="461">
        <v>45306</v>
      </c>
      <c r="AT9" s="98" t="s">
        <v>56</v>
      </c>
      <c r="AU9" s="98" t="s">
        <v>54</v>
      </c>
      <c r="AV9" s="98" t="s">
        <v>1006</v>
      </c>
      <c r="AW9" s="98" t="s">
        <v>943</v>
      </c>
      <c r="AX9" s="98">
        <v>4</v>
      </c>
      <c r="AY9" s="98" t="s">
        <v>55</v>
      </c>
      <c r="AZ9" s="98">
        <v>0</v>
      </c>
      <c r="BA9" s="98">
        <v>109500000</v>
      </c>
      <c r="BB9" s="98" t="s">
        <v>29</v>
      </c>
      <c r="BC9" s="98" t="s">
        <v>52</v>
      </c>
      <c r="BD9" s="98" t="s">
        <v>55</v>
      </c>
      <c r="BE9" s="98" t="s">
        <v>1008</v>
      </c>
      <c r="BF9">
        <v>30400000</v>
      </c>
      <c r="BI9" s="14">
        <v>44933</v>
      </c>
    </row>
    <row r="10" spans="2:63" x14ac:dyDescent="0.3">
      <c r="B10" s="91">
        <v>1000</v>
      </c>
      <c r="C10" s="91" t="s">
        <v>61</v>
      </c>
      <c r="E10" s="465">
        <v>45413</v>
      </c>
      <c r="H10" s="463">
        <v>45306</v>
      </c>
      <c r="I10" s="38" t="s">
        <v>943</v>
      </c>
      <c r="J10" s="38"/>
      <c r="K10" s="38"/>
      <c r="L10" s="38"/>
      <c r="M10" s="38"/>
      <c r="N10" s="38"/>
      <c r="O10" s="38" t="s">
        <v>58</v>
      </c>
      <c r="P10" s="38">
        <v>112</v>
      </c>
      <c r="S10" s="466">
        <v>45245</v>
      </c>
      <c r="T10" s="38"/>
      <c r="U10" s="38"/>
      <c r="V10" s="38"/>
      <c r="W10" s="467" t="s">
        <v>58</v>
      </c>
      <c r="X10" s="467" t="s">
        <v>59</v>
      </c>
      <c r="Y10" s="467" t="s">
        <v>53</v>
      </c>
      <c r="Z10" s="38">
        <v>31065000</v>
      </c>
      <c r="AA10" s="38">
        <v>109</v>
      </c>
      <c r="AC10" s="462">
        <v>45306</v>
      </c>
      <c r="AD10" t="s">
        <v>56</v>
      </c>
      <c r="AE10" t="s">
        <v>1006</v>
      </c>
      <c r="AF10"/>
      <c r="AG10" t="s">
        <v>54</v>
      </c>
      <c r="AH10" t="s">
        <v>58</v>
      </c>
      <c r="AI10">
        <v>33600000</v>
      </c>
      <c r="AK10" s="98">
        <v>2024</v>
      </c>
      <c r="AL10" s="98">
        <v>1</v>
      </c>
      <c r="AM10" s="98" t="s">
        <v>55</v>
      </c>
      <c r="AN10" s="98" t="s">
        <v>56</v>
      </c>
      <c r="AO10">
        <v>150000000</v>
      </c>
      <c r="AP10">
        <v>109500000</v>
      </c>
      <c r="AQ10">
        <v>0.73</v>
      </c>
      <c r="AS10" s="461">
        <v>45306</v>
      </c>
      <c r="AT10" s="98" t="s">
        <v>56</v>
      </c>
      <c r="AU10" s="98" t="s">
        <v>54</v>
      </c>
      <c r="AV10" s="98" t="s">
        <v>1006</v>
      </c>
      <c r="AW10" s="98" t="s">
        <v>943</v>
      </c>
      <c r="AX10" s="98">
        <v>4</v>
      </c>
      <c r="AY10" s="98" t="s">
        <v>55</v>
      </c>
      <c r="AZ10"/>
      <c r="BA10"/>
      <c r="BB10" s="98" t="s">
        <v>58</v>
      </c>
      <c r="BC10" s="98" t="s">
        <v>59</v>
      </c>
      <c r="BD10" s="98" t="s">
        <v>55</v>
      </c>
      <c r="BE10" s="98" t="s">
        <v>1008</v>
      </c>
      <c r="BF10">
        <v>33600000</v>
      </c>
      <c r="BI10" s="14">
        <v>44934</v>
      </c>
    </row>
    <row r="11" spans="2:63" x14ac:dyDescent="0.3">
      <c r="B11" s="91">
        <v>1000000</v>
      </c>
      <c r="C11" s="91" t="s">
        <v>57</v>
      </c>
      <c r="E11" s="465">
        <v>45444</v>
      </c>
      <c r="H11" s="463">
        <v>45306</v>
      </c>
      <c r="I11" s="38" t="s">
        <v>943</v>
      </c>
      <c r="J11" s="38"/>
      <c r="K11" s="38"/>
      <c r="L11" s="38"/>
      <c r="M11" s="38"/>
      <c r="N11" s="38"/>
      <c r="O11" s="38" t="s">
        <v>62</v>
      </c>
      <c r="P11" s="38">
        <v>91</v>
      </c>
      <c r="S11" s="466">
        <v>45245</v>
      </c>
      <c r="T11" s="38"/>
      <c r="U11" s="38"/>
      <c r="V11" s="38"/>
      <c r="W11" s="467" t="s">
        <v>62</v>
      </c>
      <c r="X11" s="467" t="s">
        <v>63</v>
      </c>
      <c r="Y11" s="467" t="s">
        <v>53</v>
      </c>
      <c r="Z11" s="38">
        <v>40375000</v>
      </c>
      <c r="AA11" s="38">
        <v>85</v>
      </c>
      <c r="AC11" s="462">
        <v>45306</v>
      </c>
      <c r="AD11" t="s">
        <v>56</v>
      </c>
      <c r="AE11" t="s">
        <v>1006</v>
      </c>
      <c r="AF11"/>
      <c r="AG11" t="s">
        <v>54</v>
      </c>
      <c r="AH11" t="s">
        <v>62</v>
      </c>
      <c r="AI11">
        <v>45500000</v>
      </c>
      <c r="AK11" s="98">
        <v>2024</v>
      </c>
      <c r="AL11" s="98">
        <v>1</v>
      </c>
      <c r="AM11" s="98" t="s">
        <v>55</v>
      </c>
      <c r="AN11" s="98" t="s">
        <v>60</v>
      </c>
      <c r="AO11">
        <v>150000000</v>
      </c>
      <c r="AP11">
        <v>0</v>
      </c>
      <c r="AQ11">
        <v>0</v>
      </c>
      <c r="AS11" s="461">
        <v>45306</v>
      </c>
      <c r="AT11" s="98" t="s">
        <v>56</v>
      </c>
      <c r="AU11" s="98" t="s">
        <v>54</v>
      </c>
      <c r="AV11" s="98" t="s">
        <v>1006</v>
      </c>
      <c r="AW11" s="98" t="s">
        <v>943</v>
      </c>
      <c r="AX11" s="98">
        <v>4</v>
      </c>
      <c r="AY11" s="98" t="s">
        <v>55</v>
      </c>
      <c r="AZ11"/>
      <c r="BA11"/>
      <c r="BB11" s="98" t="s">
        <v>62</v>
      </c>
      <c r="BC11" s="98" t="s">
        <v>63</v>
      </c>
      <c r="BD11" s="98" t="s">
        <v>55</v>
      </c>
      <c r="BE11" s="98" t="s">
        <v>1008</v>
      </c>
      <c r="BF11">
        <v>45500000</v>
      </c>
      <c r="BI11" s="14">
        <v>44935</v>
      </c>
    </row>
    <row r="12" spans="2:63" x14ac:dyDescent="0.3">
      <c r="B12" s="91">
        <v>1000000000</v>
      </c>
      <c r="C12" s="91" t="s">
        <v>51</v>
      </c>
      <c r="E12" s="465">
        <v>45474</v>
      </c>
      <c r="H12" s="463">
        <v>45316</v>
      </c>
      <c r="I12" s="38" t="s">
        <v>942</v>
      </c>
      <c r="J12" s="38" t="s">
        <v>1005</v>
      </c>
      <c r="K12" s="38" t="s">
        <v>999</v>
      </c>
      <c r="L12" s="38" t="s">
        <v>961</v>
      </c>
      <c r="M12" s="38">
        <v>5</v>
      </c>
      <c r="N12" s="38">
        <v>113600000</v>
      </c>
      <c r="O12" s="38" t="s">
        <v>29</v>
      </c>
      <c r="P12" s="38">
        <v>157</v>
      </c>
      <c r="S12" s="466">
        <v>45255</v>
      </c>
      <c r="T12" s="467" t="s">
        <v>1006</v>
      </c>
      <c r="U12" s="467" t="s">
        <v>955</v>
      </c>
      <c r="V12" s="467" t="s">
        <v>997</v>
      </c>
      <c r="W12" s="467" t="s">
        <v>29</v>
      </c>
      <c r="X12" s="467" t="s">
        <v>52</v>
      </c>
      <c r="Y12" s="467" t="s">
        <v>53</v>
      </c>
      <c r="Z12" s="38">
        <v>26790000</v>
      </c>
      <c r="AA12" s="38">
        <v>141</v>
      </c>
      <c r="AC12" s="462">
        <v>45316</v>
      </c>
      <c r="AD12" t="s">
        <v>950</v>
      </c>
      <c r="AE12" t="s">
        <v>1005</v>
      </c>
      <c r="AF12">
        <v>113600000</v>
      </c>
      <c r="AG12" t="s">
        <v>65</v>
      </c>
      <c r="AH12" t="s">
        <v>29</v>
      </c>
      <c r="AI12">
        <v>31400000</v>
      </c>
      <c r="AK12" s="98">
        <v>2024</v>
      </c>
      <c r="AL12" s="98">
        <v>1</v>
      </c>
      <c r="AM12" s="98" t="s">
        <v>54</v>
      </c>
      <c r="AN12" s="98" t="s">
        <v>55</v>
      </c>
      <c r="AO12">
        <v>300000000</v>
      </c>
      <c r="AP12">
        <v>217100000</v>
      </c>
      <c r="AQ12">
        <v>0.72366666666666668</v>
      </c>
      <c r="AS12" s="461">
        <v>45316</v>
      </c>
      <c r="AT12" s="98" t="s">
        <v>950</v>
      </c>
      <c r="AU12" s="98" t="s">
        <v>65</v>
      </c>
      <c r="AV12" s="98" t="s">
        <v>1005</v>
      </c>
      <c r="AW12" s="98" t="s">
        <v>942</v>
      </c>
      <c r="AX12" s="98">
        <v>5</v>
      </c>
      <c r="AY12" s="98" t="s">
        <v>55</v>
      </c>
      <c r="AZ12" s="98">
        <v>0</v>
      </c>
      <c r="BA12" s="98">
        <v>113600000</v>
      </c>
      <c r="BB12" s="98" t="s">
        <v>29</v>
      </c>
      <c r="BC12" s="98" t="s">
        <v>52</v>
      </c>
      <c r="BD12" s="98" t="s">
        <v>55</v>
      </c>
      <c r="BE12" s="98" t="s">
        <v>1008</v>
      </c>
      <c r="BF12">
        <v>31400000</v>
      </c>
      <c r="BI12" s="14">
        <v>44936</v>
      </c>
    </row>
    <row r="13" spans="2:63" x14ac:dyDescent="0.3">
      <c r="E13" s="465">
        <v>45505</v>
      </c>
      <c r="H13" s="463">
        <v>45316</v>
      </c>
      <c r="I13" s="38" t="s">
        <v>942</v>
      </c>
      <c r="J13" s="38"/>
      <c r="K13" s="38"/>
      <c r="L13" s="38"/>
      <c r="M13" s="38"/>
      <c r="N13" s="38"/>
      <c r="O13" s="38" t="s">
        <v>58</v>
      </c>
      <c r="P13" s="38">
        <v>114</v>
      </c>
      <c r="S13" s="466">
        <v>45255</v>
      </c>
      <c r="T13" s="38"/>
      <c r="U13" s="38"/>
      <c r="V13" s="38"/>
      <c r="W13" s="467" t="s">
        <v>58</v>
      </c>
      <c r="X13" s="467" t="s">
        <v>59</v>
      </c>
      <c r="Y13" s="467" t="s">
        <v>53</v>
      </c>
      <c r="Z13" s="38">
        <v>30495000</v>
      </c>
      <c r="AA13" s="38">
        <v>107</v>
      </c>
      <c r="AC13" s="462">
        <v>45316</v>
      </c>
      <c r="AD13" t="s">
        <v>950</v>
      </c>
      <c r="AE13" t="s">
        <v>1005</v>
      </c>
      <c r="AF13"/>
      <c r="AG13" t="s">
        <v>65</v>
      </c>
      <c r="AH13" t="s">
        <v>58</v>
      </c>
      <c r="AI13">
        <v>34200000</v>
      </c>
      <c r="AK13" s="98">
        <v>2024</v>
      </c>
      <c r="AL13" s="98">
        <v>1</v>
      </c>
      <c r="AM13" s="98" t="s">
        <v>65</v>
      </c>
      <c r="AN13" s="98" t="s">
        <v>55</v>
      </c>
      <c r="AO13">
        <v>150000000</v>
      </c>
      <c r="AP13">
        <v>113600000</v>
      </c>
      <c r="AQ13">
        <v>0.7573333333333333</v>
      </c>
      <c r="AS13" s="461">
        <v>45316</v>
      </c>
      <c r="AT13" s="98" t="s">
        <v>950</v>
      </c>
      <c r="AU13" s="98" t="s">
        <v>65</v>
      </c>
      <c r="AV13" s="98" t="s">
        <v>1005</v>
      </c>
      <c r="AW13" s="98" t="s">
        <v>942</v>
      </c>
      <c r="AX13" s="98">
        <v>5</v>
      </c>
      <c r="AY13" s="98" t="s">
        <v>55</v>
      </c>
      <c r="AZ13"/>
      <c r="BA13"/>
      <c r="BB13" s="98" t="s">
        <v>58</v>
      </c>
      <c r="BC13" s="98" t="s">
        <v>59</v>
      </c>
      <c r="BD13" s="98" t="s">
        <v>55</v>
      </c>
      <c r="BE13" s="98" t="s">
        <v>1008</v>
      </c>
      <c r="BF13">
        <v>34200000</v>
      </c>
      <c r="BI13" s="14">
        <v>44937</v>
      </c>
    </row>
    <row r="14" spans="2:63" x14ac:dyDescent="0.3">
      <c r="E14" s="465">
        <v>45536</v>
      </c>
      <c r="H14" s="463">
        <v>45316</v>
      </c>
      <c r="I14" s="38" t="s">
        <v>942</v>
      </c>
      <c r="J14" s="38"/>
      <c r="K14" s="38"/>
      <c r="L14" s="38"/>
      <c r="M14" s="38"/>
      <c r="N14" s="38"/>
      <c r="O14" s="38" t="s">
        <v>62</v>
      </c>
      <c r="P14" s="38">
        <v>96</v>
      </c>
      <c r="S14" s="466">
        <v>45255</v>
      </c>
      <c r="T14" s="38"/>
      <c r="U14" s="38"/>
      <c r="V14" s="38"/>
      <c r="W14" s="467" t="s">
        <v>62</v>
      </c>
      <c r="X14" s="467" t="s">
        <v>63</v>
      </c>
      <c r="Y14" s="467" t="s">
        <v>53</v>
      </c>
      <c r="Z14" s="38">
        <v>41325000</v>
      </c>
      <c r="AA14" s="38">
        <v>87</v>
      </c>
      <c r="AC14" s="462">
        <v>45316</v>
      </c>
      <c r="AD14" t="s">
        <v>950</v>
      </c>
      <c r="AE14" t="s">
        <v>1005</v>
      </c>
      <c r="AF14"/>
      <c r="AG14" t="s">
        <v>65</v>
      </c>
      <c r="AH14" t="s">
        <v>62</v>
      </c>
      <c r="AI14">
        <v>48000000</v>
      </c>
      <c r="AK14" s="98">
        <v>2024</v>
      </c>
      <c r="AL14" s="98">
        <v>2</v>
      </c>
      <c r="AM14" s="98" t="s">
        <v>55</v>
      </c>
      <c r="AN14" s="98" t="s">
        <v>56</v>
      </c>
      <c r="AO14">
        <v>150000000</v>
      </c>
      <c r="AP14">
        <v>0</v>
      </c>
      <c r="AQ14">
        <v>0</v>
      </c>
      <c r="AS14" s="461">
        <v>45316</v>
      </c>
      <c r="AT14" s="98" t="s">
        <v>950</v>
      </c>
      <c r="AU14" s="98" t="s">
        <v>65</v>
      </c>
      <c r="AV14" s="98" t="s">
        <v>1005</v>
      </c>
      <c r="AW14" s="98" t="s">
        <v>942</v>
      </c>
      <c r="AX14" s="98">
        <v>5</v>
      </c>
      <c r="AY14" s="98" t="s">
        <v>55</v>
      </c>
      <c r="AZ14"/>
      <c r="BA14"/>
      <c r="BB14" s="98" t="s">
        <v>62</v>
      </c>
      <c r="BC14" s="98" t="s">
        <v>63</v>
      </c>
      <c r="BD14" s="98" t="s">
        <v>55</v>
      </c>
      <c r="BE14" s="98" t="s">
        <v>1008</v>
      </c>
      <c r="BF14">
        <v>48000000</v>
      </c>
      <c r="BI14" s="14">
        <v>44938</v>
      </c>
    </row>
    <row r="15" spans="2:63" x14ac:dyDescent="0.3">
      <c r="E15"/>
      <c r="H15" s="463">
        <v>45327</v>
      </c>
      <c r="I15" s="38" t="s">
        <v>944</v>
      </c>
      <c r="J15" s="38" t="s">
        <v>1005</v>
      </c>
      <c r="K15" s="38" t="s">
        <v>1001</v>
      </c>
      <c r="L15" s="38" t="s">
        <v>962</v>
      </c>
      <c r="M15" s="38">
        <v>1</v>
      </c>
      <c r="N15" s="38">
        <v>114200000</v>
      </c>
      <c r="O15" s="38" t="s">
        <v>29</v>
      </c>
      <c r="P15" s="38">
        <v>159</v>
      </c>
      <c r="S15" s="466">
        <v>45265</v>
      </c>
      <c r="T15" s="467" t="s">
        <v>1006</v>
      </c>
      <c r="U15" s="467" t="s">
        <v>956</v>
      </c>
      <c r="V15" s="467" t="s">
        <v>1000</v>
      </c>
      <c r="W15" s="467" t="s">
        <v>29</v>
      </c>
      <c r="X15" s="467" t="s">
        <v>52</v>
      </c>
      <c r="Y15" s="467" t="s">
        <v>53</v>
      </c>
      <c r="Z15" s="38">
        <v>27930000</v>
      </c>
      <c r="AA15" s="38">
        <v>147</v>
      </c>
      <c r="AC15" s="462">
        <v>45327</v>
      </c>
      <c r="AD15" t="s">
        <v>949</v>
      </c>
      <c r="AE15" t="s">
        <v>1005</v>
      </c>
      <c r="AF15">
        <v>114200000</v>
      </c>
      <c r="AG15" t="s">
        <v>54</v>
      </c>
      <c r="AH15" t="s">
        <v>29</v>
      </c>
      <c r="AI15">
        <v>31800000</v>
      </c>
      <c r="AK15" s="98">
        <v>2024</v>
      </c>
      <c r="AL15" s="98">
        <v>2</v>
      </c>
      <c r="AM15" s="98" t="s">
        <v>55</v>
      </c>
      <c r="AN15" s="98" t="s">
        <v>60</v>
      </c>
      <c r="AO15">
        <v>150000000</v>
      </c>
      <c r="AP15">
        <v>0</v>
      </c>
      <c r="AQ15">
        <v>0</v>
      </c>
      <c r="AS15" s="461">
        <v>45327</v>
      </c>
      <c r="AT15" s="98" t="s">
        <v>949</v>
      </c>
      <c r="AU15" s="98" t="s">
        <v>54</v>
      </c>
      <c r="AV15" s="98" t="s">
        <v>1005</v>
      </c>
      <c r="AW15" s="98" t="s">
        <v>944</v>
      </c>
      <c r="AX15" s="98">
        <v>1</v>
      </c>
      <c r="AY15" s="98" t="s">
        <v>55</v>
      </c>
      <c r="AZ15" s="98">
        <v>0</v>
      </c>
      <c r="BA15" s="98">
        <v>114200000</v>
      </c>
      <c r="BB15" s="98" t="s">
        <v>29</v>
      </c>
      <c r="BC15" s="98" t="s">
        <v>52</v>
      </c>
      <c r="BD15" s="98" t="s">
        <v>55</v>
      </c>
      <c r="BE15" s="98" t="s">
        <v>1008</v>
      </c>
      <c r="BF15">
        <v>31800000</v>
      </c>
      <c r="BI15" s="14">
        <v>44939</v>
      </c>
    </row>
    <row r="16" spans="2:63" x14ac:dyDescent="0.3">
      <c r="E16"/>
      <c r="H16" s="463">
        <v>45327</v>
      </c>
      <c r="I16" s="38" t="s">
        <v>944</v>
      </c>
      <c r="J16" s="38"/>
      <c r="K16" s="38"/>
      <c r="L16" s="38"/>
      <c r="M16" s="38"/>
      <c r="N16" s="38"/>
      <c r="O16" s="38" t="s">
        <v>58</v>
      </c>
      <c r="P16" s="38">
        <v>113</v>
      </c>
      <c r="S16" s="466">
        <v>45265</v>
      </c>
      <c r="T16" s="38"/>
      <c r="U16" s="38"/>
      <c r="V16" s="38"/>
      <c r="W16" s="467" t="s">
        <v>58</v>
      </c>
      <c r="X16" s="467" t="s">
        <v>59</v>
      </c>
      <c r="Y16" s="467" t="s">
        <v>53</v>
      </c>
      <c r="Z16" s="38">
        <v>31065000</v>
      </c>
      <c r="AA16" s="38">
        <v>109</v>
      </c>
      <c r="AC16" s="462">
        <v>45327</v>
      </c>
      <c r="AD16" t="s">
        <v>949</v>
      </c>
      <c r="AE16" t="s">
        <v>1005</v>
      </c>
      <c r="AF16"/>
      <c r="AG16" t="s">
        <v>54</v>
      </c>
      <c r="AH16" t="s">
        <v>58</v>
      </c>
      <c r="AI16">
        <v>33900000</v>
      </c>
      <c r="AK16" s="98">
        <v>2024</v>
      </c>
      <c r="AL16" s="98">
        <v>2</v>
      </c>
      <c r="AM16" s="98" t="s">
        <v>54</v>
      </c>
      <c r="AN16" s="98" t="s">
        <v>55</v>
      </c>
      <c r="AO16">
        <v>300000000</v>
      </c>
      <c r="AP16">
        <v>228100000</v>
      </c>
      <c r="AQ16">
        <v>0.76033333333333331</v>
      </c>
      <c r="AS16" s="461">
        <v>45327</v>
      </c>
      <c r="AT16" s="98" t="s">
        <v>949</v>
      </c>
      <c r="AU16" s="98" t="s">
        <v>54</v>
      </c>
      <c r="AV16" s="98" t="s">
        <v>1005</v>
      </c>
      <c r="AW16" s="98" t="s">
        <v>944</v>
      </c>
      <c r="AX16" s="98">
        <v>1</v>
      </c>
      <c r="AY16" s="98" t="s">
        <v>55</v>
      </c>
      <c r="AZ16"/>
      <c r="BA16"/>
      <c r="BB16" s="98" t="s">
        <v>58</v>
      </c>
      <c r="BC16" s="98" t="s">
        <v>59</v>
      </c>
      <c r="BD16" s="98" t="s">
        <v>55</v>
      </c>
      <c r="BE16" s="98" t="s">
        <v>1008</v>
      </c>
      <c r="BF16">
        <v>33900000</v>
      </c>
      <c r="BI16" s="14">
        <v>44940</v>
      </c>
    </row>
    <row r="17" spans="5:61" x14ac:dyDescent="0.3">
      <c r="E17"/>
      <c r="H17" s="463">
        <v>45327</v>
      </c>
      <c r="I17" s="38" t="s">
        <v>944</v>
      </c>
      <c r="J17" s="38"/>
      <c r="K17" s="38"/>
      <c r="L17" s="38"/>
      <c r="M17" s="38"/>
      <c r="N17" s="38"/>
      <c r="O17" s="38" t="s">
        <v>62</v>
      </c>
      <c r="P17" s="38">
        <v>97</v>
      </c>
      <c r="S17" s="466">
        <v>45265</v>
      </c>
      <c r="T17" s="38"/>
      <c r="U17" s="38"/>
      <c r="V17" s="38"/>
      <c r="W17" s="467" t="s">
        <v>62</v>
      </c>
      <c r="X17" s="467" t="s">
        <v>63</v>
      </c>
      <c r="Y17" s="467" t="s">
        <v>53</v>
      </c>
      <c r="Z17" s="38">
        <v>40850000</v>
      </c>
      <c r="AA17" s="38">
        <v>86</v>
      </c>
      <c r="AC17" s="462">
        <v>45327</v>
      </c>
      <c r="AD17" t="s">
        <v>949</v>
      </c>
      <c r="AE17" t="s">
        <v>1005</v>
      </c>
      <c r="AF17"/>
      <c r="AG17" t="s">
        <v>54</v>
      </c>
      <c r="AH17" t="s">
        <v>62</v>
      </c>
      <c r="AI17">
        <v>48500000</v>
      </c>
      <c r="AK17" s="98">
        <v>2024</v>
      </c>
      <c r="AL17" s="98">
        <v>2</v>
      </c>
      <c r="AM17" s="98" t="s">
        <v>65</v>
      </c>
      <c r="AN17" s="98" t="s">
        <v>55</v>
      </c>
      <c r="AO17">
        <v>150000000</v>
      </c>
      <c r="AP17">
        <v>115800000</v>
      </c>
      <c r="AQ17">
        <v>0.77200000000000002</v>
      </c>
      <c r="AS17" s="461">
        <v>45327</v>
      </c>
      <c r="AT17" s="98" t="s">
        <v>949</v>
      </c>
      <c r="AU17" s="98" t="s">
        <v>54</v>
      </c>
      <c r="AV17" s="98" t="s">
        <v>1005</v>
      </c>
      <c r="AW17" s="98" t="s">
        <v>944</v>
      </c>
      <c r="AX17" s="98">
        <v>1</v>
      </c>
      <c r="AY17" s="98" t="s">
        <v>55</v>
      </c>
      <c r="AZ17"/>
      <c r="BA17"/>
      <c r="BB17" s="98" t="s">
        <v>62</v>
      </c>
      <c r="BC17" s="98" t="s">
        <v>63</v>
      </c>
      <c r="BD17" s="98" t="s">
        <v>55</v>
      </c>
      <c r="BE17" s="98" t="s">
        <v>1008</v>
      </c>
      <c r="BF17">
        <v>48500000</v>
      </c>
      <c r="BI17" s="14">
        <v>44941</v>
      </c>
    </row>
    <row r="18" spans="5:61" x14ac:dyDescent="0.3">
      <c r="E18"/>
      <c r="H18" s="463">
        <v>45337</v>
      </c>
      <c r="I18" s="38" t="s">
        <v>944</v>
      </c>
      <c r="J18" s="38" t="s">
        <v>1005</v>
      </c>
      <c r="K18" s="38" t="s">
        <v>1001</v>
      </c>
      <c r="L18" s="38" t="s">
        <v>963</v>
      </c>
      <c r="M18" s="38">
        <v>2</v>
      </c>
      <c r="N18" s="38">
        <v>115800000</v>
      </c>
      <c r="O18" s="38" t="s">
        <v>29</v>
      </c>
      <c r="P18" s="38">
        <v>165</v>
      </c>
      <c r="S18" s="466">
        <v>45275</v>
      </c>
      <c r="T18" s="467" t="s">
        <v>1006</v>
      </c>
      <c r="U18" s="467" t="s">
        <v>957</v>
      </c>
      <c r="V18" s="467" t="s">
        <v>998</v>
      </c>
      <c r="W18" s="467" t="s">
        <v>29</v>
      </c>
      <c r="X18" s="467" t="s">
        <v>52</v>
      </c>
      <c r="Y18" s="467" t="s">
        <v>53</v>
      </c>
      <c r="Z18" s="38">
        <v>28120000</v>
      </c>
      <c r="AA18" s="38">
        <v>148</v>
      </c>
      <c r="AC18" s="462">
        <v>45337</v>
      </c>
      <c r="AD18" t="s">
        <v>949</v>
      </c>
      <c r="AE18" t="s">
        <v>1005</v>
      </c>
      <c r="AF18">
        <v>115800000</v>
      </c>
      <c r="AG18" t="s">
        <v>65</v>
      </c>
      <c r="AH18" t="s">
        <v>29</v>
      </c>
      <c r="AI18">
        <v>33000000</v>
      </c>
      <c r="AK18" s="98">
        <v>2024</v>
      </c>
      <c r="AL18" s="98">
        <v>3</v>
      </c>
      <c r="AM18" s="98" t="s">
        <v>55</v>
      </c>
      <c r="AN18" s="98" t="s">
        <v>56</v>
      </c>
      <c r="AO18">
        <v>150000000</v>
      </c>
      <c r="AP18">
        <v>113500000</v>
      </c>
      <c r="AQ18">
        <v>0.75666666666666671</v>
      </c>
      <c r="AS18" s="461">
        <v>45337</v>
      </c>
      <c r="AT18" s="98" t="s">
        <v>949</v>
      </c>
      <c r="AU18" s="98" t="s">
        <v>65</v>
      </c>
      <c r="AV18" s="98" t="s">
        <v>1005</v>
      </c>
      <c r="AW18" s="98" t="s">
        <v>944</v>
      </c>
      <c r="AX18" s="98">
        <v>2</v>
      </c>
      <c r="AY18" s="98" t="s">
        <v>55</v>
      </c>
      <c r="AZ18" s="98">
        <v>0</v>
      </c>
      <c r="BA18" s="98">
        <v>115800000</v>
      </c>
      <c r="BB18" s="98" t="s">
        <v>29</v>
      </c>
      <c r="BC18" s="98" t="s">
        <v>52</v>
      </c>
      <c r="BD18" s="98" t="s">
        <v>55</v>
      </c>
      <c r="BE18" s="98" t="s">
        <v>1008</v>
      </c>
      <c r="BF18">
        <v>33000000</v>
      </c>
      <c r="BI18" s="14">
        <v>44942</v>
      </c>
    </row>
    <row r="19" spans="5:61" x14ac:dyDescent="0.3">
      <c r="E19"/>
      <c r="H19" s="463">
        <v>45337</v>
      </c>
      <c r="I19" s="38" t="s">
        <v>944</v>
      </c>
      <c r="J19" s="38"/>
      <c r="K19" s="38"/>
      <c r="L19" s="38"/>
      <c r="M19" s="38"/>
      <c r="N19" s="38"/>
      <c r="O19" s="38" t="s">
        <v>58</v>
      </c>
      <c r="P19" s="38">
        <v>116</v>
      </c>
      <c r="S19" s="466">
        <v>45275</v>
      </c>
      <c r="T19" s="38"/>
      <c r="U19" s="38"/>
      <c r="V19" s="38"/>
      <c r="W19" s="467" t="s">
        <v>58</v>
      </c>
      <c r="X19" s="467" t="s">
        <v>59</v>
      </c>
      <c r="Y19" s="467" t="s">
        <v>53</v>
      </c>
      <c r="Z19" s="38">
        <v>30780000</v>
      </c>
      <c r="AA19" s="38">
        <v>108</v>
      </c>
      <c r="AC19" s="462">
        <v>45337</v>
      </c>
      <c r="AD19" t="s">
        <v>949</v>
      </c>
      <c r="AE19" t="s">
        <v>1005</v>
      </c>
      <c r="AF19"/>
      <c r="AG19" t="s">
        <v>65</v>
      </c>
      <c r="AH19" t="s">
        <v>58</v>
      </c>
      <c r="AI19">
        <v>34800000</v>
      </c>
      <c r="AK19" s="98">
        <v>2024</v>
      </c>
      <c r="AL19" s="98">
        <v>3</v>
      </c>
      <c r="AM19" s="98" t="s">
        <v>55</v>
      </c>
      <c r="AN19" s="98" t="s">
        <v>60</v>
      </c>
      <c r="AO19">
        <v>150000000</v>
      </c>
      <c r="AP19">
        <v>0</v>
      </c>
      <c r="AQ19">
        <v>0</v>
      </c>
      <c r="AS19" s="461">
        <v>45337</v>
      </c>
      <c r="AT19" s="98" t="s">
        <v>949</v>
      </c>
      <c r="AU19" s="98" t="s">
        <v>65</v>
      </c>
      <c r="AV19" s="98" t="s">
        <v>1005</v>
      </c>
      <c r="AW19" s="98" t="s">
        <v>944</v>
      </c>
      <c r="AX19" s="98">
        <v>2</v>
      </c>
      <c r="AY19" s="98" t="s">
        <v>55</v>
      </c>
      <c r="AZ19"/>
      <c r="BA19"/>
      <c r="BB19" s="98" t="s">
        <v>58</v>
      </c>
      <c r="BC19" s="98" t="s">
        <v>59</v>
      </c>
      <c r="BD19" s="98" t="s">
        <v>55</v>
      </c>
      <c r="BE19" s="98" t="s">
        <v>1008</v>
      </c>
      <c r="BF19">
        <v>34800000</v>
      </c>
      <c r="BI19" s="14">
        <v>44943</v>
      </c>
    </row>
    <row r="20" spans="5:61" x14ac:dyDescent="0.3">
      <c r="E20"/>
      <c r="H20" s="463">
        <v>45337</v>
      </c>
      <c r="I20" s="38" t="s">
        <v>944</v>
      </c>
      <c r="J20" s="38"/>
      <c r="K20" s="38"/>
      <c r="L20" s="38"/>
      <c r="M20" s="38"/>
      <c r="N20" s="38"/>
      <c r="O20" s="38" t="s">
        <v>62</v>
      </c>
      <c r="P20" s="38">
        <v>96</v>
      </c>
      <c r="S20" s="466">
        <v>45275</v>
      </c>
      <c r="T20" s="38"/>
      <c r="U20" s="38"/>
      <c r="V20" s="38"/>
      <c r="W20" s="467" t="s">
        <v>62</v>
      </c>
      <c r="X20" s="467" t="s">
        <v>63</v>
      </c>
      <c r="Y20" s="467" t="s">
        <v>53</v>
      </c>
      <c r="Z20" s="38">
        <v>39900000</v>
      </c>
      <c r="AA20" s="38">
        <v>84</v>
      </c>
      <c r="AC20" s="462">
        <v>45337</v>
      </c>
      <c r="AD20" t="s">
        <v>949</v>
      </c>
      <c r="AE20" t="s">
        <v>1005</v>
      </c>
      <c r="AF20"/>
      <c r="AG20" t="s">
        <v>65</v>
      </c>
      <c r="AH20" t="s">
        <v>62</v>
      </c>
      <c r="AI20">
        <v>48000000</v>
      </c>
      <c r="AK20" s="98">
        <v>2024</v>
      </c>
      <c r="AL20" s="98">
        <v>3</v>
      </c>
      <c r="AM20" s="98" t="s">
        <v>54</v>
      </c>
      <c r="AN20" s="98" t="s">
        <v>55</v>
      </c>
      <c r="AO20">
        <v>300000000</v>
      </c>
      <c r="AP20">
        <v>226700000</v>
      </c>
      <c r="AQ20">
        <v>0.75566666666666671</v>
      </c>
      <c r="AS20" s="461">
        <v>45337</v>
      </c>
      <c r="AT20" s="98" t="s">
        <v>949</v>
      </c>
      <c r="AU20" s="98" t="s">
        <v>65</v>
      </c>
      <c r="AV20" s="98" t="s">
        <v>1005</v>
      </c>
      <c r="AW20" s="98" t="s">
        <v>944</v>
      </c>
      <c r="AX20" s="98">
        <v>2</v>
      </c>
      <c r="AY20" s="98" t="s">
        <v>55</v>
      </c>
      <c r="AZ20"/>
      <c r="BA20"/>
      <c r="BB20" s="98" t="s">
        <v>62</v>
      </c>
      <c r="BC20" s="98" t="s">
        <v>63</v>
      </c>
      <c r="BD20" s="98" t="s">
        <v>55</v>
      </c>
      <c r="BE20" s="98" t="s">
        <v>1008</v>
      </c>
      <c r="BF20">
        <v>48000000</v>
      </c>
      <c r="BI20" s="14">
        <v>44944</v>
      </c>
    </row>
    <row r="21" spans="5:61" x14ac:dyDescent="0.3">
      <c r="E21"/>
      <c r="H21" s="463">
        <v>45347</v>
      </c>
      <c r="I21" s="38" t="s">
        <v>945</v>
      </c>
      <c r="J21" s="38" t="s">
        <v>1006</v>
      </c>
      <c r="K21" s="38" t="s">
        <v>1002</v>
      </c>
      <c r="L21" s="38" t="s">
        <v>964</v>
      </c>
      <c r="M21" s="38">
        <v>1</v>
      </c>
      <c r="N21" s="38">
        <v>113900000</v>
      </c>
      <c r="O21" s="38" t="s">
        <v>29</v>
      </c>
      <c r="P21" s="38">
        <v>162</v>
      </c>
      <c r="S21" s="466">
        <v>45285</v>
      </c>
      <c r="T21" s="467" t="s">
        <v>1005</v>
      </c>
      <c r="U21" s="467" t="s">
        <v>958</v>
      </c>
      <c r="V21" s="467" t="s">
        <v>996</v>
      </c>
      <c r="W21" s="467" t="s">
        <v>29</v>
      </c>
      <c r="X21" s="467" t="s">
        <v>52</v>
      </c>
      <c r="Y21" s="467" t="s">
        <v>53</v>
      </c>
      <c r="Z21" s="38">
        <v>28310000</v>
      </c>
      <c r="AA21" s="38">
        <v>149</v>
      </c>
      <c r="AC21" s="462">
        <v>45347</v>
      </c>
      <c r="AD21" t="s">
        <v>952</v>
      </c>
      <c r="AE21" t="s">
        <v>1006</v>
      </c>
      <c r="AF21">
        <v>113900000</v>
      </c>
      <c r="AG21" t="s">
        <v>54</v>
      </c>
      <c r="AH21" t="s">
        <v>29</v>
      </c>
      <c r="AI21">
        <v>32400000</v>
      </c>
      <c r="AK21" s="98">
        <v>2024</v>
      </c>
      <c r="AL21" s="98">
        <v>3</v>
      </c>
      <c r="AM21" s="98" t="s">
        <v>65</v>
      </c>
      <c r="AN21" s="98" t="s">
        <v>55</v>
      </c>
      <c r="AO21">
        <v>150000000</v>
      </c>
      <c r="AP21">
        <v>112200000</v>
      </c>
      <c r="AQ21">
        <v>0.748</v>
      </c>
      <c r="AS21" s="461">
        <v>45347</v>
      </c>
      <c r="AT21" s="98" t="s">
        <v>952</v>
      </c>
      <c r="AU21" s="98" t="s">
        <v>54</v>
      </c>
      <c r="AV21" s="98" t="s">
        <v>1006</v>
      </c>
      <c r="AW21" s="98" t="s">
        <v>945</v>
      </c>
      <c r="AX21" s="98">
        <v>1</v>
      </c>
      <c r="AY21" s="98" t="s">
        <v>55</v>
      </c>
      <c r="AZ21" s="98">
        <v>0</v>
      </c>
      <c r="BA21" s="98">
        <v>113900000</v>
      </c>
      <c r="BB21" s="98" t="s">
        <v>29</v>
      </c>
      <c r="BC21" s="98" t="s">
        <v>52</v>
      </c>
      <c r="BD21" s="98" t="s">
        <v>55</v>
      </c>
      <c r="BE21" s="98" t="s">
        <v>1008</v>
      </c>
      <c r="BF21">
        <v>32400000</v>
      </c>
      <c r="BI21" s="14">
        <v>44945</v>
      </c>
    </row>
    <row r="22" spans="5:61" x14ac:dyDescent="0.3">
      <c r="E22"/>
      <c r="H22" s="463">
        <v>45347</v>
      </c>
      <c r="I22" s="38" t="s">
        <v>945</v>
      </c>
      <c r="J22" s="38"/>
      <c r="K22" s="38"/>
      <c r="L22" s="38"/>
      <c r="M22" s="38"/>
      <c r="N22" s="38"/>
      <c r="O22" s="38" t="s">
        <v>58</v>
      </c>
      <c r="P22" s="38">
        <v>115</v>
      </c>
      <c r="S22" s="466">
        <v>45285</v>
      </c>
      <c r="T22" s="38"/>
      <c r="U22" s="38"/>
      <c r="V22" s="38"/>
      <c r="W22" s="467" t="s">
        <v>58</v>
      </c>
      <c r="X22" s="467" t="s">
        <v>59</v>
      </c>
      <c r="Y22" s="467" t="s">
        <v>53</v>
      </c>
      <c r="Z22" s="38">
        <v>30780000</v>
      </c>
      <c r="AA22" s="38">
        <v>108</v>
      </c>
      <c r="AC22" s="462">
        <v>45347</v>
      </c>
      <c r="AD22" t="s">
        <v>952</v>
      </c>
      <c r="AE22" t="s">
        <v>1006</v>
      </c>
      <c r="AF22"/>
      <c r="AG22" t="s">
        <v>54</v>
      </c>
      <c r="AH22" t="s">
        <v>58</v>
      </c>
      <c r="AI22">
        <v>34500000</v>
      </c>
      <c r="AK22" s="98">
        <v>2024</v>
      </c>
      <c r="AL22" s="98">
        <v>4</v>
      </c>
      <c r="AM22" s="98" t="s">
        <v>55</v>
      </c>
      <c r="AN22" s="98" t="s">
        <v>56</v>
      </c>
      <c r="AO22">
        <v>150000000</v>
      </c>
      <c r="AP22">
        <v>0</v>
      </c>
      <c r="AQ22">
        <v>0</v>
      </c>
      <c r="AS22" s="461">
        <v>45347</v>
      </c>
      <c r="AT22" s="98" t="s">
        <v>952</v>
      </c>
      <c r="AU22" s="98" t="s">
        <v>54</v>
      </c>
      <c r="AV22" s="98" t="s">
        <v>1006</v>
      </c>
      <c r="AW22" s="98" t="s">
        <v>945</v>
      </c>
      <c r="AX22" s="98">
        <v>1</v>
      </c>
      <c r="AY22" s="98" t="s">
        <v>55</v>
      </c>
      <c r="AZ22"/>
      <c r="BA22"/>
      <c r="BB22" s="98" t="s">
        <v>58</v>
      </c>
      <c r="BC22" s="98" t="s">
        <v>59</v>
      </c>
      <c r="BD22" s="98" t="s">
        <v>55</v>
      </c>
      <c r="BE22" s="98" t="s">
        <v>1008</v>
      </c>
      <c r="BF22">
        <v>34500000</v>
      </c>
      <c r="BI22" s="14">
        <v>44946</v>
      </c>
    </row>
    <row r="23" spans="5:61" x14ac:dyDescent="0.3">
      <c r="E23"/>
      <c r="H23" s="463">
        <v>45347</v>
      </c>
      <c r="I23" s="38" t="s">
        <v>945</v>
      </c>
      <c r="J23" s="38"/>
      <c r="K23" s="38"/>
      <c r="L23" s="38"/>
      <c r="M23" s="38"/>
      <c r="N23" s="38"/>
      <c r="O23" s="38" t="s">
        <v>62</v>
      </c>
      <c r="P23" s="38">
        <v>94</v>
      </c>
      <c r="S23" s="466">
        <v>45285</v>
      </c>
      <c r="T23" s="38"/>
      <c r="U23" s="38"/>
      <c r="V23" s="38"/>
      <c r="W23" s="467" t="s">
        <v>62</v>
      </c>
      <c r="X23" s="467" t="s">
        <v>63</v>
      </c>
      <c r="Y23" s="467" t="s">
        <v>53</v>
      </c>
      <c r="Z23" s="38">
        <v>41325000</v>
      </c>
      <c r="AA23" s="38">
        <v>87</v>
      </c>
      <c r="AC23" s="462">
        <v>45347</v>
      </c>
      <c r="AD23" t="s">
        <v>952</v>
      </c>
      <c r="AE23" t="s">
        <v>1006</v>
      </c>
      <c r="AF23"/>
      <c r="AG23" t="s">
        <v>54</v>
      </c>
      <c r="AH23" t="s">
        <v>62</v>
      </c>
      <c r="AI23">
        <v>47000000</v>
      </c>
      <c r="AK23" s="98">
        <v>2024</v>
      </c>
      <c r="AL23" s="98">
        <v>4</v>
      </c>
      <c r="AM23" s="98" t="s">
        <v>55</v>
      </c>
      <c r="AN23" s="98" t="s">
        <v>60</v>
      </c>
      <c r="AO23">
        <v>150000000</v>
      </c>
      <c r="AP23">
        <v>121300000</v>
      </c>
      <c r="AQ23">
        <v>0.80866666666666664</v>
      </c>
      <c r="AS23" s="461">
        <v>45347</v>
      </c>
      <c r="AT23" s="98" t="s">
        <v>952</v>
      </c>
      <c r="AU23" s="98" t="s">
        <v>54</v>
      </c>
      <c r="AV23" s="98" t="s">
        <v>1006</v>
      </c>
      <c r="AW23" s="98" t="s">
        <v>945</v>
      </c>
      <c r="AX23" s="98">
        <v>1</v>
      </c>
      <c r="AY23" s="98" t="s">
        <v>55</v>
      </c>
      <c r="AZ23"/>
      <c r="BA23"/>
      <c r="BB23" s="98" t="s">
        <v>62</v>
      </c>
      <c r="BC23" s="98" t="s">
        <v>63</v>
      </c>
      <c r="BD23" s="98" t="s">
        <v>55</v>
      </c>
      <c r="BE23" s="98" t="s">
        <v>1008</v>
      </c>
      <c r="BF23">
        <v>47000000</v>
      </c>
      <c r="BI23" s="14">
        <v>44947</v>
      </c>
    </row>
    <row r="24" spans="5:61" x14ac:dyDescent="0.3">
      <c r="E24"/>
      <c r="H24" s="463">
        <v>45356</v>
      </c>
      <c r="I24" s="38" t="s">
        <v>940</v>
      </c>
      <c r="J24" s="38" t="s">
        <v>1006</v>
      </c>
      <c r="K24" s="38" t="s">
        <v>997</v>
      </c>
      <c r="L24" s="38" t="s">
        <v>965</v>
      </c>
      <c r="M24" s="38">
        <v>13</v>
      </c>
      <c r="N24" s="38">
        <v>113500000</v>
      </c>
      <c r="O24" s="38" t="s">
        <v>29</v>
      </c>
      <c r="P24" s="38">
        <v>164</v>
      </c>
      <c r="S24" s="466">
        <v>45296</v>
      </c>
      <c r="T24" s="467" t="s">
        <v>1006</v>
      </c>
      <c r="U24" s="467" t="s">
        <v>959</v>
      </c>
      <c r="V24" s="467" t="s">
        <v>997</v>
      </c>
      <c r="W24" s="467" t="s">
        <v>29</v>
      </c>
      <c r="X24" s="467" t="s">
        <v>52</v>
      </c>
      <c r="Y24" s="467" t="s">
        <v>53</v>
      </c>
      <c r="Z24" s="38">
        <v>30000000</v>
      </c>
      <c r="AA24" s="38">
        <v>150</v>
      </c>
      <c r="AC24" s="462">
        <v>45356</v>
      </c>
      <c r="AD24" t="s">
        <v>56</v>
      </c>
      <c r="AE24" t="s">
        <v>1006</v>
      </c>
      <c r="AF24">
        <v>113500000</v>
      </c>
      <c r="AG24" t="s">
        <v>54</v>
      </c>
      <c r="AH24" t="s">
        <v>29</v>
      </c>
      <c r="AI24">
        <v>32800000</v>
      </c>
      <c r="AK24" s="98">
        <v>2024</v>
      </c>
      <c r="AL24" s="98">
        <v>4</v>
      </c>
      <c r="AM24" s="98" t="s">
        <v>54</v>
      </c>
      <c r="AN24" s="98" t="s">
        <v>55</v>
      </c>
      <c r="AO24">
        <v>300000000</v>
      </c>
      <c r="AP24">
        <v>355100000</v>
      </c>
      <c r="AQ24">
        <v>1.1836666666666666</v>
      </c>
      <c r="AS24" s="461">
        <v>45356</v>
      </c>
      <c r="AT24" s="98" t="s">
        <v>56</v>
      </c>
      <c r="AU24" s="98" t="s">
        <v>54</v>
      </c>
      <c r="AV24" s="98" t="s">
        <v>1006</v>
      </c>
      <c r="AW24" s="98" t="s">
        <v>940</v>
      </c>
      <c r="AX24" s="98">
        <v>13</v>
      </c>
      <c r="AY24" s="98" t="s">
        <v>55</v>
      </c>
      <c r="AZ24" s="98">
        <v>0</v>
      </c>
      <c r="BA24" s="98">
        <v>113500000</v>
      </c>
      <c r="BB24" s="98" t="s">
        <v>29</v>
      </c>
      <c r="BC24" s="98" t="s">
        <v>52</v>
      </c>
      <c r="BD24" s="98" t="s">
        <v>55</v>
      </c>
      <c r="BE24" s="98" t="s">
        <v>1008</v>
      </c>
      <c r="BF24">
        <v>32800000</v>
      </c>
      <c r="BI24" s="14">
        <v>44948</v>
      </c>
    </row>
    <row r="25" spans="5:61" x14ac:dyDescent="0.3">
      <c r="E25"/>
      <c r="H25" s="463">
        <v>45356</v>
      </c>
      <c r="I25" s="38" t="s">
        <v>940</v>
      </c>
      <c r="J25" s="38"/>
      <c r="K25" s="38"/>
      <c r="L25" s="38"/>
      <c r="M25" s="38"/>
      <c r="N25" s="38"/>
      <c r="O25" s="38" t="s">
        <v>58</v>
      </c>
      <c r="P25" s="38">
        <v>114</v>
      </c>
      <c r="S25" s="466">
        <v>45296</v>
      </c>
      <c r="T25" s="38"/>
      <c r="U25" s="38"/>
      <c r="V25" s="38"/>
      <c r="W25" s="467" t="s">
        <v>58</v>
      </c>
      <c r="X25" s="467" t="s">
        <v>59</v>
      </c>
      <c r="Y25" s="467" t="s">
        <v>53</v>
      </c>
      <c r="Z25" s="38">
        <v>33600000</v>
      </c>
      <c r="AA25" s="38">
        <v>112</v>
      </c>
      <c r="AC25" s="462">
        <v>45356</v>
      </c>
      <c r="AD25" t="s">
        <v>56</v>
      </c>
      <c r="AE25" t="s">
        <v>1006</v>
      </c>
      <c r="AF25"/>
      <c r="AG25" t="s">
        <v>54</v>
      </c>
      <c r="AH25" t="s">
        <v>58</v>
      </c>
      <c r="AI25">
        <v>34200000</v>
      </c>
      <c r="AK25" s="98">
        <v>2024</v>
      </c>
      <c r="AL25" s="98">
        <v>4</v>
      </c>
      <c r="AM25" s="98" t="s">
        <v>65</v>
      </c>
      <c r="AN25" s="98" t="s">
        <v>55</v>
      </c>
      <c r="AO25">
        <v>150000000</v>
      </c>
      <c r="AP25">
        <v>0</v>
      </c>
      <c r="AQ25">
        <v>0</v>
      </c>
      <c r="AS25" s="461">
        <v>45356</v>
      </c>
      <c r="AT25" s="98" t="s">
        <v>56</v>
      </c>
      <c r="AU25" s="98" t="s">
        <v>54</v>
      </c>
      <c r="AV25" s="98" t="s">
        <v>1006</v>
      </c>
      <c r="AW25" s="98" t="s">
        <v>940</v>
      </c>
      <c r="AX25" s="98">
        <v>13</v>
      </c>
      <c r="AY25" s="98" t="s">
        <v>55</v>
      </c>
      <c r="AZ25"/>
      <c r="BA25"/>
      <c r="BB25" s="98" t="s">
        <v>58</v>
      </c>
      <c r="BC25" s="98" t="s">
        <v>59</v>
      </c>
      <c r="BD25" s="98" t="s">
        <v>55</v>
      </c>
      <c r="BE25" s="98" t="s">
        <v>1008</v>
      </c>
      <c r="BF25">
        <v>34200000</v>
      </c>
      <c r="BI25" s="14">
        <v>44949</v>
      </c>
    </row>
    <row r="26" spans="5:61" x14ac:dyDescent="0.3">
      <c r="E26"/>
      <c r="H26" s="463">
        <v>45356</v>
      </c>
      <c r="I26" s="38" t="s">
        <v>940</v>
      </c>
      <c r="J26" s="38"/>
      <c r="K26" s="38"/>
      <c r="L26" s="38"/>
      <c r="M26" s="38"/>
      <c r="N26" s="38"/>
      <c r="O26" s="38" t="s">
        <v>62</v>
      </c>
      <c r="P26" s="38">
        <v>93</v>
      </c>
      <c r="S26" s="466">
        <v>45296</v>
      </c>
      <c r="T26" s="38"/>
      <c r="U26" s="38"/>
      <c r="V26" s="38"/>
      <c r="W26" s="467" t="s">
        <v>62</v>
      </c>
      <c r="X26" s="467" t="s">
        <v>63</v>
      </c>
      <c r="Y26" s="467" t="s">
        <v>53</v>
      </c>
      <c r="Z26" s="38">
        <v>44000000</v>
      </c>
      <c r="AA26" s="38">
        <v>88</v>
      </c>
      <c r="AC26" s="462">
        <v>45356</v>
      </c>
      <c r="AD26" t="s">
        <v>56</v>
      </c>
      <c r="AE26" t="s">
        <v>1006</v>
      </c>
      <c r="AF26"/>
      <c r="AG26" t="s">
        <v>54</v>
      </c>
      <c r="AH26" t="s">
        <v>62</v>
      </c>
      <c r="AI26">
        <v>46500000</v>
      </c>
      <c r="AK26" s="98">
        <v>2024</v>
      </c>
      <c r="AL26" s="98">
        <v>5</v>
      </c>
      <c r="AM26" s="98" t="s">
        <v>55</v>
      </c>
      <c r="AN26" s="98" t="s">
        <v>56</v>
      </c>
      <c r="AO26">
        <v>150000000</v>
      </c>
      <c r="AP26">
        <v>126900000</v>
      </c>
      <c r="AQ26">
        <v>0.84599999999999997</v>
      </c>
      <c r="AS26" s="461">
        <v>45356</v>
      </c>
      <c r="AT26" s="98" t="s">
        <v>56</v>
      </c>
      <c r="AU26" s="98" t="s">
        <v>54</v>
      </c>
      <c r="AV26" s="98" t="s">
        <v>1006</v>
      </c>
      <c r="AW26" s="98" t="s">
        <v>940</v>
      </c>
      <c r="AX26" s="98">
        <v>13</v>
      </c>
      <c r="AY26" s="98" t="s">
        <v>55</v>
      </c>
      <c r="AZ26"/>
      <c r="BA26"/>
      <c r="BB26" s="98" t="s">
        <v>62</v>
      </c>
      <c r="BC26" s="98" t="s">
        <v>63</v>
      </c>
      <c r="BD26" s="98" t="s">
        <v>55</v>
      </c>
      <c r="BE26" s="98" t="s">
        <v>1008</v>
      </c>
      <c r="BF26">
        <v>46500000</v>
      </c>
      <c r="BI26" s="14">
        <v>44950</v>
      </c>
    </row>
    <row r="27" spans="5:61" x14ac:dyDescent="0.3">
      <c r="E27"/>
      <c r="H27" s="463">
        <v>45366</v>
      </c>
      <c r="I27" s="38" t="s">
        <v>939</v>
      </c>
      <c r="J27" s="38" t="s">
        <v>1005</v>
      </c>
      <c r="K27" s="38" t="s">
        <v>996</v>
      </c>
      <c r="L27" s="38" t="s">
        <v>966</v>
      </c>
      <c r="M27" s="38">
        <v>11</v>
      </c>
      <c r="N27" s="38">
        <v>113200000</v>
      </c>
      <c r="O27" s="38" t="s">
        <v>29</v>
      </c>
      <c r="P27" s="38">
        <v>161</v>
      </c>
      <c r="S27" s="466">
        <v>45306</v>
      </c>
      <c r="T27" s="467" t="s">
        <v>1006</v>
      </c>
      <c r="U27" s="467" t="s">
        <v>960</v>
      </c>
      <c r="V27" s="467" t="s">
        <v>1000</v>
      </c>
      <c r="W27" s="467" t="s">
        <v>29</v>
      </c>
      <c r="X27" s="467" t="s">
        <v>52</v>
      </c>
      <c r="Y27" s="467" t="s">
        <v>53</v>
      </c>
      <c r="Z27" s="38">
        <v>30400000</v>
      </c>
      <c r="AA27" s="38">
        <v>152</v>
      </c>
      <c r="AC27" s="462">
        <v>45366</v>
      </c>
      <c r="AD27" t="s">
        <v>950</v>
      </c>
      <c r="AE27" t="s">
        <v>1005</v>
      </c>
      <c r="AF27">
        <v>113200000</v>
      </c>
      <c r="AG27" t="s">
        <v>54</v>
      </c>
      <c r="AH27" t="s">
        <v>29</v>
      </c>
      <c r="AI27">
        <v>32200000</v>
      </c>
      <c r="AK27" s="98">
        <v>2024</v>
      </c>
      <c r="AL27" s="98">
        <v>5</v>
      </c>
      <c r="AM27" s="98" t="s">
        <v>55</v>
      </c>
      <c r="AN27" s="98" t="s">
        <v>60</v>
      </c>
      <c r="AO27">
        <v>150000000</v>
      </c>
      <c r="AP27">
        <v>122900000</v>
      </c>
      <c r="AQ27">
        <v>0.81933333333333336</v>
      </c>
      <c r="AS27" s="461">
        <v>45366</v>
      </c>
      <c r="AT27" s="98" t="s">
        <v>950</v>
      </c>
      <c r="AU27" s="98" t="s">
        <v>54</v>
      </c>
      <c r="AV27" s="98" t="s">
        <v>1005</v>
      </c>
      <c r="AW27" s="98" t="s">
        <v>939</v>
      </c>
      <c r="AX27" s="98">
        <v>11</v>
      </c>
      <c r="AY27" s="98" t="s">
        <v>55</v>
      </c>
      <c r="AZ27" s="98">
        <v>0</v>
      </c>
      <c r="BA27" s="98">
        <v>113200000</v>
      </c>
      <c r="BB27" s="98" t="s">
        <v>29</v>
      </c>
      <c r="BC27" s="98" t="s">
        <v>52</v>
      </c>
      <c r="BD27" s="98" t="s">
        <v>55</v>
      </c>
      <c r="BE27" s="98" t="s">
        <v>1008</v>
      </c>
      <c r="BF27">
        <v>32200000</v>
      </c>
      <c r="BI27" s="14">
        <v>44951</v>
      </c>
    </row>
    <row r="28" spans="5:61" x14ac:dyDescent="0.3">
      <c r="E28"/>
      <c r="H28" s="463">
        <v>45366</v>
      </c>
      <c r="I28" s="38" t="s">
        <v>939</v>
      </c>
      <c r="J28" s="38"/>
      <c r="K28" s="38"/>
      <c r="L28" s="38"/>
      <c r="M28" s="38"/>
      <c r="N28" s="38"/>
      <c r="O28" s="38" t="s">
        <v>58</v>
      </c>
      <c r="P28" s="38">
        <v>115</v>
      </c>
      <c r="S28" s="466">
        <v>45306</v>
      </c>
      <c r="T28" s="38"/>
      <c r="U28" s="38"/>
      <c r="V28" s="38"/>
      <c r="W28" s="467" t="s">
        <v>58</v>
      </c>
      <c r="X28" s="467" t="s">
        <v>59</v>
      </c>
      <c r="Y28" s="467" t="s">
        <v>53</v>
      </c>
      <c r="Z28" s="38">
        <v>33600000</v>
      </c>
      <c r="AA28" s="38">
        <v>112</v>
      </c>
      <c r="AC28" s="462">
        <v>45366</v>
      </c>
      <c r="AD28" t="s">
        <v>950</v>
      </c>
      <c r="AE28" t="s">
        <v>1005</v>
      </c>
      <c r="AF28"/>
      <c r="AG28" t="s">
        <v>54</v>
      </c>
      <c r="AH28" t="s">
        <v>58</v>
      </c>
      <c r="AI28">
        <v>34500000</v>
      </c>
      <c r="AK28" s="98">
        <v>2024</v>
      </c>
      <c r="AL28" s="98">
        <v>5</v>
      </c>
      <c r="AM28" s="98" t="s">
        <v>54</v>
      </c>
      <c r="AN28" s="98" t="s">
        <v>55</v>
      </c>
      <c r="AO28">
        <v>300000000</v>
      </c>
      <c r="AP28">
        <v>126600000</v>
      </c>
      <c r="AQ28">
        <v>0.42199999999999999</v>
      </c>
      <c r="AS28" s="461">
        <v>45366</v>
      </c>
      <c r="AT28" s="98" t="s">
        <v>950</v>
      </c>
      <c r="AU28" s="98" t="s">
        <v>54</v>
      </c>
      <c r="AV28" s="98" t="s">
        <v>1005</v>
      </c>
      <c r="AW28" s="98" t="s">
        <v>939</v>
      </c>
      <c r="AX28" s="98">
        <v>11</v>
      </c>
      <c r="AY28" s="98" t="s">
        <v>55</v>
      </c>
      <c r="AZ28"/>
      <c r="BA28"/>
      <c r="BB28" s="98" t="s">
        <v>58</v>
      </c>
      <c r="BC28" s="98" t="s">
        <v>59</v>
      </c>
      <c r="BD28" s="98" t="s">
        <v>55</v>
      </c>
      <c r="BE28" s="98" t="s">
        <v>1008</v>
      </c>
      <c r="BF28">
        <v>34500000</v>
      </c>
      <c r="BI28" s="14">
        <v>44952</v>
      </c>
    </row>
    <row r="29" spans="5:61" x14ac:dyDescent="0.3">
      <c r="E29"/>
      <c r="H29" s="463">
        <v>45366</v>
      </c>
      <c r="I29" s="38" t="s">
        <v>939</v>
      </c>
      <c r="J29" s="38"/>
      <c r="K29" s="38"/>
      <c r="L29" s="38"/>
      <c r="M29" s="38"/>
      <c r="N29" s="38"/>
      <c r="O29" s="38" t="s">
        <v>62</v>
      </c>
      <c r="P29" s="38">
        <v>93</v>
      </c>
      <c r="S29" s="466">
        <v>45306</v>
      </c>
      <c r="T29" s="38"/>
      <c r="U29" s="38"/>
      <c r="V29" s="38"/>
      <c r="W29" s="467" t="s">
        <v>62</v>
      </c>
      <c r="X29" s="467" t="s">
        <v>63</v>
      </c>
      <c r="Y29" s="467" t="s">
        <v>53</v>
      </c>
      <c r="Z29" s="38">
        <v>45500000</v>
      </c>
      <c r="AA29" s="38">
        <v>91</v>
      </c>
      <c r="AC29" s="462">
        <v>45366</v>
      </c>
      <c r="AD29" t="s">
        <v>950</v>
      </c>
      <c r="AE29" t="s">
        <v>1005</v>
      </c>
      <c r="AF29"/>
      <c r="AG29" t="s">
        <v>54</v>
      </c>
      <c r="AH29" t="s">
        <v>62</v>
      </c>
      <c r="AI29">
        <v>46500000</v>
      </c>
      <c r="AK29" s="98">
        <v>2024</v>
      </c>
      <c r="AL29" s="98">
        <v>5</v>
      </c>
      <c r="AM29" s="98" t="s">
        <v>65</v>
      </c>
      <c r="AN29" s="98" t="s">
        <v>55</v>
      </c>
      <c r="AO29">
        <v>150000000</v>
      </c>
      <c r="AP29">
        <v>249800000</v>
      </c>
      <c r="AQ29">
        <v>1.6653333333333333</v>
      </c>
      <c r="AS29" s="461">
        <v>45366</v>
      </c>
      <c r="AT29" s="98" t="s">
        <v>950</v>
      </c>
      <c r="AU29" s="98" t="s">
        <v>54</v>
      </c>
      <c r="AV29" s="98" t="s">
        <v>1005</v>
      </c>
      <c r="AW29" s="98" t="s">
        <v>939</v>
      </c>
      <c r="AX29" s="98">
        <v>11</v>
      </c>
      <c r="AY29" s="98" t="s">
        <v>55</v>
      </c>
      <c r="AZ29"/>
      <c r="BA29"/>
      <c r="BB29" s="98" t="s">
        <v>62</v>
      </c>
      <c r="BC29" s="98" t="s">
        <v>63</v>
      </c>
      <c r="BD29" s="98" t="s">
        <v>55</v>
      </c>
      <c r="BE29" s="98" t="s">
        <v>1008</v>
      </c>
      <c r="BF29">
        <v>46500000</v>
      </c>
      <c r="BI29" s="14">
        <v>44953</v>
      </c>
    </row>
    <row r="30" spans="5:61" x14ac:dyDescent="0.3">
      <c r="H30" s="463">
        <v>45376</v>
      </c>
      <c r="I30" s="38" t="s">
        <v>943</v>
      </c>
      <c r="J30" s="38" t="s">
        <v>1006</v>
      </c>
      <c r="K30" s="38" t="s">
        <v>1000</v>
      </c>
      <c r="L30" s="38" t="s">
        <v>967</v>
      </c>
      <c r="M30" s="38">
        <v>5</v>
      </c>
      <c r="N30" s="38">
        <v>112200000</v>
      </c>
      <c r="O30" s="38" t="s">
        <v>29</v>
      </c>
      <c r="P30" s="38">
        <v>164</v>
      </c>
      <c r="S30" s="466">
        <v>45316</v>
      </c>
      <c r="T30" s="467" t="s">
        <v>1005</v>
      </c>
      <c r="U30" s="467" t="s">
        <v>961</v>
      </c>
      <c r="V30" s="467" t="s">
        <v>999</v>
      </c>
      <c r="W30" s="467" t="s">
        <v>29</v>
      </c>
      <c r="X30" s="467" t="s">
        <v>52</v>
      </c>
      <c r="Y30" s="467" t="s">
        <v>53</v>
      </c>
      <c r="Z30" s="38">
        <v>31400000</v>
      </c>
      <c r="AA30" s="38">
        <v>157</v>
      </c>
      <c r="AC30" s="462">
        <v>45376</v>
      </c>
      <c r="AD30" t="s">
        <v>949</v>
      </c>
      <c r="AE30" t="s">
        <v>1006</v>
      </c>
      <c r="AF30">
        <v>112200000</v>
      </c>
      <c r="AG30" t="s">
        <v>65</v>
      </c>
      <c r="AH30" t="s">
        <v>29</v>
      </c>
      <c r="AI30">
        <v>32800000</v>
      </c>
      <c r="AK30" s="98">
        <v>2024</v>
      </c>
      <c r="AL30" s="98">
        <v>6</v>
      </c>
      <c r="AM30" s="98" t="s">
        <v>55</v>
      </c>
      <c r="AN30" s="98" t="s">
        <v>56</v>
      </c>
      <c r="AO30">
        <v>150000000</v>
      </c>
      <c r="AP30">
        <v>0</v>
      </c>
      <c r="AQ30">
        <v>0</v>
      </c>
      <c r="AS30" s="461">
        <v>45376</v>
      </c>
      <c r="AT30" s="98" t="s">
        <v>949</v>
      </c>
      <c r="AU30" s="98" t="s">
        <v>65</v>
      </c>
      <c r="AV30" s="98" t="s">
        <v>1006</v>
      </c>
      <c r="AW30" s="98" t="s">
        <v>943</v>
      </c>
      <c r="AX30" s="98">
        <v>5</v>
      </c>
      <c r="AY30" s="98" t="s">
        <v>55</v>
      </c>
      <c r="AZ30" s="98">
        <v>0</v>
      </c>
      <c r="BA30" s="98">
        <v>112200000</v>
      </c>
      <c r="BB30" s="98" t="s">
        <v>29</v>
      </c>
      <c r="BC30" s="98" t="s">
        <v>52</v>
      </c>
      <c r="BD30" s="98" t="s">
        <v>55</v>
      </c>
      <c r="BE30" s="98" t="s">
        <v>1008</v>
      </c>
      <c r="BF30">
        <v>32800000</v>
      </c>
      <c r="BI30" s="14">
        <v>44954</v>
      </c>
    </row>
    <row r="31" spans="5:61" x14ac:dyDescent="0.3">
      <c r="H31" s="463">
        <v>45376</v>
      </c>
      <c r="I31" s="38" t="s">
        <v>943</v>
      </c>
      <c r="J31" s="38"/>
      <c r="K31" s="38"/>
      <c r="L31" s="38"/>
      <c r="M31" s="38"/>
      <c r="N31" s="38"/>
      <c r="O31" s="38" t="s">
        <v>58</v>
      </c>
      <c r="P31" s="38">
        <v>113</v>
      </c>
      <c r="S31" s="466">
        <v>45316</v>
      </c>
      <c r="T31" s="38"/>
      <c r="U31" s="38"/>
      <c r="V31" s="38"/>
      <c r="W31" s="467" t="s">
        <v>58</v>
      </c>
      <c r="X31" s="467" t="s">
        <v>59</v>
      </c>
      <c r="Y31" s="467" t="s">
        <v>53</v>
      </c>
      <c r="Z31" s="38">
        <v>34200000</v>
      </c>
      <c r="AA31" s="38">
        <v>114</v>
      </c>
      <c r="AC31" s="462">
        <v>45376</v>
      </c>
      <c r="AD31" t="s">
        <v>949</v>
      </c>
      <c r="AE31" t="s">
        <v>1006</v>
      </c>
      <c r="AF31"/>
      <c r="AG31" t="s">
        <v>65</v>
      </c>
      <c r="AH31" t="s">
        <v>58</v>
      </c>
      <c r="AI31">
        <v>33900000</v>
      </c>
      <c r="AK31" s="98">
        <v>2024</v>
      </c>
      <c r="AL31" s="98">
        <v>6</v>
      </c>
      <c r="AM31" s="98" t="s">
        <v>55</v>
      </c>
      <c r="AN31" s="98" t="s">
        <v>60</v>
      </c>
      <c r="AO31">
        <v>150000000</v>
      </c>
      <c r="AP31">
        <v>0</v>
      </c>
      <c r="AQ31">
        <v>0</v>
      </c>
      <c r="AS31" s="461">
        <v>45376</v>
      </c>
      <c r="AT31" s="98" t="s">
        <v>949</v>
      </c>
      <c r="AU31" s="98" t="s">
        <v>65</v>
      </c>
      <c r="AV31" s="98" t="s">
        <v>1006</v>
      </c>
      <c r="AW31" s="98" t="s">
        <v>943</v>
      </c>
      <c r="AX31" s="98">
        <v>5</v>
      </c>
      <c r="AY31" s="98" t="s">
        <v>55</v>
      </c>
      <c r="AZ31"/>
      <c r="BA31"/>
      <c r="BB31" s="98" t="s">
        <v>58</v>
      </c>
      <c r="BC31" s="98" t="s">
        <v>59</v>
      </c>
      <c r="BD31" s="98" t="s">
        <v>55</v>
      </c>
      <c r="BE31" s="98" t="s">
        <v>1008</v>
      </c>
      <c r="BF31">
        <v>33900000</v>
      </c>
      <c r="BI31" s="14">
        <v>44955</v>
      </c>
    </row>
    <row r="32" spans="5:61" x14ac:dyDescent="0.3">
      <c r="H32" s="463">
        <v>45376</v>
      </c>
      <c r="I32" s="38" t="s">
        <v>943</v>
      </c>
      <c r="J32" s="38"/>
      <c r="K32" s="38"/>
      <c r="L32" s="38"/>
      <c r="M32" s="38"/>
      <c r="N32" s="38"/>
      <c r="O32" s="38" t="s">
        <v>62</v>
      </c>
      <c r="P32" s="38">
        <v>91</v>
      </c>
      <c r="S32" s="466">
        <v>45316</v>
      </c>
      <c r="T32" s="38"/>
      <c r="U32" s="38"/>
      <c r="V32" s="38"/>
      <c r="W32" s="467" t="s">
        <v>62</v>
      </c>
      <c r="X32" s="467" t="s">
        <v>63</v>
      </c>
      <c r="Y32" s="467" t="s">
        <v>53</v>
      </c>
      <c r="Z32" s="38">
        <v>48000000</v>
      </c>
      <c r="AA32" s="38">
        <v>96</v>
      </c>
      <c r="AC32" s="462">
        <v>45376</v>
      </c>
      <c r="AD32" t="s">
        <v>949</v>
      </c>
      <c r="AE32" t="s">
        <v>1006</v>
      </c>
      <c r="AF32"/>
      <c r="AG32" t="s">
        <v>65</v>
      </c>
      <c r="AH32" t="s">
        <v>62</v>
      </c>
      <c r="AI32">
        <v>45500000</v>
      </c>
      <c r="AK32" s="98">
        <v>2024</v>
      </c>
      <c r="AL32" s="98">
        <v>6</v>
      </c>
      <c r="AM32" s="98" t="s">
        <v>54</v>
      </c>
      <c r="AN32" s="98" t="s">
        <v>55</v>
      </c>
      <c r="AO32">
        <v>300000000</v>
      </c>
      <c r="AP32">
        <v>384600000</v>
      </c>
      <c r="AQ32">
        <v>1.282</v>
      </c>
      <c r="AS32" s="461">
        <v>45376</v>
      </c>
      <c r="AT32" s="98" t="s">
        <v>949</v>
      </c>
      <c r="AU32" s="98" t="s">
        <v>65</v>
      </c>
      <c r="AV32" s="98" t="s">
        <v>1006</v>
      </c>
      <c r="AW32" s="98" t="s">
        <v>943</v>
      </c>
      <c r="AX32" s="98">
        <v>5</v>
      </c>
      <c r="AY32" s="98" t="s">
        <v>55</v>
      </c>
      <c r="AZ32"/>
      <c r="BA32"/>
      <c r="BB32" s="98" t="s">
        <v>62</v>
      </c>
      <c r="BC32" s="98" t="s">
        <v>63</v>
      </c>
      <c r="BD32" s="98" t="s">
        <v>55</v>
      </c>
      <c r="BE32" s="98" t="s">
        <v>1008</v>
      </c>
      <c r="BF32">
        <v>45500000</v>
      </c>
      <c r="BI32" s="14">
        <v>44956</v>
      </c>
    </row>
    <row r="33" spans="8:61" x14ac:dyDescent="0.3">
      <c r="H33" s="463">
        <v>45387</v>
      </c>
      <c r="I33" s="38" t="s">
        <v>941</v>
      </c>
      <c r="J33" s="38" t="s">
        <v>1006</v>
      </c>
      <c r="K33" s="38" t="s">
        <v>998</v>
      </c>
      <c r="L33" s="38" t="s">
        <v>968</v>
      </c>
      <c r="M33" s="38">
        <v>9</v>
      </c>
      <c r="N33" s="38">
        <v>115200000</v>
      </c>
      <c r="O33" s="38" t="s">
        <v>29</v>
      </c>
      <c r="P33" s="38">
        <v>172</v>
      </c>
      <c r="S33" s="466">
        <v>45327</v>
      </c>
      <c r="T33" s="467" t="s">
        <v>1005</v>
      </c>
      <c r="U33" s="467" t="s">
        <v>962</v>
      </c>
      <c r="V33" s="467" t="s">
        <v>1001</v>
      </c>
      <c r="W33" s="467" t="s">
        <v>29</v>
      </c>
      <c r="X33" s="467" t="s">
        <v>52</v>
      </c>
      <c r="Y33" s="467" t="s">
        <v>53</v>
      </c>
      <c r="Z33" s="38">
        <v>31800000</v>
      </c>
      <c r="AA33" s="38">
        <v>159</v>
      </c>
      <c r="AC33" s="462">
        <v>45387</v>
      </c>
      <c r="AD33" t="s">
        <v>951</v>
      </c>
      <c r="AE33" t="s">
        <v>1006</v>
      </c>
      <c r="AF33">
        <v>115200000</v>
      </c>
      <c r="AG33" t="s">
        <v>54</v>
      </c>
      <c r="AH33" t="s">
        <v>29</v>
      </c>
      <c r="AI33">
        <v>34400000</v>
      </c>
      <c r="AK33" s="98">
        <v>2024</v>
      </c>
      <c r="AL33" s="98">
        <v>6</v>
      </c>
      <c r="AM33" s="98" t="s">
        <v>65</v>
      </c>
      <c r="AN33" s="98" t="s">
        <v>55</v>
      </c>
      <c r="AO33">
        <v>150000000</v>
      </c>
      <c r="AP33">
        <v>0</v>
      </c>
      <c r="AQ33">
        <v>0</v>
      </c>
      <c r="AS33" s="461">
        <v>45387</v>
      </c>
      <c r="AT33" s="98" t="s">
        <v>951</v>
      </c>
      <c r="AU33" s="98" t="s">
        <v>54</v>
      </c>
      <c r="AV33" s="98" t="s">
        <v>1006</v>
      </c>
      <c r="AW33" s="98" t="s">
        <v>941</v>
      </c>
      <c r="AX33" s="98">
        <v>9</v>
      </c>
      <c r="AY33" s="98" t="s">
        <v>55</v>
      </c>
      <c r="AZ33" s="98">
        <v>0</v>
      </c>
      <c r="BA33" s="98">
        <v>115200000</v>
      </c>
      <c r="BB33" s="98" t="s">
        <v>29</v>
      </c>
      <c r="BC33" s="98" t="s">
        <v>52</v>
      </c>
      <c r="BD33" s="98" t="s">
        <v>55</v>
      </c>
      <c r="BE33" s="98" t="s">
        <v>1008</v>
      </c>
      <c r="BF33">
        <v>34400000</v>
      </c>
      <c r="BI33" s="14">
        <v>44957</v>
      </c>
    </row>
    <row r="34" spans="8:61" x14ac:dyDescent="0.3">
      <c r="H34" s="463">
        <v>45387</v>
      </c>
      <c r="I34" s="38" t="s">
        <v>941</v>
      </c>
      <c r="J34" s="38"/>
      <c r="K34" s="38"/>
      <c r="L34" s="38"/>
      <c r="M34" s="38"/>
      <c r="N34" s="38"/>
      <c r="O34" s="38" t="s">
        <v>58</v>
      </c>
      <c r="P34" s="38">
        <v>116</v>
      </c>
      <c r="S34" s="466">
        <v>45327</v>
      </c>
      <c r="T34" s="38"/>
      <c r="U34" s="38"/>
      <c r="V34" s="38"/>
      <c r="W34" s="467" t="s">
        <v>58</v>
      </c>
      <c r="X34" s="467" t="s">
        <v>59</v>
      </c>
      <c r="Y34" s="467" t="s">
        <v>53</v>
      </c>
      <c r="Z34" s="38">
        <v>33900000</v>
      </c>
      <c r="AA34" s="38">
        <v>113</v>
      </c>
      <c r="AC34" s="462">
        <v>45387</v>
      </c>
      <c r="AD34" t="s">
        <v>951</v>
      </c>
      <c r="AE34" t="s">
        <v>1006</v>
      </c>
      <c r="AF34"/>
      <c r="AG34" t="s">
        <v>54</v>
      </c>
      <c r="AH34" t="s">
        <v>58</v>
      </c>
      <c r="AI34">
        <v>34800000</v>
      </c>
      <c r="AK34" s="98">
        <v>2024</v>
      </c>
      <c r="AL34" s="98">
        <v>7</v>
      </c>
      <c r="AM34" s="98" t="s">
        <v>55</v>
      </c>
      <c r="AN34" s="98" t="s">
        <v>56</v>
      </c>
      <c r="AO34">
        <v>150000000</v>
      </c>
      <c r="AP34">
        <v>131700000</v>
      </c>
      <c r="AQ34">
        <v>0.878</v>
      </c>
      <c r="AS34" s="461">
        <v>45387</v>
      </c>
      <c r="AT34" s="98" t="s">
        <v>951</v>
      </c>
      <c r="AU34" s="98" t="s">
        <v>54</v>
      </c>
      <c r="AV34" s="98" t="s">
        <v>1006</v>
      </c>
      <c r="AW34" s="98" t="s">
        <v>941</v>
      </c>
      <c r="AX34" s="98">
        <v>9</v>
      </c>
      <c r="AY34" s="98" t="s">
        <v>55</v>
      </c>
      <c r="AZ34"/>
      <c r="BA34"/>
      <c r="BB34" s="98" t="s">
        <v>58</v>
      </c>
      <c r="BC34" s="98" t="s">
        <v>59</v>
      </c>
      <c r="BD34" s="98" t="s">
        <v>55</v>
      </c>
      <c r="BE34" s="98" t="s">
        <v>1008</v>
      </c>
      <c r="BF34">
        <v>34800000</v>
      </c>
    </row>
    <row r="35" spans="8:61" x14ac:dyDescent="0.3">
      <c r="H35" s="463">
        <v>45387</v>
      </c>
      <c r="I35" s="38" t="s">
        <v>941</v>
      </c>
      <c r="J35" s="38"/>
      <c r="K35" s="38"/>
      <c r="L35" s="38"/>
      <c r="M35" s="38"/>
      <c r="N35" s="38"/>
      <c r="O35" s="38" t="s">
        <v>62</v>
      </c>
      <c r="P35" s="38">
        <v>92</v>
      </c>
      <c r="S35" s="466">
        <v>45327</v>
      </c>
      <c r="T35" s="38"/>
      <c r="U35" s="38"/>
      <c r="V35" s="38"/>
      <c r="W35" s="467" t="s">
        <v>62</v>
      </c>
      <c r="X35" s="467" t="s">
        <v>63</v>
      </c>
      <c r="Y35" s="467" t="s">
        <v>53</v>
      </c>
      <c r="Z35" s="38">
        <v>48500000</v>
      </c>
      <c r="AA35" s="38">
        <v>97</v>
      </c>
      <c r="AC35" s="462">
        <v>45387</v>
      </c>
      <c r="AD35" t="s">
        <v>951</v>
      </c>
      <c r="AE35" t="s">
        <v>1006</v>
      </c>
      <c r="AF35"/>
      <c r="AG35" t="s">
        <v>54</v>
      </c>
      <c r="AH35" t="s">
        <v>62</v>
      </c>
      <c r="AI35">
        <v>46000000</v>
      </c>
      <c r="AK35" s="98">
        <v>2024</v>
      </c>
      <c r="AL35" s="98">
        <v>7</v>
      </c>
      <c r="AM35" s="98" t="s">
        <v>55</v>
      </c>
      <c r="AN35" s="98" t="s">
        <v>60</v>
      </c>
      <c r="AO35">
        <v>150000000</v>
      </c>
      <c r="AP35">
        <v>0</v>
      </c>
      <c r="AQ35">
        <v>0</v>
      </c>
      <c r="AS35" s="461">
        <v>45387</v>
      </c>
      <c r="AT35" s="98" t="s">
        <v>951</v>
      </c>
      <c r="AU35" s="98" t="s">
        <v>54</v>
      </c>
      <c r="AV35" s="98" t="s">
        <v>1006</v>
      </c>
      <c r="AW35" s="98" t="s">
        <v>941</v>
      </c>
      <c r="AX35" s="98">
        <v>9</v>
      </c>
      <c r="AY35" s="98" t="s">
        <v>55</v>
      </c>
      <c r="AZ35"/>
      <c r="BA35"/>
      <c r="BB35" s="98" t="s">
        <v>62</v>
      </c>
      <c r="BC35" s="98" t="s">
        <v>63</v>
      </c>
      <c r="BD35" s="98" t="s">
        <v>55</v>
      </c>
      <c r="BE35" s="98" t="s">
        <v>1008</v>
      </c>
      <c r="BF35">
        <v>46000000</v>
      </c>
    </row>
    <row r="36" spans="8:61" x14ac:dyDescent="0.3">
      <c r="H36" s="463">
        <v>45397</v>
      </c>
      <c r="I36" s="38" t="s">
        <v>941</v>
      </c>
      <c r="J36" s="38" t="s">
        <v>1006</v>
      </c>
      <c r="K36" s="38" t="s">
        <v>998</v>
      </c>
      <c r="L36" s="38" t="s">
        <v>969</v>
      </c>
      <c r="M36" s="38">
        <v>10</v>
      </c>
      <c r="N36" s="38">
        <v>118600000</v>
      </c>
      <c r="O36" s="38" t="s">
        <v>29</v>
      </c>
      <c r="P36" s="38">
        <v>169</v>
      </c>
      <c r="S36" s="466">
        <v>45337</v>
      </c>
      <c r="T36" s="467" t="s">
        <v>1005</v>
      </c>
      <c r="U36" s="467" t="s">
        <v>963</v>
      </c>
      <c r="V36" s="467" t="s">
        <v>1001</v>
      </c>
      <c r="W36" s="467" t="s">
        <v>29</v>
      </c>
      <c r="X36" s="467" t="s">
        <v>52</v>
      </c>
      <c r="Y36" s="467" t="s">
        <v>53</v>
      </c>
      <c r="Z36" s="38">
        <v>33000000</v>
      </c>
      <c r="AA36" s="38">
        <v>165</v>
      </c>
      <c r="AC36" s="462">
        <v>45397</v>
      </c>
      <c r="AD36" t="s">
        <v>949</v>
      </c>
      <c r="AE36" t="s">
        <v>1006</v>
      </c>
      <c r="AF36">
        <v>118600000</v>
      </c>
      <c r="AG36" t="s">
        <v>54</v>
      </c>
      <c r="AH36" t="s">
        <v>29</v>
      </c>
      <c r="AI36">
        <v>33800000</v>
      </c>
      <c r="AK36" s="98">
        <v>2024</v>
      </c>
      <c r="AL36" s="98">
        <v>7</v>
      </c>
      <c r="AM36" s="98" t="s">
        <v>54</v>
      </c>
      <c r="AN36" s="98" t="s">
        <v>55</v>
      </c>
      <c r="AO36">
        <v>300000000</v>
      </c>
      <c r="AP36">
        <v>266000000</v>
      </c>
      <c r="AQ36">
        <v>0.88666666666666671</v>
      </c>
      <c r="AS36" s="461">
        <v>45397</v>
      </c>
      <c r="AT36" s="98" t="s">
        <v>949</v>
      </c>
      <c r="AU36" s="98" t="s">
        <v>54</v>
      </c>
      <c r="AV36" s="98" t="s">
        <v>1006</v>
      </c>
      <c r="AW36" s="98" t="s">
        <v>941</v>
      </c>
      <c r="AX36" s="98">
        <v>10</v>
      </c>
      <c r="AY36" s="98" t="s">
        <v>55</v>
      </c>
      <c r="AZ36" s="98">
        <v>0</v>
      </c>
      <c r="BA36" s="98">
        <v>118600000</v>
      </c>
      <c r="BB36" s="98" t="s">
        <v>29</v>
      </c>
      <c r="BC36" s="98" t="s">
        <v>52</v>
      </c>
      <c r="BD36" s="98" t="s">
        <v>55</v>
      </c>
      <c r="BE36" s="98" t="s">
        <v>1008</v>
      </c>
      <c r="BF36">
        <v>33800000</v>
      </c>
    </row>
    <row r="37" spans="8:61" x14ac:dyDescent="0.3">
      <c r="H37" s="463">
        <v>45397</v>
      </c>
      <c r="I37" s="38" t="s">
        <v>941</v>
      </c>
      <c r="J37" s="38"/>
      <c r="K37" s="38"/>
      <c r="L37" s="38"/>
      <c r="M37" s="38"/>
      <c r="N37" s="38"/>
      <c r="O37" s="38" t="s">
        <v>58</v>
      </c>
      <c r="P37" s="38">
        <v>121</v>
      </c>
      <c r="S37" s="466">
        <v>45337</v>
      </c>
      <c r="T37" s="38"/>
      <c r="U37" s="38"/>
      <c r="V37" s="38"/>
      <c r="W37" s="467" t="s">
        <v>58</v>
      </c>
      <c r="X37" s="467" t="s">
        <v>59</v>
      </c>
      <c r="Y37" s="467" t="s">
        <v>53</v>
      </c>
      <c r="Z37" s="38">
        <v>34800000</v>
      </c>
      <c r="AA37" s="38">
        <v>116</v>
      </c>
      <c r="AC37" s="462">
        <v>45397</v>
      </c>
      <c r="AD37" t="s">
        <v>949</v>
      </c>
      <c r="AE37" t="s">
        <v>1006</v>
      </c>
      <c r="AF37"/>
      <c r="AG37" t="s">
        <v>54</v>
      </c>
      <c r="AH37" t="s">
        <v>58</v>
      </c>
      <c r="AI37">
        <v>36300000</v>
      </c>
      <c r="AK37" s="98">
        <v>2024</v>
      </c>
      <c r="AL37" s="98">
        <v>7</v>
      </c>
      <c r="AM37" s="98" t="s">
        <v>65</v>
      </c>
      <c r="AN37" s="98" t="s">
        <v>55</v>
      </c>
      <c r="AO37">
        <v>150000000</v>
      </c>
      <c r="AP37">
        <v>130900000</v>
      </c>
      <c r="AQ37">
        <v>0.8726666666666667</v>
      </c>
      <c r="AS37" s="461">
        <v>45397</v>
      </c>
      <c r="AT37" s="98" t="s">
        <v>949</v>
      </c>
      <c r="AU37" s="98" t="s">
        <v>54</v>
      </c>
      <c r="AV37" s="98" t="s">
        <v>1006</v>
      </c>
      <c r="AW37" s="98" t="s">
        <v>941</v>
      </c>
      <c r="AX37" s="98">
        <v>10</v>
      </c>
      <c r="AY37" s="98" t="s">
        <v>55</v>
      </c>
      <c r="AZ37"/>
      <c r="BA37"/>
      <c r="BB37" s="98" t="s">
        <v>58</v>
      </c>
      <c r="BC37" s="98" t="s">
        <v>59</v>
      </c>
      <c r="BD37" s="98" t="s">
        <v>55</v>
      </c>
      <c r="BE37" s="98" t="s">
        <v>1008</v>
      </c>
      <c r="BF37">
        <v>36300000</v>
      </c>
    </row>
    <row r="38" spans="8:61" x14ac:dyDescent="0.3">
      <c r="H38" s="463">
        <v>45397</v>
      </c>
      <c r="I38" s="38" t="s">
        <v>941</v>
      </c>
      <c r="J38" s="38"/>
      <c r="K38" s="38"/>
      <c r="L38" s="38"/>
      <c r="M38" s="38"/>
      <c r="N38" s="38"/>
      <c r="O38" s="38" t="s">
        <v>62</v>
      </c>
      <c r="P38" s="38">
        <v>97</v>
      </c>
      <c r="S38" s="466">
        <v>45337</v>
      </c>
      <c r="T38" s="38"/>
      <c r="U38" s="38"/>
      <c r="V38" s="38"/>
      <c r="W38" s="467" t="s">
        <v>62</v>
      </c>
      <c r="X38" s="467" t="s">
        <v>63</v>
      </c>
      <c r="Y38" s="467" t="s">
        <v>53</v>
      </c>
      <c r="Z38" s="38">
        <v>48000000</v>
      </c>
      <c r="AA38" s="38">
        <v>96</v>
      </c>
      <c r="AC38" s="462">
        <v>45397</v>
      </c>
      <c r="AD38" t="s">
        <v>949</v>
      </c>
      <c r="AE38" t="s">
        <v>1006</v>
      </c>
      <c r="AF38"/>
      <c r="AG38" t="s">
        <v>54</v>
      </c>
      <c r="AH38" t="s">
        <v>62</v>
      </c>
      <c r="AI38">
        <v>48500000</v>
      </c>
      <c r="AK38" s="98">
        <v>2024</v>
      </c>
      <c r="AL38" s="98">
        <v>8</v>
      </c>
      <c r="AM38" s="98" t="s">
        <v>55</v>
      </c>
      <c r="AN38" s="98" t="s">
        <v>56</v>
      </c>
      <c r="AO38">
        <v>150000000</v>
      </c>
      <c r="AP38">
        <v>0</v>
      </c>
      <c r="AQ38">
        <v>0</v>
      </c>
      <c r="AS38" s="461">
        <v>45397</v>
      </c>
      <c r="AT38" s="98" t="s">
        <v>949</v>
      </c>
      <c r="AU38" s="98" t="s">
        <v>54</v>
      </c>
      <c r="AV38" s="98" t="s">
        <v>1006</v>
      </c>
      <c r="AW38" s="98" t="s">
        <v>941</v>
      </c>
      <c r="AX38" s="98">
        <v>10</v>
      </c>
      <c r="AY38" s="98" t="s">
        <v>55</v>
      </c>
      <c r="AZ38"/>
      <c r="BA38"/>
      <c r="BB38" s="98" t="s">
        <v>62</v>
      </c>
      <c r="BC38" s="98" t="s">
        <v>63</v>
      </c>
      <c r="BD38" s="98" t="s">
        <v>55</v>
      </c>
      <c r="BE38" s="98" t="s">
        <v>1008</v>
      </c>
      <c r="BF38">
        <v>48500000</v>
      </c>
    </row>
    <row r="39" spans="8:61" x14ac:dyDescent="0.3">
      <c r="H39" s="463">
        <v>45407</v>
      </c>
      <c r="I39" s="38" t="s">
        <v>942</v>
      </c>
      <c r="J39" s="38" t="s">
        <v>1005</v>
      </c>
      <c r="K39" s="38" t="s">
        <v>999</v>
      </c>
      <c r="L39" s="38" t="s">
        <v>970</v>
      </c>
      <c r="M39" s="38">
        <v>6</v>
      </c>
      <c r="N39" s="38">
        <v>121300000</v>
      </c>
      <c r="O39" s="38" t="s">
        <v>29</v>
      </c>
      <c r="P39" s="38">
        <v>171</v>
      </c>
      <c r="S39" s="466">
        <v>45347</v>
      </c>
      <c r="T39" s="467" t="s">
        <v>1006</v>
      </c>
      <c r="U39" s="467" t="s">
        <v>964</v>
      </c>
      <c r="V39" s="467" t="s">
        <v>1002</v>
      </c>
      <c r="W39" s="467" t="s">
        <v>29</v>
      </c>
      <c r="X39" s="467" t="s">
        <v>52</v>
      </c>
      <c r="Y39" s="467" t="s">
        <v>53</v>
      </c>
      <c r="Z39" s="38">
        <v>32400000</v>
      </c>
      <c r="AA39" s="38">
        <v>162</v>
      </c>
      <c r="AC39" s="462">
        <v>45407</v>
      </c>
      <c r="AD39" t="s">
        <v>60</v>
      </c>
      <c r="AE39" t="s">
        <v>1005</v>
      </c>
      <c r="AF39">
        <v>121300000</v>
      </c>
      <c r="AG39" t="s">
        <v>54</v>
      </c>
      <c r="AH39" t="s">
        <v>29</v>
      </c>
      <c r="AI39">
        <v>34200000</v>
      </c>
      <c r="AK39" s="98">
        <v>2024</v>
      </c>
      <c r="AL39" s="98">
        <v>8</v>
      </c>
      <c r="AM39" s="98" t="s">
        <v>55</v>
      </c>
      <c r="AN39" s="98" t="s">
        <v>60</v>
      </c>
      <c r="AO39">
        <v>150000000</v>
      </c>
      <c r="AP39">
        <v>0</v>
      </c>
      <c r="AQ39">
        <v>0</v>
      </c>
      <c r="AS39" s="461">
        <v>45407</v>
      </c>
      <c r="AT39" s="98" t="s">
        <v>60</v>
      </c>
      <c r="AU39" s="98" t="s">
        <v>54</v>
      </c>
      <c r="AV39" s="98" t="s">
        <v>1005</v>
      </c>
      <c r="AW39" s="98" t="s">
        <v>942</v>
      </c>
      <c r="AX39" s="98">
        <v>6</v>
      </c>
      <c r="AY39" s="98" t="s">
        <v>55</v>
      </c>
      <c r="AZ39" s="98">
        <v>0</v>
      </c>
      <c r="BA39" s="98">
        <v>121300000</v>
      </c>
      <c r="BB39" s="98" t="s">
        <v>29</v>
      </c>
      <c r="BC39" s="98" t="s">
        <v>52</v>
      </c>
      <c r="BD39" s="98" t="s">
        <v>55</v>
      </c>
      <c r="BE39" s="98" t="s">
        <v>1008</v>
      </c>
      <c r="BF39">
        <v>34200000</v>
      </c>
    </row>
    <row r="40" spans="8:61" x14ac:dyDescent="0.3">
      <c r="H40" s="463">
        <v>45407</v>
      </c>
      <c r="I40" s="38" t="s">
        <v>942</v>
      </c>
      <c r="J40" s="38"/>
      <c r="K40" s="38"/>
      <c r="L40" s="38"/>
      <c r="M40" s="38"/>
      <c r="N40" s="38"/>
      <c r="O40" s="38" t="s">
        <v>58</v>
      </c>
      <c r="P40" s="38">
        <v>127</v>
      </c>
      <c r="S40" s="466">
        <v>45347</v>
      </c>
      <c r="T40" s="38"/>
      <c r="U40" s="38"/>
      <c r="V40" s="38"/>
      <c r="W40" s="467" t="s">
        <v>58</v>
      </c>
      <c r="X40" s="467" t="s">
        <v>59</v>
      </c>
      <c r="Y40" s="467" t="s">
        <v>53</v>
      </c>
      <c r="Z40" s="38">
        <v>34500000</v>
      </c>
      <c r="AA40" s="38">
        <v>115</v>
      </c>
      <c r="AC40" s="462">
        <v>45407</v>
      </c>
      <c r="AD40" t="s">
        <v>60</v>
      </c>
      <c r="AE40" t="s">
        <v>1005</v>
      </c>
      <c r="AF40"/>
      <c r="AG40" t="s">
        <v>54</v>
      </c>
      <c r="AH40" t="s">
        <v>58</v>
      </c>
      <c r="AI40">
        <v>38100000</v>
      </c>
      <c r="AK40" s="98">
        <v>2024</v>
      </c>
      <c r="AL40" s="98">
        <v>8</v>
      </c>
      <c r="AM40" s="98" t="s">
        <v>54</v>
      </c>
      <c r="AN40" s="98" t="s">
        <v>55</v>
      </c>
      <c r="AO40">
        <v>300000000</v>
      </c>
      <c r="AP40">
        <v>280800000</v>
      </c>
      <c r="AQ40">
        <v>0.93600000000000005</v>
      </c>
      <c r="AS40" s="461">
        <v>45407</v>
      </c>
      <c r="AT40" s="98" t="s">
        <v>60</v>
      </c>
      <c r="AU40" s="98" t="s">
        <v>54</v>
      </c>
      <c r="AV40" s="98" t="s">
        <v>1005</v>
      </c>
      <c r="AW40" s="98" t="s">
        <v>942</v>
      </c>
      <c r="AX40" s="98">
        <v>6</v>
      </c>
      <c r="AY40" s="98" t="s">
        <v>55</v>
      </c>
      <c r="AZ40"/>
      <c r="BA40"/>
      <c r="BB40" s="98" t="s">
        <v>58</v>
      </c>
      <c r="BC40" s="98" t="s">
        <v>59</v>
      </c>
      <c r="BD40" s="98" t="s">
        <v>55</v>
      </c>
      <c r="BE40" s="98" t="s">
        <v>1008</v>
      </c>
      <c r="BF40">
        <v>38100000</v>
      </c>
    </row>
    <row r="41" spans="8:61" x14ac:dyDescent="0.3">
      <c r="H41" s="463">
        <v>45407</v>
      </c>
      <c r="I41" s="38" t="s">
        <v>942</v>
      </c>
      <c r="J41" s="38"/>
      <c r="K41" s="38"/>
      <c r="L41" s="38"/>
      <c r="M41" s="38"/>
      <c r="N41" s="38"/>
      <c r="O41" s="38" t="s">
        <v>62</v>
      </c>
      <c r="P41" s="38">
        <v>98</v>
      </c>
      <c r="S41" s="466">
        <v>45347</v>
      </c>
      <c r="T41" s="38"/>
      <c r="U41" s="38"/>
      <c r="V41" s="38"/>
      <c r="W41" s="467" t="s">
        <v>62</v>
      </c>
      <c r="X41" s="467" t="s">
        <v>63</v>
      </c>
      <c r="Y41" s="467" t="s">
        <v>53</v>
      </c>
      <c r="Z41" s="38">
        <v>47000000</v>
      </c>
      <c r="AA41" s="38">
        <v>94</v>
      </c>
      <c r="AC41" s="462">
        <v>45407</v>
      </c>
      <c r="AD41" t="s">
        <v>60</v>
      </c>
      <c r="AE41" t="s">
        <v>1005</v>
      </c>
      <c r="AF41"/>
      <c r="AG41" t="s">
        <v>54</v>
      </c>
      <c r="AH41" t="s">
        <v>62</v>
      </c>
      <c r="AI41">
        <v>49000000</v>
      </c>
      <c r="AK41" s="98">
        <v>2024</v>
      </c>
      <c r="AL41" s="98">
        <v>8</v>
      </c>
      <c r="AM41" s="98" t="s">
        <v>65</v>
      </c>
      <c r="AN41" s="98" t="s">
        <v>55</v>
      </c>
      <c r="AO41">
        <v>150000000</v>
      </c>
      <c r="AP41">
        <v>140200000</v>
      </c>
      <c r="AQ41">
        <v>0.93466666666666665</v>
      </c>
      <c r="AS41" s="461">
        <v>45407</v>
      </c>
      <c r="AT41" s="98" t="s">
        <v>60</v>
      </c>
      <c r="AU41" s="98" t="s">
        <v>54</v>
      </c>
      <c r="AV41" s="98" t="s">
        <v>1005</v>
      </c>
      <c r="AW41" s="98" t="s">
        <v>942</v>
      </c>
      <c r="AX41" s="98">
        <v>6</v>
      </c>
      <c r="AY41" s="98" t="s">
        <v>55</v>
      </c>
      <c r="AZ41"/>
      <c r="BA41"/>
      <c r="BB41" s="98" t="s">
        <v>62</v>
      </c>
      <c r="BC41" s="98" t="s">
        <v>63</v>
      </c>
      <c r="BD41" s="98" t="s">
        <v>55</v>
      </c>
      <c r="BE41" s="98" t="s">
        <v>1008</v>
      </c>
      <c r="BF41">
        <v>49000000</v>
      </c>
    </row>
    <row r="42" spans="8:61" x14ac:dyDescent="0.3">
      <c r="H42" s="463">
        <v>45417</v>
      </c>
      <c r="I42" s="38" t="s">
        <v>940</v>
      </c>
      <c r="J42" s="38" t="s">
        <v>1006</v>
      </c>
      <c r="K42" s="38" t="s">
        <v>997</v>
      </c>
      <c r="L42" s="38" t="s">
        <v>971</v>
      </c>
      <c r="M42" s="38">
        <v>14</v>
      </c>
      <c r="N42" s="38">
        <v>122900000</v>
      </c>
      <c r="O42" s="38" t="s">
        <v>29</v>
      </c>
      <c r="P42" s="38">
        <v>174</v>
      </c>
      <c r="S42" s="466">
        <v>45356</v>
      </c>
      <c r="T42" s="467" t="s">
        <v>1006</v>
      </c>
      <c r="U42" s="467" t="s">
        <v>965</v>
      </c>
      <c r="V42" s="467" t="s">
        <v>997</v>
      </c>
      <c r="W42" s="467" t="s">
        <v>29</v>
      </c>
      <c r="X42" s="467" t="s">
        <v>52</v>
      </c>
      <c r="Y42" s="467" t="s">
        <v>53</v>
      </c>
      <c r="Z42" s="38">
        <v>32800000</v>
      </c>
      <c r="AA42" s="38">
        <v>164</v>
      </c>
      <c r="AC42" s="462">
        <v>45417</v>
      </c>
      <c r="AD42" t="s">
        <v>60</v>
      </c>
      <c r="AE42" t="s">
        <v>1006</v>
      </c>
      <c r="AF42">
        <v>122900000</v>
      </c>
      <c r="AG42" t="s">
        <v>65</v>
      </c>
      <c r="AH42" t="s">
        <v>29</v>
      </c>
      <c r="AI42">
        <v>34800000</v>
      </c>
      <c r="AK42" s="98">
        <v>2024</v>
      </c>
      <c r="AL42" s="98">
        <v>9</v>
      </c>
      <c r="AM42" s="98" t="s">
        <v>55</v>
      </c>
      <c r="AN42" s="98" t="s">
        <v>56</v>
      </c>
      <c r="AO42">
        <v>150000000</v>
      </c>
      <c r="AP42">
        <v>0</v>
      </c>
      <c r="AQ42">
        <v>0</v>
      </c>
      <c r="AS42" s="461">
        <v>45417</v>
      </c>
      <c r="AT42" s="98" t="s">
        <v>60</v>
      </c>
      <c r="AU42" s="98" t="s">
        <v>65</v>
      </c>
      <c r="AV42" s="98" t="s">
        <v>1006</v>
      </c>
      <c r="AW42" s="98" t="s">
        <v>940</v>
      </c>
      <c r="AX42" s="98">
        <v>14</v>
      </c>
      <c r="AY42" s="98" t="s">
        <v>55</v>
      </c>
      <c r="AZ42" s="98">
        <v>0</v>
      </c>
      <c r="BA42" s="98">
        <v>122900000</v>
      </c>
      <c r="BB42" s="98" t="s">
        <v>29</v>
      </c>
      <c r="BC42" s="98" t="s">
        <v>52</v>
      </c>
      <c r="BD42" s="98" t="s">
        <v>55</v>
      </c>
      <c r="BE42" s="98" t="s">
        <v>1008</v>
      </c>
      <c r="BF42">
        <v>34800000</v>
      </c>
    </row>
    <row r="43" spans="8:61" x14ac:dyDescent="0.3">
      <c r="H43" s="463">
        <v>45417</v>
      </c>
      <c r="I43" s="38" t="s">
        <v>940</v>
      </c>
      <c r="J43" s="38"/>
      <c r="K43" s="38"/>
      <c r="L43" s="38"/>
      <c r="M43" s="38"/>
      <c r="N43" s="38"/>
      <c r="O43" s="38" t="s">
        <v>58</v>
      </c>
      <c r="P43" s="38">
        <v>132</v>
      </c>
      <c r="S43" s="466">
        <v>45356</v>
      </c>
      <c r="T43" s="38"/>
      <c r="U43" s="38"/>
      <c r="V43" s="38"/>
      <c r="W43" s="467" t="s">
        <v>58</v>
      </c>
      <c r="X43" s="467" t="s">
        <v>59</v>
      </c>
      <c r="Y43" s="467" t="s">
        <v>53</v>
      </c>
      <c r="Z43" s="38">
        <v>34200000</v>
      </c>
      <c r="AA43" s="38">
        <v>114</v>
      </c>
      <c r="AC43" s="462">
        <v>45417</v>
      </c>
      <c r="AD43" t="s">
        <v>60</v>
      </c>
      <c r="AE43" t="s">
        <v>1006</v>
      </c>
      <c r="AF43"/>
      <c r="AG43" t="s">
        <v>65</v>
      </c>
      <c r="AH43" t="s">
        <v>58</v>
      </c>
      <c r="AI43">
        <v>39600000</v>
      </c>
      <c r="AK43" s="98">
        <v>2024</v>
      </c>
      <c r="AL43" s="98">
        <v>9</v>
      </c>
      <c r="AM43" s="98" t="s">
        <v>55</v>
      </c>
      <c r="AN43" s="98" t="s">
        <v>60</v>
      </c>
      <c r="AO43">
        <v>150000000</v>
      </c>
      <c r="AP43">
        <v>292800000</v>
      </c>
      <c r="AQ43">
        <v>1.952</v>
      </c>
      <c r="AS43" s="461">
        <v>45417</v>
      </c>
      <c r="AT43" s="98" t="s">
        <v>60</v>
      </c>
      <c r="AU43" s="98" t="s">
        <v>65</v>
      </c>
      <c r="AV43" s="98" t="s">
        <v>1006</v>
      </c>
      <c r="AW43" s="98" t="s">
        <v>940</v>
      </c>
      <c r="AX43" s="98">
        <v>14</v>
      </c>
      <c r="AY43" s="98" t="s">
        <v>55</v>
      </c>
      <c r="AZ43"/>
      <c r="BA43"/>
      <c r="BB43" s="98" t="s">
        <v>58</v>
      </c>
      <c r="BC43" s="98" t="s">
        <v>59</v>
      </c>
      <c r="BD43" s="98" t="s">
        <v>55</v>
      </c>
      <c r="BE43" s="98" t="s">
        <v>1008</v>
      </c>
      <c r="BF43">
        <v>39600000</v>
      </c>
    </row>
    <row r="44" spans="8:61" x14ac:dyDescent="0.3">
      <c r="H44" s="463">
        <v>45417</v>
      </c>
      <c r="I44" s="38" t="s">
        <v>940</v>
      </c>
      <c r="J44" s="38"/>
      <c r="K44" s="38"/>
      <c r="L44" s="38"/>
      <c r="M44" s="38"/>
      <c r="N44" s="38"/>
      <c r="O44" s="38" t="s">
        <v>62</v>
      </c>
      <c r="P44" s="38">
        <v>97</v>
      </c>
      <c r="S44" s="466">
        <v>45356</v>
      </c>
      <c r="T44" s="38"/>
      <c r="U44" s="38"/>
      <c r="V44" s="38"/>
      <c r="W44" s="467" t="s">
        <v>62</v>
      </c>
      <c r="X44" s="467" t="s">
        <v>63</v>
      </c>
      <c r="Y44" s="467" t="s">
        <v>53</v>
      </c>
      <c r="Z44" s="38">
        <v>46500000</v>
      </c>
      <c r="AA44" s="38">
        <v>93</v>
      </c>
      <c r="AC44" s="462">
        <v>45417</v>
      </c>
      <c r="AD44" t="s">
        <v>60</v>
      </c>
      <c r="AE44" t="s">
        <v>1006</v>
      </c>
      <c r="AF44"/>
      <c r="AG44" t="s">
        <v>65</v>
      </c>
      <c r="AH44" t="s">
        <v>62</v>
      </c>
      <c r="AI44">
        <v>48500000</v>
      </c>
      <c r="AK44" s="98">
        <v>2024</v>
      </c>
      <c r="AL44" s="98">
        <v>9</v>
      </c>
      <c r="AM44" s="98" t="s">
        <v>54</v>
      </c>
      <c r="AN44" s="98" t="s">
        <v>55</v>
      </c>
      <c r="AO44">
        <v>300000000</v>
      </c>
      <c r="AP44">
        <v>296600000</v>
      </c>
      <c r="AQ44">
        <v>0.98866666666666669</v>
      </c>
      <c r="AS44" s="461">
        <v>45417</v>
      </c>
      <c r="AT44" s="98" t="s">
        <v>60</v>
      </c>
      <c r="AU44" s="98" t="s">
        <v>65</v>
      </c>
      <c r="AV44" s="98" t="s">
        <v>1006</v>
      </c>
      <c r="AW44" s="98" t="s">
        <v>940</v>
      </c>
      <c r="AX44" s="98">
        <v>14</v>
      </c>
      <c r="AY44" s="98" t="s">
        <v>55</v>
      </c>
      <c r="AZ44"/>
      <c r="BA44"/>
      <c r="BB44" s="98" t="s">
        <v>62</v>
      </c>
      <c r="BC44" s="98" t="s">
        <v>63</v>
      </c>
      <c r="BD44" s="98" t="s">
        <v>55</v>
      </c>
      <c r="BE44" s="98" t="s">
        <v>1008</v>
      </c>
      <c r="BF44">
        <v>48500000</v>
      </c>
    </row>
    <row r="45" spans="8:61" x14ac:dyDescent="0.3">
      <c r="H45" s="463">
        <v>45427</v>
      </c>
      <c r="I45" s="38" t="s">
        <v>939</v>
      </c>
      <c r="J45" s="38" t="s">
        <v>1005</v>
      </c>
      <c r="K45" s="38" t="s">
        <v>996</v>
      </c>
      <c r="L45" s="38" t="s">
        <v>972</v>
      </c>
      <c r="M45" s="38">
        <v>12</v>
      </c>
      <c r="N45" s="38">
        <v>126600000</v>
      </c>
      <c r="O45" s="38" t="s">
        <v>29</v>
      </c>
      <c r="P45" s="38">
        <v>183</v>
      </c>
      <c r="S45" s="466">
        <v>45366</v>
      </c>
      <c r="T45" s="467" t="s">
        <v>1005</v>
      </c>
      <c r="U45" s="467" t="s">
        <v>966</v>
      </c>
      <c r="V45" s="467" t="s">
        <v>996</v>
      </c>
      <c r="W45" s="467" t="s">
        <v>29</v>
      </c>
      <c r="X45" s="467" t="s">
        <v>52</v>
      </c>
      <c r="Y45" s="467" t="s">
        <v>53</v>
      </c>
      <c r="Z45" s="38">
        <v>32200000</v>
      </c>
      <c r="AA45" s="38">
        <v>161</v>
      </c>
      <c r="AC45" s="462">
        <v>45427</v>
      </c>
      <c r="AD45" t="s">
        <v>949</v>
      </c>
      <c r="AE45" t="s">
        <v>1005</v>
      </c>
      <c r="AF45">
        <v>126600000</v>
      </c>
      <c r="AG45" t="s">
        <v>54</v>
      </c>
      <c r="AH45" t="s">
        <v>29</v>
      </c>
      <c r="AI45">
        <v>36600000</v>
      </c>
      <c r="AK45" s="98">
        <v>2024</v>
      </c>
      <c r="AL45" s="98">
        <v>9</v>
      </c>
      <c r="AM45" s="98" t="s">
        <v>65</v>
      </c>
      <c r="AN45" s="98" t="s">
        <v>55</v>
      </c>
      <c r="AO45">
        <v>150000000</v>
      </c>
      <c r="AP45">
        <v>146100000</v>
      </c>
      <c r="AQ45">
        <v>0.97399999999999998</v>
      </c>
      <c r="AS45" s="461">
        <v>45427</v>
      </c>
      <c r="AT45" s="98" t="s">
        <v>949</v>
      </c>
      <c r="AU45" s="98" t="s">
        <v>54</v>
      </c>
      <c r="AV45" s="98" t="s">
        <v>1005</v>
      </c>
      <c r="AW45" s="98" t="s">
        <v>939</v>
      </c>
      <c r="AX45" s="98">
        <v>12</v>
      </c>
      <c r="AY45" s="98" t="s">
        <v>55</v>
      </c>
      <c r="AZ45" s="98">
        <v>0</v>
      </c>
      <c r="BA45" s="98">
        <v>126600000</v>
      </c>
      <c r="BB45" s="98" t="s">
        <v>29</v>
      </c>
      <c r="BC45" s="98" t="s">
        <v>52</v>
      </c>
      <c r="BD45" s="98" t="s">
        <v>55</v>
      </c>
      <c r="BE45" s="98" t="s">
        <v>1008</v>
      </c>
      <c r="BF45">
        <v>36600000</v>
      </c>
    </row>
    <row r="46" spans="8:61" x14ac:dyDescent="0.3">
      <c r="H46" s="463">
        <v>45427</v>
      </c>
      <c r="I46" s="38" t="s">
        <v>939</v>
      </c>
      <c r="J46" s="38"/>
      <c r="K46" s="38"/>
      <c r="L46" s="38"/>
      <c r="M46" s="38"/>
      <c r="N46" s="38"/>
      <c r="O46" s="38" t="s">
        <v>58</v>
      </c>
      <c r="P46" s="38">
        <v>135</v>
      </c>
      <c r="S46" s="466">
        <v>45366</v>
      </c>
      <c r="T46" s="38"/>
      <c r="U46" s="38"/>
      <c r="V46" s="38"/>
      <c r="W46" s="467" t="s">
        <v>58</v>
      </c>
      <c r="X46" s="467" t="s">
        <v>59</v>
      </c>
      <c r="Y46" s="467" t="s">
        <v>53</v>
      </c>
      <c r="Z46" s="38">
        <v>34500000</v>
      </c>
      <c r="AA46" s="38">
        <v>115</v>
      </c>
      <c r="AC46" s="462">
        <v>45427</v>
      </c>
      <c r="AD46" t="s">
        <v>949</v>
      </c>
      <c r="AE46" t="s">
        <v>1005</v>
      </c>
      <c r="AF46"/>
      <c r="AG46" t="s">
        <v>54</v>
      </c>
      <c r="AH46" t="s">
        <v>58</v>
      </c>
      <c r="AI46">
        <v>40500000</v>
      </c>
      <c r="AK46" s="98">
        <v>2024</v>
      </c>
      <c r="AL46" s="98">
        <v>10</v>
      </c>
      <c r="AM46" s="98" t="s">
        <v>55</v>
      </c>
      <c r="AN46" s="98" t="s">
        <v>56</v>
      </c>
      <c r="AO46">
        <v>150000000</v>
      </c>
      <c r="AP46">
        <v>155100000</v>
      </c>
      <c r="AQ46">
        <v>1.034</v>
      </c>
      <c r="AS46" s="461">
        <v>45427</v>
      </c>
      <c r="AT46" s="98" t="s">
        <v>949</v>
      </c>
      <c r="AU46" s="98" t="s">
        <v>54</v>
      </c>
      <c r="AV46" s="98" t="s">
        <v>1005</v>
      </c>
      <c r="AW46" s="98" t="s">
        <v>939</v>
      </c>
      <c r="AX46" s="98">
        <v>12</v>
      </c>
      <c r="AY46" s="98" t="s">
        <v>55</v>
      </c>
      <c r="AZ46"/>
      <c r="BA46"/>
      <c r="BB46" s="98" t="s">
        <v>58</v>
      </c>
      <c r="BC46" s="98" t="s">
        <v>59</v>
      </c>
      <c r="BD46" s="98" t="s">
        <v>55</v>
      </c>
      <c r="BE46" s="98" t="s">
        <v>1008</v>
      </c>
      <c r="BF46">
        <v>40500000</v>
      </c>
    </row>
    <row r="47" spans="8:61" x14ac:dyDescent="0.3">
      <c r="H47" s="463">
        <v>45427</v>
      </c>
      <c r="I47" s="38" t="s">
        <v>939</v>
      </c>
      <c r="J47" s="38"/>
      <c r="K47" s="38"/>
      <c r="L47" s="38"/>
      <c r="M47" s="38"/>
      <c r="N47" s="38"/>
      <c r="O47" s="38" t="s">
        <v>62</v>
      </c>
      <c r="P47" s="38">
        <v>99</v>
      </c>
      <c r="S47" s="466">
        <v>45366</v>
      </c>
      <c r="T47" s="38"/>
      <c r="U47" s="38"/>
      <c r="V47" s="38"/>
      <c r="W47" s="467" t="s">
        <v>62</v>
      </c>
      <c r="X47" s="467" t="s">
        <v>63</v>
      </c>
      <c r="Y47" s="467" t="s">
        <v>53</v>
      </c>
      <c r="Z47" s="38">
        <v>46500000</v>
      </c>
      <c r="AA47" s="38">
        <v>93</v>
      </c>
      <c r="AC47" s="462">
        <v>45427</v>
      </c>
      <c r="AD47" t="s">
        <v>949</v>
      </c>
      <c r="AE47" t="s">
        <v>1005</v>
      </c>
      <c r="AF47"/>
      <c r="AG47" t="s">
        <v>54</v>
      </c>
      <c r="AH47" t="s">
        <v>62</v>
      </c>
      <c r="AI47">
        <v>49500000</v>
      </c>
      <c r="AK47" s="98">
        <v>2024</v>
      </c>
      <c r="AL47" s="98">
        <v>10</v>
      </c>
      <c r="AM47" s="98" t="s">
        <v>55</v>
      </c>
      <c r="AN47" s="98" t="s">
        <v>60</v>
      </c>
      <c r="AO47">
        <v>150000000</v>
      </c>
      <c r="AP47">
        <v>159200000</v>
      </c>
      <c r="AQ47">
        <v>1.0613333333333332</v>
      </c>
      <c r="AS47" s="461">
        <v>45427</v>
      </c>
      <c r="AT47" s="98" t="s">
        <v>949</v>
      </c>
      <c r="AU47" s="98" t="s">
        <v>54</v>
      </c>
      <c r="AV47" s="98" t="s">
        <v>1005</v>
      </c>
      <c r="AW47" s="98" t="s">
        <v>939</v>
      </c>
      <c r="AX47" s="98">
        <v>12</v>
      </c>
      <c r="AY47" s="98" t="s">
        <v>55</v>
      </c>
      <c r="AZ47"/>
      <c r="BA47"/>
      <c r="BB47" s="98" t="s">
        <v>62</v>
      </c>
      <c r="BC47" s="98" t="s">
        <v>63</v>
      </c>
      <c r="BD47" s="98" t="s">
        <v>55</v>
      </c>
      <c r="BE47" s="98" t="s">
        <v>1008</v>
      </c>
      <c r="BF47">
        <v>49500000</v>
      </c>
    </row>
    <row r="48" spans="8:61" x14ac:dyDescent="0.3">
      <c r="H48" s="463">
        <v>45437</v>
      </c>
      <c r="I48" s="38" t="s">
        <v>944</v>
      </c>
      <c r="J48" s="38" t="s">
        <v>1005</v>
      </c>
      <c r="K48" s="38" t="s">
        <v>1001</v>
      </c>
      <c r="L48" s="38" t="s">
        <v>973</v>
      </c>
      <c r="M48" s="38">
        <v>3</v>
      </c>
      <c r="N48" s="38">
        <v>126900000</v>
      </c>
      <c r="O48" s="38" t="s">
        <v>29</v>
      </c>
      <c r="P48" s="38">
        <v>185</v>
      </c>
      <c r="S48" s="466">
        <v>45376</v>
      </c>
      <c r="T48" s="467" t="s">
        <v>1006</v>
      </c>
      <c r="U48" s="467" t="s">
        <v>967</v>
      </c>
      <c r="V48" s="467" t="s">
        <v>1000</v>
      </c>
      <c r="W48" s="467" t="s">
        <v>29</v>
      </c>
      <c r="X48" s="467" t="s">
        <v>52</v>
      </c>
      <c r="Y48" s="467" t="s">
        <v>53</v>
      </c>
      <c r="Z48" s="38">
        <v>32800000</v>
      </c>
      <c r="AA48" s="38">
        <v>164</v>
      </c>
      <c r="AC48" s="462">
        <v>45437</v>
      </c>
      <c r="AD48" t="s">
        <v>56</v>
      </c>
      <c r="AE48" t="s">
        <v>1005</v>
      </c>
      <c r="AF48">
        <v>126900000</v>
      </c>
      <c r="AG48" t="s">
        <v>65</v>
      </c>
      <c r="AH48" t="s">
        <v>29</v>
      </c>
      <c r="AI48">
        <v>37000000</v>
      </c>
      <c r="AK48" s="98">
        <v>2024</v>
      </c>
      <c r="AL48" s="98">
        <v>10</v>
      </c>
      <c r="AM48" s="98" t="s">
        <v>54</v>
      </c>
      <c r="AN48" s="98" t="s">
        <v>55</v>
      </c>
      <c r="AO48">
        <v>300000000</v>
      </c>
      <c r="AP48">
        <v>314300000</v>
      </c>
      <c r="AQ48">
        <v>1.0476666666666667</v>
      </c>
      <c r="AS48" s="461">
        <v>45437</v>
      </c>
      <c r="AT48" s="98" t="s">
        <v>56</v>
      </c>
      <c r="AU48" s="98" t="s">
        <v>65</v>
      </c>
      <c r="AV48" s="98" t="s">
        <v>1005</v>
      </c>
      <c r="AW48" s="98" t="s">
        <v>944</v>
      </c>
      <c r="AX48" s="98">
        <v>3</v>
      </c>
      <c r="AY48" s="98" t="s">
        <v>55</v>
      </c>
      <c r="AZ48" s="98">
        <v>0</v>
      </c>
      <c r="BA48" s="98">
        <v>126900000</v>
      </c>
      <c r="BB48" s="98" t="s">
        <v>29</v>
      </c>
      <c r="BC48" s="98" t="s">
        <v>52</v>
      </c>
      <c r="BD48" s="98" t="s">
        <v>55</v>
      </c>
      <c r="BE48" s="98" t="s">
        <v>1008</v>
      </c>
      <c r="BF48">
        <v>37000000</v>
      </c>
    </row>
    <row r="49" spans="8:58" x14ac:dyDescent="0.3">
      <c r="H49" s="463">
        <v>45437</v>
      </c>
      <c r="I49" s="38" t="s">
        <v>944</v>
      </c>
      <c r="J49" s="38"/>
      <c r="K49" s="38"/>
      <c r="L49" s="38"/>
      <c r="M49" s="38"/>
      <c r="N49" s="38"/>
      <c r="O49" s="38" t="s">
        <v>58</v>
      </c>
      <c r="P49" s="38">
        <v>138</v>
      </c>
      <c r="S49" s="466">
        <v>45376</v>
      </c>
      <c r="T49" s="38"/>
      <c r="U49" s="38"/>
      <c r="V49" s="38"/>
      <c r="W49" s="467" t="s">
        <v>58</v>
      </c>
      <c r="X49" s="467" t="s">
        <v>59</v>
      </c>
      <c r="Y49" s="467" t="s">
        <v>53</v>
      </c>
      <c r="Z49" s="38">
        <v>33900000</v>
      </c>
      <c r="AA49" s="38">
        <v>113</v>
      </c>
      <c r="AC49" s="462">
        <v>45437</v>
      </c>
      <c r="AD49" t="s">
        <v>56</v>
      </c>
      <c r="AE49" t="s">
        <v>1005</v>
      </c>
      <c r="AF49"/>
      <c r="AG49" t="s">
        <v>65</v>
      </c>
      <c r="AH49" t="s">
        <v>58</v>
      </c>
      <c r="AI49">
        <v>41400000</v>
      </c>
      <c r="AK49" s="98">
        <v>2024</v>
      </c>
      <c r="AL49" s="98">
        <v>10</v>
      </c>
      <c r="AM49" s="98" t="s">
        <v>65</v>
      </c>
      <c r="AN49" s="98" t="s">
        <v>55</v>
      </c>
      <c r="AO49">
        <v>150000000</v>
      </c>
      <c r="AP49">
        <v>155000000</v>
      </c>
      <c r="AQ49">
        <v>1.0333333333333334</v>
      </c>
      <c r="AS49" s="461">
        <v>45437</v>
      </c>
      <c r="AT49" s="98" t="s">
        <v>56</v>
      </c>
      <c r="AU49" s="98" t="s">
        <v>65</v>
      </c>
      <c r="AV49" s="98" t="s">
        <v>1005</v>
      </c>
      <c r="AW49" s="98" t="s">
        <v>944</v>
      </c>
      <c r="AX49" s="98">
        <v>3</v>
      </c>
      <c r="AY49" s="98" t="s">
        <v>55</v>
      </c>
      <c r="AZ49"/>
      <c r="BA49"/>
      <c r="BB49" s="98" t="s">
        <v>58</v>
      </c>
      <c r="BC49" s="98" t="s">
        <v>59</v>
      </c>
      <c r="BD49" s="98" t="s">
        <v>55</v>
      </c>
      <c r="BE49" s="98" t="s">
        <v>1008</v>
      </c>
      <c r="BF49">
        <v>41400000</v>
      </c>
    </row>
    <row r="50" spans="8:58" x14ac:dyDescent="0.3">
      <c r="H50" s="463">
        <v>45437</v>
      </c>
      <c r="I50" s="38" t="s">
        <v>944</v>
      </c>
      <c r="J50" s="38"/>
      <c r="K50" s="38"/>
      <c r="L50" s="38"/>
      <c r="M50" s="38"/>
      <c r="N50" s="38"/>
      <c r="O50" s="38" t="s">
        <v>62</v>
      </c>
      <c r="P50" s="38">
        <v>97</v>
      </c>
      <c r="S50" s="466">
        <v>45376</v>
      </c>
      <c r="T50" s="38"/>
      <c r="U50" s="38"/>
      <c r="V50" s="38"/>
      <c r="W50" s="467" t="s">
        <v>62</v>
      </c>
      <c r="X50" s="467" t="s">
        <v>63</v>
      </c>
      <c r="Y50" s="467" t="s">
        <v>53</v>
      </c>
      <c r="Z50" s="38">
        <v>45500000</v>
      </c>
      <c r="AA50" s="38">
        <v>91</v>
      </c>
      <c r="AC50" s="462">
        <v>45437</v>
      </c>
      <c r="AD50" t="s">
        <v>56</v>
      </c>
      <c r="AE50" t="s">
        <v>1005</v>
      </c>
      <c r="AF50"/>
      <c r="AG50" t="s">
        <v>65</v>
      </c>
      <c r="AH50" t="s">
        <v>62</v>
      </c>
      <c r="AI50">
        <v>48500000</v>
      </c>
      <c r="AK50" s="98">
        <v>2024</v>
      </c>
      <c r="AL50" s="98">
        <v>11</v>
      </c>
      <c r="AM50" s="98" t="s">
        <v>55</v>
      </c>
      <c r="AN50" s="98" t="s">
        <v>56</v>
      </c>
      <c r="AO50">
        <v>150000000</v>
      </c>
      <c r="AP50">
        <v>0</v>
      </c>
      <c r="AQ50">
        <v>0</v>
      </c>
      <c r="AS50" s="461">
        <v>45437</v>
      </c>
      <c r="AT50" s="98" t="s">
        <v>56</v>
      </c>
      <c r="AU50" s="98" t="s">
        <v>65</v>
      </c>
      <c r="AV50" s="98" t="s">
        <v>1005</v>
      </c>
      <c r="AW50" s="98" t="s">
        <v>944</v>
      </c>
      <c r="AX50" s="98">
        <v>3</v>
      </c>
      <c r="AY50" s="98" t="s">
        <v>55</v>
      </c>
      <c r="AZ50"/>
      <c r="BA50"/>
      <c r="BB50" s="98" t="s">
        <v>62</v>
      </c>
      <c r="BC50" s="98" t="s">
        <v>63</v>
      </c>
      <c r="BD50" s="98" t="s">
        <v>55</v>
      </c>
      <c r="BE50" s="98" t="s">
        <v>1008</v>
      </c>
      <c r="BF50">
        <v>48500000</v>
      </c>
    </row>
    <row r="51" spans="8:58" x14ac:dyDescent="0.3">
      <c r="H51" s="463">
        <v>45448</v>
      </c>
      <c r="I51" s="38" t="s">
        <v>940</v>
      </c>
      <c r="J51" s="38" t="s">
        <v>1006</v>
      </c>
      <c r="K51" s="38" t="s">
        <v>997</v>
      </c>
      <c r="L51" s="38" t="s">
        <v>974</v>
      </c>
      <c r="M51" s="38">
        <v>15</v>
      </c>
      <c r="N51" s="38">
        <v>127700000</v>
      </c>
      <c r="O51" s="38" t="s">
        <v>29</v>
      </c>
      <c r="P51" s="38">
        <v>189</v>
      </c>
      <c r="S51" s="466">
        <v>45387</v>
      </c>
      <c r="T51" s="467" t="s">
        <v>1006</v>
      </c>
      <c r="U51" s="467" t="s">
        <v>968</v>
      </c>
      <c r="V51" s="467" t="s">
        <v>998</v>
      </c>
      <c r="W51" s="467" t="s">
        <v>29</v>
      </c>
      <c r="X51" s="467" t="s">
        <v>52</v>
      </c>
      <c r="Y51" s="467" t="s">
        <v>53</v>
      </c>
      <c r="Z51" s="38">
        <v>34400000</v>
      </c>
      <c r="AA51" s="38">
        <v>172</v>
      </c>
      <c r="AC51" s="462">
        <v>45448</v>
      </c>
      <c r="AD51" t="s">
        <v>950</v>
      </c>
      <c r="AE51" t="s">
        <v>1006</v>
      </c>
      <c r="AF51">
        <v>127700000</v>
      </c>
      <c r="AG51" t="s">
        <v>54</v>
      </c>
      <c r="AH51" t="s">
        <v>29</v>
      </c>
      <c r="AI51">
        <v>37800000</v>
      </c>
      <c r="AK51" s="98">
        <v>2024</v>
      </c>
      <c r="AL51" s="98">
        <v>11</v>
      </c>
      <c r="AM51" s="98" t="s">
        <v>55</v>
      </c>
      <c r="AN51" s="98" t="s">
        <v>60</v>
      </c>
      <c r="AO51">
        <v>150000000</v>
      </c>
      <c r="AP51">
        <v>0</v>
      </c>
      <c r="AQ51">
        <v>0</v>
      </c>
      <c r="AS51" s="461">
        <v>45448</v>
      </c>
      <c r="AT51" s="98" t="s">
        <v>950</v>
      </c>
      <c r="AU51" s="98" t="s">
        <v>54</v>
      </c>
      <c r="AV51" s="98" t="s">
        <v>1006</v>
      </c>
      <c r="AW51" s="98" t="s">
        <v>940</v>
      </c>
      <c r="AX51" s="98">
        <v>15</v>
      </c>
      <c r="AY51" s="98" t="s">
        <v>55</v>
      </c>
      <c r="AZ51" s="98">
        <v>0</v>
      </c>
      <c r="BA51" s="98">
        <v>127700000</v>
      </c>
      <c r="BB51" s="98" t="s">
        <v>29</v>
      </c>
      <c r="BC51" s="98" t="s">
        <v>52</v>
      </c>
      <c r="BD51" s="98" t="s">
        <v>55</v>
      </c>
      <c r="BE51" s="98" t="s">
        <v>1008</v>
      </c>
      <c r="BF51">
        <v>37800000</v>
      </c>
    </row>
    <row r="52" spans="8:58" x14ac:dyDescent="0.3">
      <c r="H52" s="463">
        <v>45448</v>
      </c>
      <c r="I52" s="38" t="s">
        <v>940</v>
      </c>
      <c r="J52" s="38"/>
      <c r="K52" s="38"/>
      <c r="L52" s="38"/>
      <c r="M52" s="38"/>
      <c r="N52" s="38"/>
      <c r="O52" s="38" t="s">
        <v>58</v>
      </c>
      <c r="P52" s="38">
        <v>138</v>
      </c>
      <c r="S52" s="466">
        <v>45387</v>
      </c>
      <c r="T52" s="38"/>
      <c r="U52" s="38"/>
      <c r="V52" s="38"/>
      <c r="W52" s="467" t="s">
        <v>58</v>
      </c>
      <c r="X52" s="467" t="s">
        <v>59</v>
      </c>
      <c r="Y52" s="467" t="s">
        <v>53</v>
      </c>
      <c r="Z52" s="38">
        <v>34800000</v>
      </c>
      <c r="AA52" s="38">
        <v>116</v>
      </c>
      <c r="AC52" s="462">
        <v>45448</v>
      </c>
      <c r="AD52" t="s">
        <v>950</v>
      </c>
      <c r="AE52" t="s">
        <v>1006</v>
      </c>
      <c r="AF52"/>
      <c r="AG52" t="s">
        <v>54</v>
      </c>
      <c r="AH52" t="s">
        <v>58</v>
      </c>
      <c r="AI52">
        <v>41400000</v>
      </c>
      <c r="AK52" s="98">
        <v>2024</v>
      </c>
      <c r="AL52" s="98">
        <v>11</v>
      </c>
      <c r="AM52" s="98" t="s">
        <v>54</v>
      </c>
      <c r="AN52" s="98" t="s">
        <v>55</v>
      </c>
      <c r="AO52">
        <v>300000000</v>
      </c>
      <c r="AP52">
        <v>324600000</v>
      </c>
      <c r="AQ52">
        <v>1.0820000000000001</v>
      </c>
      <c r="AS52" s="461">
        <v>45448</v>
      </c>
      <c r="AT52" s="98" t="s">
        <v>950</v>
      </c>
      <c r="AU52" s="98" t="s">
        <v>54</v>
      </c>
      <c r="AV52" s="98" t="s">
        <v>1006</v>
      </c>
      <c r="AW52" s="98" t="s">
        <v>940</v>
      </c>
      <c r="AX52" s="98">
        <v>15</v>
      </c>
      <c r="AY52" s="98" t="s">
        <v>55</v>
      </c>
      <c r="AZ52"/>
      <c r="BA52"/>
      <c r="BB52" s="98" t="s">
        <v>58</v>
      </c>
      <c r="BC52" s="98" t="s">
        <v>59</v>
      </c>
      <c r="BD52" s="98" t="s">
        <v>55</v>
      </c>
      <c r="BE52" s="98" t="s">
        <v>1008</v>
      </c>
      <c r="BF52">
        <v>41400000</v>
      </c>
    </row>
    <row r="53" spans="8:58" x14ac:dyDescent="0.3">
      <c r="H53" s="463">
        <v>45448</v>
      </c>
      <c r="I53" s="38" t="s">
        <v>940</v>
      </c>
      <c r="J53" s="38"/>
      <c r="K53" s="38"/>
      <c r="L53" s="38"/>
      <c r="M53" s="38"/>
      <c r="N53" s="38"/>
      <c r="O53" s="38" t="s">
        <v>62</v>
      </c>
      <c r="P53" s="38">
        <v>97</v>
      </c>
      <c r="S53" s="466">
        <v>45387</v>
      </c>
      <c r="T53" s="38"/>
      <c r="U53" s="38"/>
      <c r="V53" s="38"/>
      <c r="W53" s="467" t="s">
        <v>62</v>
      </c>
      <c r="X53" s="467" t="s">
        <v>63</v>
      </c>
      <c r="Y53" s="467" t="s">
        <v>53</v>
      </c>
      <c r="Z53" s="38">
        <v>46000000</v>
      </c>
      <c r="AA53" s="38">
        <v>92</v>
      </c>
      <c r="AC53" s="462">
        <v>45448</v>
      </c>
      <c r="AD53" t="s">
        <v>950</v>
      </c>
      <c r="AE53" t="s">
        <v>1006</v>
      </c>
      <c r="AF53"/>
      <c r="AG53" t="s">
        <v>54</v>
      </c>
      <c r="AH53" t="s">
        <v>62</v>
      </c>
      <c r="AI53">
        <v>48500000</v>
      </c>
      <c r="AK53" s="98">
        <v>2024</v>
      </c>
      <c r="AL53" s="98">
        <v>11</v>
      </c>
      <c r="AM53" s="98" t="s">
        <v>65</v>
      </c>
      <c r="AN53" s="98" t="s">
        <v>55</v>
      </c>
      <c r="AO53">
        <v>150000000</v>
      </c>
      <c r="AP53">
        <v>167600000</v>
      </c>
      <c r="AQ53">
        <v>1.1173333333333333</v>
      </c>
      <c r="AS53" s="461">
        <v>45448</v>
      </c>
      <c r="AT53" s="98" t="s">
        <v>950</v>
      </c>
      <c r="AU53" s="98" t="s">
        <v>54</v>
      </c>
      <c r="AV53" s="98" t="s">
        <v>1006</v>
      </c>
      <c r="AW53" s="98" t="s">
        <v>940</v>
      </c>
      <c r="AX53" s="98">
        <v>15</v>
      </c>
      <c r="AY53" s="98" t="s">
        <v>55</v>
      </c>
      <c r="AZ53"/>
      <c r="BA53"/>
      <c r="BB53" s="98" t="s">
        <v>62</v>
      </c>
      <c r="BC53" s="98" t="s">
        <v>63</v>
      </c>
      <c r="BD53" s="98" t="s">
        <v>55</v>
      </c>
      <c r="BE53" s="98" t="s">
        <v>1008</v>
      </c>
      <c r="BF53">
        <v>48500000</v>
      </c>
    </row>
    <row r="54" spans="8:58" x14ac:dyDescent="0.3">
      <c r="H54" s="463">
        <v>45458</v>
      </c>
      <c r="I54" s="38" t="s">
        <v>942</v>
      </c>
      <c r="J54" s="38" t="s">
        <v>1005</v>
      </c>
      <c r="K54" s="38" t="s">
        <v>999</v>
      </c>
      <c r="L54" s="38" t="s">
        <v>975</v>
      </c>
      <c r="M54" s="38">
        <v>7</v>
      </c>
      <c r="N54" s="38">
        <v>127500000</v>
      </c>
      <c r="O54" s="38" t="s">
        <v>29</v>
      </c>
      <c r="P54" s="38">
        <v>187</v>
      </c>
      <c r="S54" s="466">
        <v>45397</v>
      </c>
      <c r="T54" s="467" t="s">
        <v>1006</v>
      </c>
      <c r="U54" s="467" t="s">
        <v>969</v>
      </c>
      <c r="V54" s="467" t="s">
        <v>998</v>
      </c>
      <c r="W54" s="467" t="s">
        <v>29</v>
      </c>
      <c r="X54" s="467" t="s">
        <v>52</v>
      </c>
      <c r="Y54" s="467" t="s">
        <v>53</v>
      </c>
      <c r="Z54" s="38">
        <v>33800000</v>
      </c>
      <c r="AA54" s="38">
        <v>169</v>
      </c>
      <c r="AC54" s="462">
        <v>45458</v>
      </c>
      <c r="AD54" t="s">
        <v>949</v>
      </c>
      <c r="AE54" t="s">
        <v>1005</v>
      </c>
      <c r="AF54">
        <v>127500000</v>
      </c>
      <c r="AG54" t="s">
        <v>54</v>
      </c>
      <c r="AH54" t="s">
        <v>29</v>
      </c>
      <c r="AI54">
        <v>37400000</v>
      </c>
      <c r="AK54" s="98">
        <v>2024</v>
      </c>
      <c r="AL54" s="98">
        <v>12</v>
      </c>
      <c r="AM54" s="98" t="s">
        <v>55</v>
      </c>
      <c r="AN54" s="98" t="s">
        <v>56</v>
      </c>
      <c r="AO54">
        <v>150000000</v>
      </c>
      <c r="AP54">
        <v>162900000</v>
      </c>
      <c r="AQ54">
        <v>1.0860000000000001</v>
      </c>
      <c r="AS54" s="461">
        <v>45458</v>
      </c>
      <c r="AT54" s="98" t="s">
        <v>949</v>
      </c>
      <c r="AU54" s="98" t="s">
        <v>54</v>
      </c>
      <c r="AV54" s="98" t="s">
        <v>1005</v>
      </c>
      <c r="AW54" s="98" t="s">
        <v>942</v>
      </c>
      <c r="AX54" s="98">
        <v>7</v>
      </c>
      <c r="AY54" s="98" t="s">
        <v>55</v>
      </c>
      <c r="AZ54" s="98">
        <v>0</v>
      </c>
      <c r="BA54" s="98">
        <v>127500000</v>
      </c>
      <c r="BB54" s="98" t="s">
        <v>29</v>
      </c>
      <c r="BC54" s="98" t="s">
        <v>52</v>
      </c>
      <c r="BD54" s="98" t="s">
        <v>55</v>
      </c>
      <c r="BE54" s="98" t="s">
        <v>1008</v>
      </c>
      <c r="BF54">
        <v>37400000</v>
      </c>
    </row>
    <row r="55" spans="8:58" x14ac:dyDescent="0.3">
      <c r="H55" s="463">
        <v>45458</v>
      </c>
      <c r="I55" s="38" t="s">
        <v>942</v>
      </c>
      <c r="J55" s="38"/>
      <c r="K55" s="38"/>
      <c r="L55" s="38"/>
      <c r="M55" s="38"/>
      <c r="N55" s="38"/>
      <c r="O55" s="38" t="s">
        <v>58</v>
      </c>
      <c r="P55" s="38">
        <v>142</v>
      </c>
      <c r="S55" s="466">
        <v>45397</v>
      </c>
      <c r="T55" s="38"/>
      <c r="U55" s="38"/>
      <c r="V55" s="38"/>
      <c r="W55" s="467" t="s">
        <v>58</v>
      </c>
      <c r="X55" s="467" t="s">
        <v>59</v>
      </c>
      <c r="Y55" s="467" t="s">
        <v>53</v>
      </c>
      <c r="Z55" s="38">
        <v>36300000</v>
      </c>
      <c r="AA55" s="38">
        <v>121</v>
      </c>
      <c r="AC55" s="462">
        <v>45458</v>
      </c>
      <c r="AD55" t="s">
        <v>949</v>
      </c>
      <c r="AE55" t="s">
        <v>1005</v>
      </c>
      <c r="AF55"/>
      <c r="AG55" t="s">
        <v>54</v>
      </c>
      <c r="AH55" t="s">
        <v>58</v>
      </c>
      <c r="AI55">
        <v>42600000</v>
      </c>
      <c r="AK55" s="98">
        <v>2024</v>
      </c>
      <c r="AL55" s="98">
        <v>12</v>
      </c>
      <c r="AM55" s="98" t="s">
        <v>55</v>
      </c>
      <c r="AN55" s="98" t="s">
        <v>60</v>
      </c>
      <c r="AO55">
        <v>150000000</v>
      </c>
      <c r="AP55">
        <v>0</v>
      </c>
      <c r="AQ55">
        <v>0</v>
      </c>
      <c r="AS55" s="461">
        <v>45458</v>
      </c>
      <c r="AT55" s="98" t="s">
        <v>949</v>
      </c>
      <c r="AU55" s="98" t="s">
        <v>54</v>
      </c>
      <c r="AV55" s="98" t="s">
        <v>1005</v>
      </c>
      <c r="AW55" s="98" t="s">
        <v>942</v>
      </c>
      <c r="AX55" s="98">
        <v>7</v>
      </c>
      <c r="AY55" s="98" t="s">
        <v>55</v>
      </c>
      <c r="AZ55"/>
      <c r="BA55"/>
      <c r="BB55" s="98" t="s">
        <v>58</v>
      </c>
      <c r="BC55" s="98" t="s">
        <v>59</v>
      </c>
      <c r="BD55" s="98" t="s">
        <v>55</v>
      </c>
      <c r="BE55" s="98" t="s">
        <v>1008</v>
      </c>
      <c r="BF55">
        <v>42600000</v>
      </c>
    </row>
    <row r="56" spans="8:58" x14ac:dyDescent="0.3">
      <c r="H56" s="463">
        <v>45458</v>
      </c>
      <c r="I56" s="38" t="s">
        <v>942</v>
      </c>
      <c r="J56" s="38"/>
      <c r="K56" s="38"/>
      <c r="L56" s="38"/>
      <c r="M56" s="38"/>
      <c r="N56" s="38"/>
      <c r="O56" s="38" t="s">
        <v>62</v>
      </c>
      <c r="P56" s="38">
        <v>95</v>
      </c>
      <c r="S56" s="466">
        <v>45397</v>
      </c>
      <c r="T56" s="38"/>
      <c r="U56" s="38"/>
      <c r="V56" s="38"/>
      <c r="W56" s="467" t="s">
        <v>62</v>
      </c>
      <c r="X56" s="467" t="s">
        <v>63</v>
      </c>
      <c r="Y56" s="467" t="s">
        <v>53</v>
      </c>
      <c r="Z56" s="38">
        <v>48500000</v>
      </c>
      <c r="AA56" s="38">
        <v>97</v>
      </c>
      <c r="AC56" s="462">
        <v>45458</v>
      </c>
      <c r="AD56" t="s">
        <v>949</v>
      </c>
      <c r="AE56" t="s">
        <v>1005</v>
      </c>
      <c r="AF56"/>
      <c r="AG56" t="s">
        <v>54</v>
      </c>
      <c r="AH56" t="s">
        <v>62</v>
      </c>
      <c r="AI56">
        <v>47500000</v>
      </c>
      <c r="AK56" s="98">
        <v>2024</v>
      </c>
      <c r="AL56" s="98">
        <v>12</v>
      </c>
      <c r="AM56" s="98" t="s">
        <v>54</v>
      </c>
      <c r="AN56" s="98" t="s">
        <v>55</v>
      </c>
      <c r="AO56">
        <v>300000000</v>
      </c>
      <c r="AP56">
        <v>340900000</v>
      </c>
      <c r="AQ56">
        <v>1.1363333333333334</v>
      </c>
      <c r="AS56" s="461">
        <v>45458</v>
      </c>
      <c r="AT56" s="98" t="s">
        <v>949</v>
      </c>
      <c r="AU56" s="98" t="s">
        <v>54</v>
      </c>
      <c r="AV56" s="98" t="s">
        <v>1005</v>
      </c>
      <c r="AW56" s="98" t="s">
        <v>942</v>
      </c>
      <c r="AX56" s="98">
        <v>7</v>
      </c>
      <c r="AY56" s="98" t="s">
        <v>55</v>
      </c>
      <c r="AZ56"/>
      <c r="BA56"/>
      <c r="BB56" s="98" t="s">
        <v>62</v>
      </c>
      <c r="BC56" s="98" t="s">
        <v>63</v>
      </c>
      <c r="BD56" s="98" t="s">
        <v>55</v>
      </c>
      <c r="BE56" s="98" t="s">
        <v>1008</v>
      </c>
      <c r="BF56">
        <v>47500000</v>
      </c>
    </row>
    <row r="57" spans="8:58" x14ac:dyDescent="0.3">
      <c r="H57" s="463">
        <v>45468</v>
      </c>
      <c r="I57" s="38" t="s">
        <v>941</v>
      </c>
      <c r="J57" s="38" t="s">
        <v>1006</v>
      </c>
      <c r="K57" s="38" t="s">
        <v>998</v>
      </c>
      <c r="L57" s="38" t="s">
        <v>976</v>
      </c>
      <c r="M57" s="38">
        <v>11</v>
      </c>
      <c r="N57" s="38">
        <v>129400000</v>
      </c>
      <c r="O57" s="38" t="s">
        <v>29</v>
      </c>
      <c r="P57" s="38">
        <v>196</v>
      </c>
      <c r="S57" s="466">
        <v>45407</v>
      </c>
      <c r="T57" s="467" t="s">
        <v>1005</v>
      </c>
      <c r="U57" s="467" t="s">
        <v>970</v>
      </c>
      <c r="V57" s="467" t="s">
        <v>999</v>
      </c>
      <c r="W57" s="467" t="s">
        <v>29</v>
      </c>
      <c r="X57" s="467" t="s">
        <v>52</v>
      </c>
      <c r="Y57" s="467" t="s">
        <v>53</v>
      </c>
      <c r="Z57" s="38">
        <v>34200000</v>
      </c>
      <c r="AA57" s="38">
        <v>171</v>
      </c>
      <c r="AC57" s="462">
        <v>45468</v>
      </c>
      <c r="AD57" t="s">
        <v>949</v>
      </c>
      <c r="AE57" t="s">
        <v>1006</v>
      </c>
      <c r="AF57">
        <v>129400000</v>
      </c>
      <c r="AG57" t="s">
        <v>54</v>
      </c>
      <c r="AH57" t="s">
        <v>29</v>
      </c>
      <c r="AI57">
        <v>39200000</v>
      </c>
      <c r="AK57" s="98">
        <v>2024</v>
      </c>
      <c r="AL57" s="98">
        <v>12</v>
      </c>
      <c r="AM57" s="98" t="s">
        <v>65</v>
      </c>
      <c r="AN57" s="98" t="s">
        <v>55</v>
      </c>
      <c r="AO57">
        <v>150000000</v>
      </c>
      <c r="AP57">
        <v>169900000</v>
      </c>
      <c r="AQ57">
        <v>1.1326666666666667</v>
      </c>
      <c r="AS57" s="461">
        <v>45468</v>
      </c>
      <c r="AT57" s="98" t="s">
        <v>949</v>
      </c>
      <c r="AU57" s="98" t="s">
        <v>54</v>
      </c>
      <c r="AV57" s="98" t="s">
        <v>1006</v>
      </c>
      <c r="AW57" s="98" t="s">
        <v>941</v>
      </c>
      <c r="AX57" s="98">
        <v>11</v>
      </c>
      <c r="AY57" s="98" t="s">
        <v>55</v>
      </c>
      <c r="AZ57" s="98">
        <v>0</v>
      </c>
      <c r="BA57" s="98">
        <v>129400000</v>
      </c>
      <c r="BB57" s="98" t="s">
        <v>29</v>
      </c>
      <c r="BC57" s="98" t="s">
        <v>52</v>
      </c>
      <c r="BD57" s="98" t="s">
        <v>55</v>
      </c>
      <c r="BE57" s="98" t="s">
        <v>1008</v>
      </c>
      <c r="BF57">
        <v>39200000</v>
      </c>
    </row>
    <row r="58" spans="8:58" x14ac:dyDescent="0.3">
      <c r="H58" s="463">
        <v>45468</v>
      </c>
      <c r="I58" s="38" t="s">
        <v>941</v>
      </c>
      <c r="J58" s="38"/>
      <c r="K58" s="38"/>
      <c r="L58" s="38"/>
      <c r="M58" s="38"/>
      <c r="N58" s="38"/>
      <c r="O58" s="38" t="s">
        <v>58</v>
      </c>
      <c r="P58" s="38">
        <v>139</v>
      </c>
      <c r="S58" s="466">
        <v>45407</v>
      </c>
      <c r="T58" s="38"/>
      <c r="U58" s="38"/>
      <c r="V58" s="38"/>
      <c r="W58" s="467" t="s">
        <v>58</v>
      </c>
      <c r="X58" s="467" t="s">
        <v>59</v>
      </c>
      <c r="Y58" s="467" t="s">
        <v>53</v>
      </c>
      <c r="Z58" s="38">
        <v>38100000</v>
      </c>
      <c r="AA58" s="38">
        <v>127</v>
      </c>
      <c r="AC58" s="462">
        <v>45468</v>
      </c>
      <c r="AD58" t="s">
        <v>949</v>
      </c>
      <c r="AE58" t="s">
        <v>1006</v>
      </c>
      <c r="AF58"/>
      <c r="AG58" t="s">
        <v>54</v>
      </c>
      <c r="AH58" t="s">
        <v>58</v>
      </c>
      <c r="AI58">
        <v>41700000</v>
      </c>
      <c r="AS58" s="461">
        <v>45468</v>
      </c>
      <c r="AT58" s="98" t="s">
        <v>949</v>
      </c>
      <c r="AU58" s="98" t="s">
        <v>54</v>
      </c>
      <c r="AV58" s="98" t="s">
        <v>1006</v>
      </c>
      <c r="AW58" s="98" t="s">
        <v>941</v>
      </c>
      <c r="AX58" s="98">
        <v>11</v>
      </c>
      <c r="AY58" s="98" t="s">
        <v>55</v>
      </c>
      <c r="AZ58"/>
      <c r="BA58"/>
      <c r="BB58" s="98" t="s">
        <v>58</v>
      </c>
      <c r="BC58" s="98" t="s">
        <v>59</v>
      </c>
      <c r="BD58" s="98" t="s">
        <v>55</v>
      </c>
      <c r="BE58" s="98" t="s">
        <v>1008</v>
      </c>
      <c r="BF58">
        <v>41700000</v>
      </c>
    </row>
    <row r="59" spans="8:58" x14ac:dyDescent="0.3">
      <c r="H59" s="463">
        <v>45468</v>
      </c>
      <c r="I59" s="38" t="s">
        <v>941</v>
      </c>
      <c r="J59" s="38"/>
      <c r="K59" s="38"/>
      <c r="L59" s="38"/>
      <c r="M59" s="38"/>
      <c r="N59" s="38"/>
      <c r="O59" s="38" t="s">
        <v>62</v>
      </c>
      <c r="P59" s="38">
        <v>97</v>
      </c>
      <c r="S59" s="466">
        <v>45407</v>
      </c>
      <c r="T59" s="38"/>
      <c r="U59" s="38"/>
      <c r="V59" s="38"/>
      <c r="W59" s="467" t="s">
        <v>62</v>
      </c>
      <c r="X59" s="467" t="s">
        <v>63</v>
      </c>
      <c r="Y59" s="467" t="s">
        <v>53</v>
      </c>
      <c r="Z59" s="38">
        <v>49000000</v>
      </c>
      <c r="AA59" s="38">
        <v>98</v>
      </c>
      <c r="AC59" s="462">
        <v>45468</v>
      </c>
      <c r="AD59" t="s">
        <v>949</v>
      </c>
      <c r="AE59" t="s">
        <v>1006</v>
      </c>
      <c r="AF59"/>
      <c r="AG59" t="s">
        <v>54</v>
      </c>
      <c r="AH59" t="s">
        <v>62</v>
      </c>
      <c r="AI59">
        <v>48500000</v>
      </c>
      <c r="AS59" s="461">
        <v>45468</v>
      </c>
      <c r="AT59" s="98" t="s">
        <v>949</v>
      </c>
      <c r="AU59" s="98" t="s">
        <v>54</v>
      </c>
      <c r="AV59" s="98" t="s">
        <v>1006</v>
      </c>
      <c r="AW59" s="98" t="s">
        <v>941</v>
      </c>
      <c r="AX59" s="98">
        <v>11</v>
      </c>
      <c r="AY59" s="98" t="s">
        <v>55</v>
      </c>
      <c r="AZ59"/>
      <c r="BA59"/>
      <c r="BB59" s="98" t="s">
        <v>62</v>
      </c>
      <c r="BC59" s="98" t="s">
        <v>63</v>
      </c>
      <c r="BD59" s="98" t="s">
        <v>55</v>
      </c>
      <c r="BE59" s="98" t="s">
        <v>1008</v>
      </c>
      <c r="BF59">
        <v>48500000</v>
      </c>
    </row>
    <row r="60" spans="8:58" x14ac:dyDescent="0.3">
      <c r="H60" s="463">
        <v>45478</v>
      </c>
      <c r="I60" s="38" t="s">
        <v>940</v>
      </c>
      <c r="J60" s="38" t="s">
        <v>1006</v>
      </c>
      <c r="K60" s="38" t="s">
        <v>997</v>
      </c>
      <c r="L60" s="38" t="s">
        <v>977</v>
      </c>
      <c r="M60" s="38">
        <v>16</v>
      </c>
      <c r="N60" s="38">
        <v>130900000</v>
      </c>
      <c r="O60" s="38" t="s">
        <v>29</v>
      </c>
      <c r="P60" s="38">
        <v>198</v>
      </c>
      <c r="S60"/>
      <c r="T60"/>
      <c r="U60"/>
      <c r="V60"/>
      <c r="W60"/>
      <c r="X60"/>
      <c r="Y60"/>
      <c r="Z60"/>
      <c r="AA60"/>
      <c r="AC60" s="462">
        <v>45478</v>
      </c>
      <c r="AD60" t="s">
        <v>952</v>
      </c>
      <c r="AE60" t="s">
        <v>1006</v>
      </c>
      <c r="AF60">
        <v>130900000</v>
      </c>
      <c r="AG60" t="s">
        <v>65</v>
      </c>
      <c r="AH60" t="s">
        <v>29</v>
      </c>
      <c r="AI60">
        <v>39600000</v>
      </c>
      <c r="AS60" s="461">
        <v>45478</v>
      </c>
      <c r="AT60" s="98" t="s">
        <v>952</v>
      </c>
      <c r="AU60" s="98" t="s">
        <v>65</v>
      </c>
      <c r="AV60" s="98" t="s">
        <v>1006</v>
      </c>
      <c r="AW60" s="98" t="s">
        <v>940</v>
      </c>
      <c r="AX60" s="98">
        <v>16</v>
      </c>
      <c r="AY60" s="98" t="s">
        <v>55</v>
      </c>
      <c r="AZ60" s="98">
        <v>0</v>
      </c>
      <c r="BA60" s="98">
        <v>130900000</v>
      </c>
      <c r="BB60" s="98" t="s">
        <v>29</v>
      </c>
      <c r="BC60" s="98" t="s">
        <v>52</v>
      </c>
      <c r="BD60" s="98" t="s">
        <v>55</v>
      </c>
      <c r="BE60" s="98" t="s">
        <v>1008</v>
      </c>
      <c r="BF60">
        <v>39600000</v>
      </c>
    </row>
    <row r="61" spans="8:58" x14ac:dyDescent="0.3">
      <c r="H61" s="463">
        <v>45478</v>
      </c>
      <c r="I61" s="38" t="s">
        <v>940</v>
      </c>
      <c r="J61" s="38"/>
      <c r="K61" s="38"/>
      <c r="L61" s="38"/>
      <c r="M61" s="38"/>
      <c r="N61" s="38"/>
      <c r="O61" s="38" t="s">
        <v>58</v>
      </c>
      <c r="P61" s="38">
        <v>136</v>
      </c>
      <c r="S61"/>
      <c r="T61"/>
      <c r="U61"/>
      <c r="V61"/>
      <c r="W61"/>
      <c r="X61"/>
      <c r="Y61"/>
      <c r="Z61"/>
      <c r="AA61"/>
      <c r="AC61" s="462">
        <v>45478</v>
      </c>
      <c r="AD61" t="s">
        <v>952</v>
      </c>
      <c r="AE61" t="s">
        <v>1006</v>
      </c>
      <c r="AF61"/>
      <c r="AG61" t="s">
        <v>65</v>
      </c>
      <c r="AH61" t="s">
        <v>58</v>
      </c>
      <c r="AI61">
        <v>40800000</v>
      </c>
      <c r="AS61" s="461">
        <v>45478</v>
      </c>
      <c r="AT61" s="98" t="s">
        <v>952</v>
      </c>
      <c r="AU61" s="98" t="s">
        <v>65</v>
      </c>
      <c r="AV61" s="98" t="s">
        <v>1006</v>
      </c>
      <c r="AW61" s="98" t="s">
        <v>940</v>
      </c>
      <c r="AX61" s="98">
        <v>16</v>
      </c>
      <c r="AY61" s="98" t="s">
        <v>55</v>
      </c>
      <c r="AZ61"/>
      <c r="BA61"/>
      <c r="BB61" s="98" t="s">
        <v>58</v>
      </c>
      <c r="BC61" s="98" t="s">
        <v>59</v>
      </c>
      <c r="BD61" s="98" t="s">
        <v>55</v>
      </c>
      <c r="BE61" s="98" t="s">
        <v>1008</v>
      </c>
      <c r="BF61">
        <v>40800000</v>
      </c>
    </row>
    <row r="62" spans="8:58" x14ac:dyDescent="0.3">
      <c r="H62" s="463">
        <v>45478</v>
      </c>
      <c r="I62" s="38" t="s">
        <v>940</v>
      </c>
      <c r="J62" s="38"/>
      <c r="K62" s="38"/>
      <c r="L62" s="38"/>
      <c r="M62" s="38"/>
      <c r="N62" s="38"/>
      <c r="O62" s="38" t="s">
        <v>62</v>
      </c>
      <c r="P62" s="38">
        <v>101</v>
      </c>
      <c r="S62"/>
      <c r="T62"/>
      <c r="U62"/>
      <c r="V62"/>
      <c r="W62"/>
      <c r="X62"/>
      <c r="Y62"/>
      <c r="Z62"/>
      <c r="AA62"/>
      <c r="AC62" s="462">
        <v>45478</v>
      </c>
      <c r="AD62" t="s">
        <v>952</v>
      </c>
      <c r="AE62" t="s">
        <v>1006</v>
      </c>
      <c r="AF62"/>
      <c r="AG62" t="s">
        <v>65</v>
      </c>
      <c r="AH62" t="s">
        <v>62</v>
      </c>
      <c r="AI62">
        <v>50500000</v>
      </c>
      <c r="AS62" s="461">
        <v>45478</v>
      </c>
      <c r="AT62" s="98" t="s">
        <v>952</v>
      </c>
      <c r="AU62" s="98" t="s">
        <v>65</v>
      </c>
      <c r="AV62" s="98" t="s">
        <v>1006</v>
      </c>
      <c r="AW62" s="98" t="s">
        <v>940</v>
      </c>
      <c r="AX62" s="98">
        <v>16</v>
      </c>
      <c r="AY62" s="98" t="s">
        <v>55</v>
      </c>
      <c r="AZ62"/>
      <c r="BA62"/>
      <c r="BB62" s="98" t="s">
        <v>62</v>
      </c>
      <c r="BC62" s="98" t="s">
        <v>63</v>
      </c>
      <c r="BD62" s="98" t="s">
        <v>55</v>
      </c>
      <c r="BE62" s="98" t="s">
        <v>1008</v>
      </c>
      <c r="BF62">
        <v>50500000</v>
      </c>
    </row>
    <row r="63" spans="8:58" x14ac:dyDescent="0.3">
      <c r="H63" s="463">
        <v>45488</v>
      </c>
      <c r="I63" s="38" t="s">
        <v>939</v>
      </c>
      <c r="J63" s="38" t="s">
        <v>1005</v>
      </c>
      <c r="K63" s="38" t="s">
        <v>996</v>
      </c>
      <c r="L63" s="38" t="s">
        <v>978</v>
      </c>
      <c r="M63" s="38">
        <v>13</v>
      </c>
      <c r="N63" s="38">
        <v>131700000</v>
      </c>
      <c r="O63" s="38" t="s">
        <v>29</v>
      </c>
      <c r="P63" s="38">
        <v>202</v>
      </c>
      <c r="S63"/>
      <c r="T63"/>
      <c r="U63"/>
      <c r="V63"/>
      <c r="W63"/>
      <c r="X63"/>
      <c r="Y63"/>
      <c r="Z63"/>
      <c r="AA63"/>
      <c r="AC63" s="462">
        <v>45488</v>
      </c>
      <c r="AD63" t="s">
        <v>56</v>
      </c>
      <c r="AE63" t="s">
        <v>1005</v>
      </c>
      <c r="AF63">
        <v>131700000</v>
      </c>
      <c r="AG63" t="s">
        <v>54</v>
      </c>
      <c r="AH63" t="s">
        <v>29</v>
      </c>
      <c r="AI63">
        <v>40400000</v>
      </c>
      <c r="AS63" s="461">
        <v>45488</v>
      </c>
      <c r="AT63" s="98" t="s">
        <v>56</v>
      </c>
      <c r="AU63" s="98" t="s">
        <v>54</v>
      </c>
      <c r="AV63" s="98" t="s">
        <v>1005</v>
      </c>
      <c r="AW63" s="98" t="s">
        <v>939</v>
      </c>
      <c r="AX63" s="98">
        <v>13</v>
      </c>
      <c r="AY63" s="98" t="s">
        <v>55</v>
      </c>
      <c r="AZ63" s="98">
        <v>0</v>
      </c>
      <c r="BA63" s="98">
        <v>131700000</v>
      </c>
      <c r="BB63" s="98" t="s">
        <v>29</v>
      </c>
      <c r="BC63" s="98" t="s">
        <v>52</v>
      </c>
      <c r="BD63" s="98" t="s">
        <v>55</v>
      </c>
      <c r="BE63" s="98" t="s">
        <v>1008</v>
      </c>
      <c r="BF63">
        <v>40400000</v>
      </c>
    </row>
    <row r="64" spans="8:58" x14ac:dyDescent="0.3">
      <c r="H64" s="463">
        <v>45488</v>
      </c>
      <c r="I64" s="38" t="s">
        <v>939</v>
      </c>
      <c r="J64" s="38"/>
      <c r="K64" s="38"/>
      <c r="L64" s="38"/>
      <c r="M64" s="38"/>
      <c r="N64" s="38"/>
      <c r="O64" s="38" t="s">
        <v>58</v>
      </c>
      <c r="P64" s="38">
        <v>136</v>
      </c>
      <c r="S64"/>
      <c r="T64"/>
      <c r="U64"/>
      <c r="V64"/>
      <c r="W64"/>
      <c r="X64"/>
      <c r="Y64"/>
      <c r="Z64"/>
      <c r="AA64"/>
      <c r="AC64" s="462">
        <v>45488</v>
      </c>
      <c r="AD64" t="s">
        <v>56</v>
      </c>
      <c r="AE64" t="s">
        <v>1005</v>
      </c>
      <c r="AF64"/>
      <c r="AG64" t="s">
        <v>54</v>
      </c>
      <c r="AH64" t="s">
        <v>58</v>
      </c>
      <c r="AI64">
        <v>40800000</v>
      </c>
      <c r="AS64" s="461">
        <v>45488</v>
      </c>
      <c r="AT64" s="98" t="s">
        <v>56</v>
      </c>
      <c r="AU64" s="98" t="s">
        <v>54</v>
      </c>
      <c r="AV64" s="98" t="s">
        <v>1005</v>
      </c>
      <c r="AW64" s="98" t="s">
        <v>939</v>
      </c>
      <c r="AX64" s="98">
        <v>13</v>
      </c>
      <c r="AY64" s="98" t="s">
        <v>55</v>
      </c>
      <c r="AZ64"/>
      <c r="BA64"/>
      <c r="BB64" s="98" t="s">
        <v>58</v>
      </c>
      <c r="BC64" s="98" t="s">
        <v>59</v>
      </c>
      <c r="BD64" s="98" t="s">
        <v>55</v>
      </c>
      <c r="BE64" s="98" t="s">
        <v>1008</v>
      </c>
      <c r="BF64">
        <v>40800000</v>
      </c>
    </row>
    <row r="65" spans="8:58" x14ac:dyDescent="0.3">
      <c r="H65" s="463">
        <v>45488</v>
      </c>
      <c r="I65" s="38" t="s">
        <v>939</v>
      </c>
      <c r="J65" s="38"/>
      <c r="K65" s="38"/>
      <c r="L65" s="38"/>
      <c r="M65" s="38"/>
      <c r="N65" s="38"/>
      <c r="O65" s="38" t="s">
        <v>62</v>
      </c>
      <c r="P65" s="38">
        <v>101</v>
      </c>
      <c r="S65"/>
      <c r="T65"/>
      <c r="U65"/>
      <c r="V65"/>
      <c r="W65"/>
      <c r="X65"/>
      <c r="Y65"/>
      <c r="Z65"/>
      <c r="AA65"/>
      <c r="AC65" s="462">
        <v>45488</v>
      </c>
      <c r="AD65" t="s">
        <v>56</v>
      </c>
      <c r="AE65" t="s">
        <v>1005</v>
      </c>
      <c r="AF65"/>
      <c r="AG65" t="s">
        <v>54</v>
      </c>
      <c r="AH65" t="s">
        <v>62</v>
      </c>
      <c r="AI65">
        <v>50500000</v>
      </c>
      <c r="AS65" s="461">
        <v>45488</v>
      </c>
      <c r="AT65" s="98" t="s">
        <v>56</v>
      </c>
      <c r="AU65" s="98" t="s">
        <v>54</v>
      </c>
      <c r="AV65" s="98" t="s">
        <v>1005</v>
      </c>
      <c r="AW65" s="98" t="s">
        <v>939</v>
      </c>
      <c r="AX65" s="98">
        <v>13</v>
      </c>
      <c r="AY65" s="98" t="s">
        <v>55</v>
      </c>
      <c r="AZ65"/>
      <c r="BA65"/>
      <c r="BB65" s="98" t="s">
        <v>62</v>
      </c>
      <c r="BC65" s="98" t="s">
        <v>63</v>
      </c>
      <c r="BD65" s="98" t="s">
        <v>55</v>
      </c>
      <c r="BE65" s="98" t="s">
        <v>1008</v>
      </c>
      <c r="BF65">
        <v>50500000</v>
      </c>
    </row>
    <row r="66" spans="8:58" x14ac:dyDescent="0.3">
      <c r="H66" s="463">
        <v>45498</v>
      </c>
      <c r="I66" s="38" t="s">
        <v>942</v>
      </c>
      <c r="J66" s="38" t="s">
        <v>1005</v>
      </c>
      <c r="K66" s="38" t="s">
        <v>999</v>
      </c>
      <c r="L66" s="38" t="s">
        <v>979</v>
      </c>
      <c r="M66" s="38">
        <v>8</v>
      </c>
      <c r="N66" s="38">
        <v>134300000</v>
      </c>
      <c r="O66" s="38" t="s">
        <v>29</v>
      </c>
      <c r="P66" s="38">
        <v>212</v>
      </c>
      <c r="S66"/>
      <c r="T66"/>
      <c r="U66"/>
      <c r="V66"/>
      <c r="W66"/>
      <c r="X66"/>
      <c r="Y66"/>
      <c r="Z66"/>
      <c r="AA66"/>
      <c r="AC66" s="462">
        <v>45498</v>
      </c>
      <c r="AD66" t="s">
        <v>950</v>
      </c>
      <c r="AE66" t="s">
        <v>1005</v>
      </c>
      <c r="AF66">
        <v>134300000</v>
      </c>
      <c r="AG66" t="s">
        <v>54</v>
      </c>
      <c r="AH66" t="s">
        <v>29</v>
      </c>
      <c r="AI66">
        <v>42400000</v>
      </c>
      <c r="AS66" s="461">
        <v>45498</v>
      </c>
      <c r="AT66" s="98" t="s">
        <v>950</v>
      </c>
      <c r="AU66" s="98" t="s">
        <v>54</v>
      </c>
      <c r="AV66" s="98" t="s">
        <v>1005</v>
      </c>
      <c r="AW66" s="98" t="s">
        <v>942</v>
      </c>
      <c r="AX66" s="98">
        <v>8</v>
      </c>
      <c r="AY66" s="98" t="s">
        <v>55</v>
      </c>
      <c r="AZ66" s="98">
        <v>0</v>
      </c>
      <c r="BA66" s="98">
        <v>134300000</v>
      </c>
      <c r="BB66" s="98" t="s">
        <v>29</v>
      </c>
      <c r="BC66" s="98" t="s">
        <v>52</v>
      </c>
      <c r="BD66" s="98" t="s">
        <v>55</v>
      </c>
      <c r="BE66" s="98" t="s">
        <v>1008</v>
      </c>
      <c r="BF66">
        <v>42400000</v>
      </c>
    </row>
    <row r="67" spans="8:58" x14ac:dyDescent="0.3">
      <c r="H67" s="463">
        <v>45498</v>
      </c>
      <c r="I67" s="38" t="s">
        <v>942</v>
      </c>
      <c r="J67" s="38"/>
      <c r="K67" s="38"/>
      <c r="L67" s="38"/>
      <c r="M67" s="38"/>
      <c r="N67" s="38"/>
      <c r="O67" s="38" t="s">
        <v>58</v>
      </c>
      <c r="P67" s="38">
        <v>133</v>
      </c>
      <c r="S67"/>
      <c r="T67"/>
      <c r="U67"/>
      <c r="V67"/>
      <c r="W67"/>
      <c r="X67"/>
      <c r="Y67"/>
      <c r="Z67"/>
      <c r="AA67"/>
      <c r="AC67" s="462">
        <v>45498</v>
      </c>
      <c r="AD67" t="s">
        <v>950</v>
      </c>
      <c r="AE67" t="s">
        <v>1005</v>
      </c>
      <c r="AF67"/>
      <c r="AG67" t="s">
        <v>54</v>
      </c>
      <c r="AH67" t="s">
        <v>58</v>
      </c>
      <c r="AI67">
        <v>39900000</v>
      </c>
      <c r="AS67" s="461">
        <v>45498</v>
      </c>
      <c r="AT67" s="98" t="s">
        <v>950</v>
      </c>
      <c r="AU67" s="98" t="s">
        <v>54</v>
      </c>
      <c r="AV67" s="98" t="s">
        <v>1005</v>
      </c>
      <c r="AW67" s="98" t="s">
        <v>942</v>
      </c>
      <c r="AX67" s="98">
        <v>8</v>
      </c>
      <c r="AY67" s="98" t="s">
        <v>55</v>
      </c>
      <c r="AZ67"/>
      <c r="BA67"/>
      <c r="BB67" s="98" t="s">
        <v>58</v>
      </c>
      <c r="BC67" s="98" t="s">
        <v>59</v>
      </c>
      <c r="BD67" s="98" t="s">
        <v>55</v>
      </c>
      <c r="BE67" s="98" t="s">
        <v>1008</v>
      </c>
      <c r="BF67">
        <v>39900000</v>
      </c>
    </row>
    <row r="68" spans="8:58" x14ac:dyDescent="0.3">
      <c r="H68" s="463">
        <v>45498</v>
      </c>
      <c r="I68" s="38" t="s">
        <v>942</v>
      </c>
      <c r="J68" s="38"/>
      <c r="K68" s="38"/>
      <c r="L68" s="38"/>
      <c r="M68" s="38"/>
      <c r="N68" s="38"/>
      <c r="O68" s="38" t="s">
        <v>62</v>
      </c>
      <c r="P68" s="38">
        <v>104</v>
      </c>
      <c r="S68"/>
      <c r="T68"/>
      <c r="U68"/>
      <c r="V68"/>
      <c r="W68"/>
      <c r="X68"/>
      <c r="Y68"/>
      <c r="Z68"/>
      <c r="AA68"/>
      <c r="AC68" s="462">
        <v>45498</v>
      </c>
      <c r="AD68" t="s">
        <v>950</v>
      </c>
      <c r="AE68" t="s">
        <v>1005</v>
      </c>
      <c r="AF68"/>
      <c r="AG68" t="s">
        <v>54</v>
      </c>
      <c r="AH68" t="s">
        <v>62</v>
      </c>
      <c r="AI68">
        <v>52000000</v>
      </c>
      <c r="AS68" s="461">
        <v>45498</v>
      </c>
      <c r="AT68" s="98" t="s">
        <v>950</v>
      </c>
      <c r="AU68" s="98" t="s">
        <v>54</v>
      </c>
      <c r="AV68" s="98" t="s">
        <v>1005</v>
      </c>
      <c r="AW68" s="98" t="s">
        <v>942</v>
      </c>
      <c r="AX68" s="98">
        <v>8</v>
      </c>
      <c r="AY68" s="98" t="s">
        <v>55</v>
      </c>
      <c r="AZ68"/>
      <c r="BA68"/>
      <c r="BB68" s="98" t="s">
        <v>62</v>
      </c>
      <c r="BC68" s="98" t="s">
        <v>63</v>
      </c>
      <c r="BD68" s="98" t="s">
        <v>55</v>
      </c>
      <c r="BE68" s="98" t="s">
        <v>1008</v>
      </c>
      <c r="BF68">
        <v>52000000</v>
      </c>
    </row>
    <row r="69" spans="8:58" x14ac:dyDescent="0.3">
      <c r="H69" s="463">
        <v>45509</v>
      </c>
      <c r="I69" s="38" t="s">
        <v>943</v>
      </c>
      <c r="J69" s="38" t="s">
        <v>1006</v>
      </c>
      <c r="K69" s="38" t="s">
        <v>1000</v>
      </c>
      <c r="L69" s="38" t="s">
        <v>980</v>
      </c>
      <c r="M69" s="38">
        <v>6</v>
      </c>
      <c r="N69" s="38">
        <v>136900000</v>
      </c>
      <c r="O69" s="38" t="s">
        <v>29</v>
      </c>
      <c r="P69" s="38">
        <v>223</v>
      </c>
      <c r="S69"/>
      <c r="T69"/>
      <c r="U69"/>
      <c r="V69"/>
      <c r="W69"/>
      <c r="X69"/>
      <c r="Y69"/>
      <c r="Z69"/>
      <c r="AA69"/>
      <c r="AC69" s="462">
        <v>45509</v>
      </c>
      <c r="AD69" t="s">
        <v>949</v>
      </c>
      <c r="AE69" t="s">
        <v>1006</v>
      </c>
      <c r="AF69">
        <v>136900000</v>
      </c>
      <c r="AG69" t="s">
        <v>54</v>
      </c>
      <c r="AH69" t="s">
        <v>29</v>
      </c>
      <c r="AI69">
        <v>44600000</v>
      </c>
      <c r="AS69" s="461">
        <v>45509</v>
      </c>
      <c r="AT69" s="98" t="s">
        <v>949</v>
      </c>
      <c r="AU69" s="98" t="s">
        <v>54</v>
      </c>
      <c r="AV69" s="98" t="s">
        <v>1006</v>
      </c>
      <c r="AW69" s="98" t="s">
        <v>943</v>
      </c>
      <c r="AX69" s="98">
        <v>6</v>
      </c>
      <c r="AY69" s="98" t="s">
        <v>55</v>
      </c>
      <c r="AZ69" s="98">
        <v>0</v>
      </c>
      <c r="BA69" s="98">
        <v>136900000</v>
      </c>
      <c r="BB69" s="98" t="s">
        <v>29</v>
      </c>
      <c r="BC69" s="98" t="s">
        <v>52</v>
      </c>
      <c r="BD69" s="98" t="s">
        <v>55</v>
      </c>
      <c r="BE69" s="98" t="s">
        <v>1008</v>
      </c>
      <c r="BF69">
        <v>44600000</v>
      </c>
    </row>
    <row r="70" spans="8:58" x14ac:dyDescent="0.3">
      <c r="H70" s="463">
        <v>45509</v>
      </c>
      <c r="I70" s="38" t="s">
        <v>943</v>
      </c>
      <c r="J70" s="38"/>
      <c r="K70" s="38"/>
      <c r="L70" s="38"/>
      <c r="M70" s="38"/>
      <c r="N70" s="38"/>
      <c r="O70" s="38" t="s">
        <v>58</v>
      </c>
      <c r="P70" s="38">
        <v>136</v>
      </c>
      <c r="S70"/>
      <c r="T70"/>
      <c r="U70"/>
      <c r="V70"/>
      <c r="W70"/>
      <c r="X70"/>
      <c r="Y70"/>
      <c r="Z70"/>
      <c r="AA70"/>
      <c r="AC70" s="462">
        <v>45509</v>
      </c>
      <c r="AD70" t="s">
        <v>949</v>
      </c>
      <c r="AE70" t="s">
        <v>1006</v>
      </c>
      <c r="AF70"/>
      <c r="AG70" t="s">
        <v>54</v>
      </c>
      <c r="AH70" t="s">
        <v>58</v>
      </c>
      <c r="AI70">
        <v>40800000</v>
      </c>
      <c r="AS70" s="461">
        <v>45509</v>
      </c>
      <c r="AT70" s="98" t="s">
        <v>949</v>
      </c>
      <c r="AU70" s="98" t="s">
        <v>54</v>
      </c>
      <c r="AV70" s="98" t="s">
        <v>1006</v>
      </c>
      <c r="AW70" s="98" t="s">
        <v>943</v>
      </c>
      <c r="AX70" s="98">
        <v>6</v>
      </c>
      <c r="AY70" s="98" t="s">
        <v>55</v>
      </c>
      <c r="AZ70"/>
      <c r="BA70"/>
      <c r="BB70" s="98" t="s">
        <v>58</v>
      </c>
      <c r="BC70" s="98" t="s">
        <v>59</v>
      </c>
      <c r="BD70" s="98" t="s">
        <v>55</v>
      </c>
      <c r="BE70" s="98" t="s">
        <v>1008</v>
      </c>
      <c r="BF70">
        <v>40800000</v>
      </c>
    </row>
    <row r="71" spans="8:58" x14ac:dyDescent="0.3">
      <c r="H71" s="463">
        <v>45509</v>
      </c>
      <c r="I71" s="38" t="s">
        <v>943</v>
      </c>
      <c r="J71" s="38"/>
      <c r="K71" s="38"/>
      <c r="L71" s="38"/>
      <c r="M71" s="38"/>
      <c r="N71" s="38"/>
      <c r="O71" s="38" t="s">
        <v>62</v>
      </c>
      <c r="P71" s="38">
        <v>103</v>
      </c>
      <c r="S71"/>
      <c r="T71"/>
      <c r="U71"/>
      <c r="V71"/>
      <c r="W71"/>
      <c r="X71"/>
      <c r="Y71"/>
      <c r="Z71"/>
      <c r="AA71"/>
      <c r="AC71" s="462">
        <v>45509</v>
      </c>
      <c r="AD71" t="s">
        <v>949</v>
      </c>
      <c r="AE71" t="s">
        <v>1006</v>
      </c>
      <c r="AF71"/>
      <c r="AG71" t="s">
        <v>54</v>
      </c>
      <c r="AH71" t="s">
        <v>62</v>
      </c>
      <c r="AI71">
        <v>51500000</v>
      </c>
      <c r="AS71" s="461">
        <v>45509</v>
      </c>
      <c r="AT71" s="98" t="s">
        <v>949</v>
      </c>
      <c r="AU71" s="98" t="s">
        <v>54</v>
      </c>
      <c r="AV71" s="98" t="s">
        <v>1006</v>
      </c>
      <c r="AW71" s="98" t="s">
        <v>943</v>
      </c>
      <c r="AX71" s="98">
        <v>6</v>
      </c>
      <c r="AY71" s="98" t="s">
        <v>55</v>
      </c>
      <c r="AZ71"/>
      <c r="BA71"/>
      <c r="BB71" s="98" t="s">
        <v>62</v>
      </c>
      <c r="BC71" s="98" t="s">
        <v>63</v>
      </c>
      <c r="BD71" s="98" t="s">
        <v>55</v>
      </c>
      <c r="BE71" s="98" t="s">
        <v>1008</v>
      </c>
      <c r="BF71">
        <v>51500000</v>
      </c>
    </row>
    <row r="72" spans="8:58" x14ac:dyDescent="0.3">
      <c r="H72" s="463">
        <v>45519</v>
      </c>
      <c r="I72" s="38" t="s">
        <v>940</v>
      </c>
      <c r="J72" s="38" t="s">
        <v>1006</v>
      </c>
      <c r="K72" s="38" t="s">
        <v>997</v>
      </c>
      <c r="L72" s="38" t="s">
        <v>981</v>
      </c>
      <c r="M72" s="38">
        <v>17</v>
      </c>
      <c r="N72" s="38">
        <v>140200000</v>
      </c>
      <c r="O72" s="38" t="s">
        <v>29</v>
      </c>
      <c r="P72" s="38">
        <v>234</v>
      </c>
      <c r="S72"/>
      <c r="T72"/>
      <c r="U72"/>
      <c r="V72"/>
      <c r="W72"/>
      <c r="X72"/>
      <c r="Y72"/>
      <c r="Z72"/>
      <c r="AA72"/>
      <c r="AC72" s="462">
        <v>45519</v>
      </c>
      <c r="AD72" t="s">
        <v>951</v>
      </c>
      <c r="AE72" t="s">
        <v>1006</v>
      </c>
      <c r="AF72">
        <v>140200000</v>
      </c>
      <c r="AG72" t="s">
        <v>65</v>
      </c>
      <c r="AH72" t="s">
        <v>29</v>
      </c>
      <c r="AI72">
        <v>46800000</v>
      </c>
      <c r="AS72" s="461">
        <v>45519</v>
      </c>
      <c r="AT72" s="98" t="s">
        <v>951</v>
      </c>
      <c r="AU72" s="98" t="s">
        <v>65</v>
      </c>
      <c r="AV72" s="98" t="s">
        <v>1006</v>
      </c>
      <c r="AW72" s="98" t="s">
        <v>940</v>
      </c>
      <c r="AX72" s="98">
        <v>17</v>
      </c>
      <c r="AY72" s="98" t="s">
        <v>55</v>
      </c>
      <c r="AZ72" s="98">
        <v>0</v>
      </c>
      <c r="BA72" s="98">
        <v>140200000</v>
      </c>
      <c r="BB72" s="98" t="s">
        <v>29</v>
      </c>
      <c r="BC72" s="98" t="s">
        <v>52</v>
      </c>
      <c r="BD72" s="98" t="s">
        <v>55</v>
      </c>
      <c r="BE72" s="98" t="s">
        <v>1008</v>
      </c>
      <c r="BF72">
        <v>46800000</v>
      </c>
    </row>
    <row r="73" spans="8:58" x14ac:dyDescent="0.3">
      <c r="H73" s="463">
        <v>45519</v>
      </c>
      <c r="I73" s="38" t="s">
        <v>940</v>
      </c>
      <c r="J73" s="38"/>
      <c r="K73" s="38"/>
      <c r="L73" s="38"/>
      <c r="M73" s="38"/>
      <c r="N73" s="38"/>
      <c r="O73" s="38" t="s">
        <v>58</v>
      </c>
      <c r="P73" s="38">
        <v>133</v>
      </c>
      <c r="S73"/>
      <c r="T73"/>
      <c r="U73"/>
      <c r="V73"/>
      <c r="W73"/>
      <c r="X73"/>
      <c r="Y73"/>
      <c r="Z73"/>
      <c r="AA73"/>
      <c r="AC73" s="462">
        <v>45519</v>
      </c>
      <c r="AD73" t="s">
        <v>951</v>
      </c>
      <c r="AE73" t="s">
        <v>1006</v>
      </c>
      <c r="AF73"/>
      <c r="AG73" t="s">
        <v>65</v>
      </c>
      <c r="AH73" t="s">
        <v>58</v>
      </c>
      <c r="AI73">
        <v>39900000</v>
      </c>
      <c r="AS73" s="461">
        <v>45519</v>
      </c>
      <c r="AT73" s="98" t="s">
        <v>951</v>
      </c>
      <c r="AU73" s="98" t="s">
        <v>65</v>
      </c>
      <c r="AV73" s="98" t="s">
        <v>1006</v>
      </c>
      <c r="AW73" s="98" t="s">
        <v>940</v>
      </c>
      <c r="AX73" s="98">
        <v>17</v>
      </c>
      <c r="AY73" s="98" t="s">
        <v>55</v>
      </c>
      <c r="AZ73"/>
      <c r="BA73"/>
      <c r="BB73" s="98" t="s">
        <v>58</v>
      </c>
      <c r="BC73" s="98" t="s">
        <v>59</v>
      </c>
      <c r="BD73" s="98" t="s">
        <v>55</v>
      </c>
      <c r="BE73" s="98" t="s">
        <v>1008</v>
      </c>
      <c r="BF73">
        <v>39900000</v>
      </c>
    </row>
    <row r="74" spans="8:58" x14ac:dyDescent="0.3">
      <c r="H74" s="463">
        <v>45519</v>
      </c>
      <c r="I74" s="38" t="s">
        <v>940</v>
      </c>
      <c r="J74" s="38"/>
      <c r="K74" s="38"/>
      <c r="L74" s="38"/>
      <c r="M74" s="38"/>
      <c r="N74" s="38"/>
      <c r="O74" s="38" t="s">
        <v>62</v>
      </c>
      <c r="P74" s="38">
        <v>107</v>
      </c>
      <c r="S74"/>
      <c r="T74"/>
      <c r="U74"/>
      <c r="V74"/>
      <c r="W74"/>
      <c r="X74"/>
      <c r="Y74"/>
      <c r="Z74"/>
      <c r="AA74"/>
      <c r="AC74" s="462">
        <v>45519</v>
      </c>
      <c r="AD74" t="s">
        <v>951</v>
      </c>
      <c r="AE74" t="s">
        <v>1006</v>
      </c>
      <c r="AF74"/>
      <c r="AG74" t="s">
        <v>65</v>
      </c>
      <c r="AH74" t="s">
        <v>62</v>
      </c>
      <c r="AI74">
        <v>53500000</v>
      </c>
      <c r="AS74" s="461">
        <v>45519</v>
      </c>
      <c r="AT74" s="98" t="s">
        <v>951</v>
      </c>
      <c r="AU74" s="98" t="s">
        <v>65</v>
      </c>
      <c r="AV74" s="98" t="s">
        <v>1006</v>
      </c>
      <c r="AW74" s="98" t="s">
        <v>940</v>
      </c>
      <c r="AX74" s="98">
        <v>17</v>
      </c>
      <c r="AY74" s="98" t="s">
        <v>55</v>
      </c>
      <c r="AZ74"/>
      <c r="BA74"/>
      <c r="BB74" s="98" t="s">
        <v>62</v>
      </c>
      <c r="BC74" s="98" t="s">
        <v>63</v>
      </c>
      <c r="BD74" s="98" t="s">
        <v>55</v>
      </c>
      <c r="BE74" s="98" t="s">
        <v>1008</v>
      </c>
      <c r="BF74">
        <v>53500000</v>
      </c>
    </row>
    <row r="75" spans="8:58" x14ac:dyDescent="0.3">
      <c r="H75" s="463">
        <v>45529</v>
      </c>
      <c r="I75" s="38" t="s">
        <v>939</v>
      </c>
      <c r="J75" s="38" t="s">
        <v>1005</v>
      </c>
      <c r="K75" s="38" t="s">
        <v>996</v>
      </c>
      <c r="L75" s="38" t="s">
        <v>982</v>
      </c>
      <c r="M75" s="38">
        <v>14</v>
      </c>
      <c r="N75" s="38">
        <v>143900000</v>
      </c>
      <c r="O75" s="38" t="s">
        <v>29</v>
      </c>
      <c r="P75" s="38">
        <v>239</v>
      </c>
      <c r="S75"/>
      <c r="T75"/>
      <c r="U75"/>
      <c r="V75"/>
      <c r="W75"/>
      <c r="X75"/>
      <c r="Y75"/>
      <c r="Z75"/>
      <c r="AA75"/>
      <c r="AC75" s="462">
        <v>45529</v>
      </c>
      <c r="AD75" t="s">
        <v>949</v>
      </c>
      <c r="AE75" t="s">
        <v>1005</v>
      </c>
      <c r="AF75">
        <v>143900000</v>
      </c>
      <c r="AG75" t="s">
        <v>54</v>
      </c>
      <c r="AH75" t="s">
        <v>29</v>
      </c>
      <c r="AI75">
        <v>47800000</v>
      </c>
      <c r="AS75" s="461">
        <v>45529</v>
      </c>
      <c r="AT75" s="98" t="s">
        <v>949</v>
      </c>
      <c r="AU75" s="98" t="s">
        <v>54</v>
      </c>
      <c r="AV75" s="98" t="s">
        <v>1005</v>
      </c>
      <c r="AW75" s="98" t="s">
        <v>939</v>
      </c>
      <c r="AX75" s="98">
        <v>14</v>
      </c>
      <c r="AY75" s="98" t="s">
        <v>55</v>
      </c>
      <c r="AZ75" s="98">
        <v>0</v>
      </c>
      <c r="BA75" s="98">
        <v>143900000</v>
      </c>
      <c r="BB75" s="98" t="s">
        <v>29</v>
      </c>
      <c r="BC75" s="98" t="s">
        <v>52</v>
      </c>
      <c r="BD75" s="98" t="s">
        <v>55</v>
      </c>
      <c r="BE75" s="98" t="s">
        <v>1008</v>
      </c>
      <c r="BF75">
        <v>47800000</v>
      </c>
    </row>
    <row r="76" spans="8:58" x14ac:dyDescent="0.3">
      <c r="H76" s="463">
        <v>45529</v>
      </c>
      <c r="I76" s="38" t="s">
        <v>939</v>
      </c>
      <c r="J76" s="38"/>
      <c r="K76" s="38"/>
      <c r="L76" s="38"/>
      <c r="M76" s="38"/>
      <c r="N76" s="38"/>
      <c r="O76" s="38" t="s">
        <v>58</v>
      </c>
      <c r="P76" s="38">
        <v>137</v>
      </c>
      <c r="S76"/>
      <c r="T76"/>
      <c r="U76"/>
      <c r="V76"/>
      <c r="W76"/>
      <c r="X76"/>
      <c r="Y76"/>
      <c r="Z76"/>
      <c r="AA76"/>
      <c r="AC76" s="462">
        <v>45529</v>
      </c>
      <c r="AD76" t="s">
        <v>949</v>
      </c>
      <c r="AE76" t="s">
        <v>1005</v>
      </c>
      <c r="AF76"/>
      <c r="AG76" t="s">
        <v>54</v>
      </c>
      <c r="AH76" t="s">
        <v>58</v>
      </c>
      <c r="AI76">
        <v>41100000</v>
      </c>
      <c r="AS76" s="461">
        <v>45529</v>
      </c>
      <c r="AT76" s="98" t="s">
        <v>949</v>
      </c>
      <c r="AU76" s="98" t="s">
        <v>54</v>
      </c>
      <c r="AV76" s="98" t="s">
        <v>1005</v>
      </c>
      <c r="AW76" s="98" t="s">
        <v>939</v>
      </c>
      <c r="AX76" s="98">
        <v>14</v>
      </c>
      <c r="AY76" s="98" t="s">
        <v>55</v>
      </c>
      <c r="AZ76"/>
      <c r="BA76"/>
      <c r="BB76" s="98" t="s">
        <v>58</v>
      </c>
      <c r="BC76" s="98" t="s">
        <v>59</v>
      </c>
      <c r="BD76" s="98" t="s">
        <v>55</v>
      </c>
      <c r="BE76" s="98" t="s">
        <v>1008</v>
      </c>
      <c r="BF76">
        <v>41100000</v>
      </c>
    </row>
    <row r="77" spans="8:58" x14ac:dyDescent="0.3">
      <c r="H77" s="463">
        <v>45529</v>
      </c>
      <c r="I77" s="38" t="s">
        <v>939</v>
      </c>
      <c r="J77" s="38"/>
      <c r="K77" s="38"/>
      <c r="L77" s="38"/>
      <c r="M77" s="38"/>
      <c r="N77" s="38"/>
      <c r="O77" s="38" t="s">
        <v>62</v>
      </c>
      <c r="P77" s="38">
        <v>110</v>
      </c>
      <c r="S77"/>
      <c r="T77"/>
      <c r="U77"/>
      <c r="V77"/>
      <c r="W77"/>
      <c r="X77"/>
      <c r="Y77"/>
      <c r="Z77"/>
      <c r="AA77"/>
      <c r="AC77" s="462">
        <v>45529</v>
      </c>
      <c r="AD77" t="s">
        <v>949</v>
      </c>
      <c r="AE77" t="s">
        <v>1005</v>
      </c>
      <c r="AF77"/>
      <c r="AG77" t="s">
        <v>54</v>
      </c>
      <c r="AH77" t="s">
        <v>62</v>
      </c>
      <c r="AI77">
        <v>55000000</v>
      </c>
      <c r="AS77" s="461">
        <v>45529</v>
      </c>
      <c r="AT77" s="98" t="s">
        <v>949</v>
      </c>
      <c r="AU77" s="98" t="s">
        <v>54</v>
      </c>
      <c r="AV77" s="98" t="s">
        <v>1005</v>
      </c>
      <c r="AW77" s="98" t="s">
        <v>939</v>
      </c>
      <c r="AX77" s="98">
        <v>14</v>
      </c>
      <c r="AY77" s="98" t="s">
        <v>55</v>
      </c>
      <c r="AZ77"/>
      <c r="BA77"/>
      <c r="BB77" s="98" t="s">
        <v>62</v>
      </c>
      <c r="BC77" s="98" t="s">
        <v>63</v>
      </c>
      <c r="BD77" s="98" t="s">
        <v>55</v>
      </c>
      <c r="BE77" s="98" t="s">
        <v>1008</v>
      </c>
      <c r="BF77">
        <v>55000000</v>
      </c>
    </row>
    <row r="78" spans="8:58" x14ac:dyDescent="0.3">
      <c r="H78" s="463">
        <v>45540</v>
      </c>
      <c r="I78" s="38" t="s">
        <v>941</v>
      </c>
      <c r="J78" s="38" t="s">
        <v>1006</v>
      </c>
      <c r="K78" s="38" t="s">
        <v>998</v>
      </c>
      <c r="L78" s="38" t="s">
        <v>983</v>
      </c>
      <c r="M78" s="38">
        <v>12</v>
      </c>
      <c r="N78" s="38">
        <v>146100000</v>
      </c>
      <c r="O78" s="38" t="s">
        <v>29</v>
      </c>
      <c r="P78" s="38">
        <v>251</v>
      </c>
      <c r="S78"/>
      <c r="T78"/>
      <c r="U78"/>
      <c r="V78"/>
      <c r="W78"/>
      <c r="X78"/>
      <c r="Y78"/>
      <c r="Z78"/>
      <c r="AA78"/>
      <c r="AC78"/>
      <c r="AD78"/>
      <c r="AE78"/>
      <c r="AF78"/>
      <c r="AG78"/>
      <c r="AH78"/>
      <c r="AI78"/>
      <c r="AS78" s="461">
        <v>45540</v>
      </c>
      <c r="AT78" s="98" t="s">
        <v>60</v>
      </c>
      <c r="AU78" s="98" t="s">
        <v>65</v>
      </c>
      <c r="AV78" s="98" t="s">
        <v>1006</v>
      </c>
      <c r="AW78" s="98" t="s">
        <v>941</v>
      </c>
      <c r="AX78" s="98">
        <v>12</v>
      </c>
      <c r="AY78" s="98" t="s">
        <v>55</v>
      </c>
      <c r="AZ78" s="98">
        <v>0</v>
      </c>
      <c r="BA78" s="98">
        <v>146100000</v>
      </c>
      <c r="BB78" s="98" t="s">
        <v>29</v>
      </c>
      <c r="BC78" s="98" t="s">
        <v>52</v>
      </c>
      <c r="BD78" s="98" t="s">
        <v>55</v>
      </c>
      <c r="BE78" s="98" t="s">
        <v>1008</v>
      </c>
      <c r="BF78">
        <v>50200000</v>
      </c>
    </row>
    <row r="79" spans="8:58" x14ac:dyDescent="0.3">
      <c r="H79" s="463">
        <v>45540</v>
      </c>
      <c r="I79" s="38" t="s">
        <v>941</v>
      </c>
      <c r="J79" s="38"/>
      <c r="K79" s="38"/>
      <c r="L79" s="38"/>
      <c r="M79" s="38"/>
      <c r="N79" s="38"/>
      <c r="O79" s="38" t="s">
        <v>58</v>
      </c>
      <c r="P79" s="38">
        <v>138</v>
      </c>
      <c r="S79"/>
      <c r="T79"/>
      <c r="U79"/>
      <c r="V79"/>
      <c r="W79"/>
      <c r="X79"/>
      <c r="Y79"/>
      <c r="Z79"/>
      <c r="AA79"/>
      <c r="AC79"/>
      <c r="AD79"/>
      <c r="AE79"/>
      <c r="AF79"/>
      <c r="AG79"/>
      <c r="AH79"/>
      <c r="AI79"/>
      <c r="AS79" s="461">
        <v>45540</v>
      </c>
      <c r="AT79" s="98" t="s">
        <v>60</v>
      </c>
      <c r="AU79" s="98" t="s">
        <v>65</v>
      </c>
      <c r="AV79" s="98" t="s">
        <v>1006</v>
      </c>
      <c r="AW79" s="98" t="s">
        <v>941</v>
      </c>
      <c r="AX79" s="98">
        <v>12</v>
      </c>
      <c r="AY79" s="98" t="s">
        <v>55</v>
      </c>
      <c r="AZ79"/>
      <c r="BA79"/>
      <c r="BB79" s="98" t="s">
        <v>58</v>
      </c>
      <c r="BC79" s="98" t="s">
        <v>59</v>
      </c>
      <c r="BD79" s="98" t="s">
        <v>55</v>
      </c>
      <c r="BE79" s="98" t="s">
        <v>1008</v>
      </c>
      <c r="BF79">
        <v>41400000</v>
      </c>
    </row>
    <row r="80" spans="8:58" x14ac:dyDescent="0.3">
      <c r="H80" s="463">
        <v>45540</v>
      </c>
      <c r="I80" s="38" t="s">
        <v>941</v>
      </c>
      <c r="J80" s="38"/>
      <c r="K80" s="38"/>
      <c r="L80" s="38"/>
      <c r="M80" s="38"/>
      <c r="N80" s="38"/>
      <c r="O80" s="38" t="s">
        <v>62</v>
      </c>
      <c r="P80" s="38">
        <v>109</v>
      </c>
      <c r="S80"/>
      <c r="T80"/>
      <c r="U80"/>
      <c r="V80"/>
      <c r="W80"/>
      <c r="X80"/>
      <c r="Y80"/>
      <c r="Z80"/>
      <c r="AA80"/>
      <c r="AC80"/>
      <c r="AD80"/>
      <c r="AE80"/>
      <c r="AF80"/>
      <c r="AG80"/>
      <c r="AH80"/>
      <c r="AI80"/>
      <c r="AS80" s="461">
        <v>45540</v>
      </c>
      <c r="AT80" s="98" t="s">
        <v>60</v>
      </c>
      <c r="AU80" s="98" t="s">
        <v>65</v>
      </c>
      <c r="AV80" s="98" t="s">
        <v>1006</v>
      </c>
      <c r="AW80" s="98" t="s">
        <v>941</v>
      </c>
      <c r="AX80" s="98">
        <v>12</v>
      </c>
      <c r="AY80" s="98" t="s">
        <v>55</v>
      </c>
      <c r="AZ80"/>
      <c r="BA80"/>
      <c r="BB80" s="98" t="s">
        <v>62</v>
      </c>
      <c r="BC80" s="98" t="s">
        <v>63</v>
      </c>
      <c r="BD80" s="98" t="s">
        <v>55</v>
      </c>
      <c r="BE80" s="98" t="s">
        <v>1008</v>
      </c>
      <c r="BF80">
        <v>54500000</v>
      </c>
    </row>
    <row r="81" spans="8:58" x14ac:dyDescent="0.3">
      <c r="H81" s="463">
        <v>45550</v>
      </c>
      <c r="I81" s="38" t="s">
        <v>943</v>
      </c>
      <c r="J81" s="38" t="s">
        <v>1006</v>
      </c>
      <c r="K81" s="38" t="s">
        <v>1000</v>
      </c>
      <c r="L81" s="38" t="s">
        <v>984</v>
      </c>
      <c r="M81" s="38">
        <v>7</v>
      </c>
      <c r="N81" s="38">
        <v>146700000</v>
      </c>
      <c r="O81" s="38" t="s">
        <v>29</v>
      </c>
      <c r="P81" s="38">
        <v>256</v>
      </c>
      <c r="S81"/>
      <c r="T81"/>
      <c r="U81"/>
      <c r="V81"/>
      <c r="W81"/>
      <c r="X81"/>
      <c r="Y81"/>
      <c r="Z81"/>
      <c r="AA81"/>
      <c r="AC81"/>
      <c r="AD81"/>
      <c r="AE81"/>
      <c r="AF81"/>
      <c r="AG81"/>
      <c r="AH81"/>
      <c r="AI81"/>
      <c r="AS81" s="461">
        <v>45550</v>
      </c>
      <c r="AT81" s="98" t="s">
        <v>60</v>
      </c>
      <c r="AU81" s="98" t="s">
        <v>54</v>
      </c>
      <c r="AV81" s="98" t="s">
        <v>1006</v>
      </c>
      <c r="AW81" s="98" t="s">
        <v>943</v>
      </c>
      <c r="AX81" s="98">
        <v>7</v>
      </c>
      <c r="AY81" s="98" t="s">
        <v>55</v>
      </c>
      <c r="AZ81" s="98">
        <v>0</v>
      </c>
      <c r="BA81" s="98">
        <v>146700000</v>
      </c>
      <c r="BB81" s="98" t="s">
        <v>29</v>
      </c>
      <c r="BC81" s="98" t="s">
        <v>52</v>
      </c>
      <c r="BD81" s="98" t="s">
        <v>55</v>
      </c>
      <c r="BE81" s="98" t="s">
        <v>1008</v>
      </c>
      <c r="BF81">
        <v>51200000</v>
      </c>
    </row>
    <row r="82" spans="8:58" x14ac:dyDescent="0.3">
      <c r="H82" s="463">
        <v>45550</v>
      </c>
      <c r="I82" s="38" t="s">
        <v>943</v>
      </c>
      <c r="J82" s="38"/>
      <c r="K82" s="38"/>
      <c r="L82" s="38"/>
      <c r="M82" s="38"/>
      <c r="N82" s="38"/>
      <c r="O82" s="38" t="s">
        <v>58</v>
      </c>
      <c r="P82" s="38">
        <v>135</v>
      </c>
      <c r="S82"/>
      <c r="T82"/>
      <c r="U82"/>
      <c r="V82"/>
      <c r="W82"/>
      <c r="X82"/>
      <c r="Y82"/>
      <c r="Z82"/>
      <c r="AA82"/>
      <c r="AC82"/>
      <c r="AD82"/>
      <c r="AE82"/>
      <c r="AF82"/>
      <c r="AG82"/>
      <c r="AH82"/>
      <c r="AI82"/>
      <c r="AS82" s="461">
        <v>45550</v>
      </c>
      <c r="AT82" s="98" t="s">
        <v>60</v>
      </c>
      <c r="AU82" s="98" t="s">
        <v>54</v>
      </c>
      <c r="AV82" s="98" t="s">
        <v>1006</v>
      </c>
      <c r="AW82" s="98" t="s">
        <v>943</v>
      </c>
      <c r="AX82" s="98">
        <v>7</v>
      </c>
      <c r="AY82" s="98" t="s">
        <v>55</v>
      </c>
      <c r="AZ82"/>
      <c r="BA82"/>
      <c r="BB82" s="98" t="s">
        <v>58</v>
      </c>
      <c r="BC82" s="98" t="s">
        <v>59</v>
      </c>
      <c r="BD82" s="98" t="s">
        <v>55</v>
      </c>
      <c r="BE82" s="98" t="s">
        <v>1008</v>
      </c>
      <c r="BF82">
        <v>40500000</v>
      </c>
    </row>
    <row r="83" spans="8:58" x14ac:dyDescent="0.3">
      <c r="H83" s="463">
        <v>45550</v>
      </c>
      <c r="I83" s="38" t="s">
        <v>943</v>
      </c>
      <c r="J83" s="38"/>
      <c r="K83" s="38"/>
      <c r="L83" s="38"/>
      <c r="M83" s="38"/>
      <c r="N83" s="38"/>
      <c r="O83" s="38" t="s">
        <v>62</v>
      </c>
      <c r="P83" s="38">
        <v>110</v>
      </c>
      <c r="S83"/>
      <c r="T83"/>
      <c r="U83"/>
      <c r="V83"/>
      <c r="W83"/>
      <c r="X83"/>
      <c r="Y83"/>
      <c r="Z83"/>
      <c r="AA83"/>
      <c r="AC83"/>
      <c r="AD83"/>
      <c r="AE83"/>
      <c r="AF83"/>
      <c r="AG83"/>
      <c r="AH83"/>
      <c r="AI83"/>
      <c r="AS83" s="461">
        <v>45550</v>
      </c>
      <c r="AT83" s="98" t="s">
        <v>60</v>
      </c>
      <c r="AU83" s="98" t="s">
        <v>54</v>
      </c>
      <c r="AV83" s="98" t="s">
        <v>1006</v>
      </c>
      <c r="AW83" s="98" t="s">
        <v>943</v>
      </c>
      <c r="AX83" s="98">
        <v>7</v>
      </c>
      <c r="AY83" s="98" t="s">
        <v>55</v>
      </c>
      <c r="AZ83"/>
      <c r="BA83"/>
      <c r="BB83" s="98" t="s">
        <v>62</v>
      </c>
      <c r="BC83" s="98" t="s">
        <v>63</v>
      </c>
      <c r="BD83" s="98" t="s">
        <v>55</v>
      </c>
      <c r="BE83" s="98" t="s">
        <v>1008</v>
      </c>
      <c r="BF83">
        <v>55000000</v>
      </c>
    </row>
    <row r="84" spans="8:58" x14ac:dyDescent="0.3">
      <c r="H84" s="463">
        <v>45560</v>
      </c>
      <c r="I84" s="38" t="s">
        <v>939</v>
      </c>
      <c r="J84" s="38" t="s">
        <v>1005</v>
      </c>
      <c r="K84" s="38" t="s">
        <v>996</v>
      </c>
      <c r="L84" s="38" t="s">
        <v>985</v>
      </c>
      <c r="M84" s="38">
        <v>15</v>
      </c>
      <c r="N84" s="38">
        <v>149900000</v>
      </c>
      <c r="O84" s="38" t="s">
        <v>29</v>
      </c>
      <c r="P84" s="38">
        <v>251</v>
      </c>
      <c r="S84"/>
      <c r="T84"/>
      <c r="U84"/>
      <c r="V84"/>
      <c r="W84"/>
      <c r="X84"/>
      <c r="Y84"/>
      <c r="Z84"/>
      <c r="AA84"/>
      <c r="AC84"/>
      <c r="AD84"/>
      <c r="AE84"/>
      <c r="AF84"/>
      <c r="AG84"/>
      <c r="AH84"/>
      <c r="AI84"/>
      <c r="AS84" s="461">
        <v>45560</v>
      </c>
      <c r="AT84" s="98" t="s">
        <v>949</v>
      </c>
      <c r="AU84" s="98" t="s">
        <v>54</v>
      </c>
      <c r="AV84" s="98" t="s">
        <v>1005</v>
      </c>
      <c r="AW84" s="98" t="s">
        <v>939</v>
      </c>
      <c r="AX84" s="98">
        <v>15</v>
      </c>
      <c r="AY84" s="98" t="s">
        <v>55</v>
      </c>
      <c r="AZ84" s="98">
        <v>0</v>
      </c>
      <c r="BA84" s="98">
        <v>149900000</v>
      </c>
      <c r="BB84" s="98" t="s">
        <v>29</v>
      </c>
      <c r="BC84" s="98" t="s">
        <v>52</v>
      </c>
      <c r="BD84" s="98" t="s">
        <v>55</v>
      </c>
      <c r="BE84" s="98" t="s">
        <v>1008</v>
      </c>
      <c r="BF84">
        <v>50200000</v>
      </c>
    </row>
    <row r="85" spans="8:58" x14ac:dyDescent="0.3">
      <c r="H85" s="463">
        <v>45560</v>
      </c>
      <c r="I85" s="38" t="s">
        <v>939</v>
      </c>
      <c r="J85" s="38"/>
      <c r="K85" s="38"/>
      <c r="L85" s="38"/>
      <c r="M85" s="38"/>
      <c r="N85" s="38"/>
      <c r="O85" s="38" t="s">
        <v>58</v>
      </c>
      <c r="P85" s="38">
        <v>139</v>
      </c>
      <c r="S85"/>
      <c r="T85"/>
      <c r="U85"/>
      <c r="V85"/>
      <c r="W85"/>
      <c r="X85"/>
      <c r="Y85"/>
      <c r="Z85"/>
      <c r="AA85"/>
      <c r="AC85"/>
      <c r="AD85"/>
      <c r="AE85"/>
      <c r="AF85"/>
      <c r="AG85"/>
      <c r="AH85"/>
      <c r="AI85"/>
      <c r="AS85" s="461">
        <v>45560</v>
      </c>
      <c r="AT85" s="98" t="s">
        <v>949</v>
      </c>
      <c r="AU85" s="98" t="s">
        <v>54</v>
      </c>
      <c r="AV85" s="98" t="s">
        <v>1005</v>
      </c>
      <c r="AW85" s="98" t="s">
        <v>939</v>
      </c>
      <c r="AX85" s="98">
        <v>15</v>
      </c>
      <c r="AY85" s="98" t="s">
        <v>55</v>
      </c>
      <c r="AZ85"/>
      <c r="BA85"/>
      <c r="BB85" s="98" t="s">
        <v>58</v>
      </c>
      <c r="BC85" s="98" t="s">
        <v>59</v>
      </c>
      <c r="BD85" s="98" t="s">
        <v>55</v>
      </c>
      <c r="BE85" s="98" t="s">
        <v>1008</v>
      </c>
      <c r="BF85">
        <v>41700000</v>
      </c>
    </row>
    <row r="86" spans="8:58" x14ac:dyDescent="0.3">
      <c r="H86" s="463">
        <v>45560</v>
      </c>
      <c r="I86" s="38" t="s">
        <v>939</v>
      </c>
      <c r="J86" s="38"/>
      <c r="K86" s="38"/>
      <c r="L86" s="38"/>
      <c r="M86" s="38"/>
      <c r="N86" s="38"/>
      <c r="O86" s="38" t="s">
        <v>62</v>
      </c>
      <c r="P86" s="38">
        <v>116</v>
      </c>
      <c r="S86"/>
      <c r="T86"/>
      <c r="U86"/>
      <c r="V86"/>
      <c r="W86"/>
      <c r="X86"/>
      <c r="Y86"/>
      <c r="Z86"/>
      <c r="AA86"/>
      <c r="AC86"/>
      <c r="AD86"/>
      <c r="AE86"/>
      <c r="AF86"/>
      <c r="AG86"/>
      <c r="AH86"/>
      <c r="AI86"/>
      <c r="AS86" s="461">
        <v>45560</v>
      </c>
      <c r="AT86" s="98" t="s">
        <v>949</v>
      </c>
      <c r="AU86" s="98" t="s">
        <v>54</v>
      </c>
      <c r="AV86" s="98" t="s">
        <v>1005</v>
      </c>
      <c r="AW86" s="98" t="s">
        <v>939</v>
      </c>
      <c r="AX86" s="98">
        <v>15</v>
      </c>
      <c r="AY86" s="98" t="s">
        <v>55</v>
      </c>
      <c r="AZ86"/>
      <c r="BA86"/>
      <c r="BB86" s="98" t="s">
        <v>62</v>
      </c>
      <c r="BC86" s="98" t="s">
        <v>63</v>
      </c>
      <c r="BD86" s="98" t="s">
        <v>55</v>
      </c>
      <c r="BE86" s="98" t="s">
        <v>1008</v>
      </c>
      <c r="BF86">
        <v>58000000</v>
      </c>
    </row>
    <row r="87" spans="8:58" x14ac:dyDescent="0.3">
      <c r="H87" s="463">
        <v>45570</v>
      </c>
      <c r="I87" s="38" t="s">
        <v>940</v>
      </c>
      <c r="J87" s="38" t="s">
        <v>1006</v>
      </c>
      <c r="K87" s="38" t="s">
        <v>997</v>
      </c>
      <c r="L87" s="38" t="s">
        <v>986</v>
      </c>
      <c r="M87" s="38">
        <v>18</v>
      </c>
      <c r="N87" s="38">
        <v>155100000</v>
      </c>
      <c r="O87" s="38" t="s">
        <v>29</v>
      </c>
      <c r="P87" s="38">
        <v>254</v>
      </c>
      <c r="S87"/>
      <c r="T87"/>
      <c r="U87"/>
      <c r="V87"/>
      <c r="W87"/>
      <c r="X87"/>
      <c r="Y87"/>
      <c r="Z87"/>
      <c r="AA87"/>
      <c r="AC87"/>
      <c r="AD87"/>
      <c r="AE87"/>
      <c r="AF87"/>
      <c r="AG87"/>
      <c r="AH87"/>
      <c r="AI87"/>
      <c r="AS87" s="461">
        <v>45570</v>
      </c>
      <c r="AT87" s="98" t="s">
        <v>56</v>
      </c>
      <c r="AU87" s="98" t="s">
        <v>54</v>
      </c>
      <c r="AV87" s="98" t="s">
        <v>1006</v>
      </c>
      <c r="AW87" s="98" t="s">
        <v>940</v>
      </c>
      <c r="AX87" s="98">
        <v>18</v>
      </c>
      <c r="AY87" s="98" t="s">
        <v>55</v>
      </c>
      <c r="AZ87" s="98">
        <v>0</v>
      </c>
      <c r="BA87" s="98">
        <v>155100000</v>
      </c>
      <c r="BB87" s="98" t="s">
        <v>29</v>
      </c>
      <c r="BC87" s="98" t="s">
        <v>52</v>
      </c>
      <c r="BD87" s="98" t="s">
        <v>55</v>
      </c>
      <c r="BE87" s="98" t="s">
        <v>1008</v>
      </c>
      <c r="BF87">
        <v>50800000</v>
      </c>
    </row>
    <row r="88" spans="8:58" x14ac:dyDescent="0.3">
      <c r="H88" s="463">
        <v>45570</v>
      </c>
      <c r="I88" s="38" t="s">
        <v>940</v>
      </c>
      <c r="J88" s="38"/>
      <c r="K88" s="38"/>
      <c r="L88" s="38"/>
      <c r="M88" s="38"/>
      <c r="N88" s="38"/>
      <c r="O88" s="38" t="s">
        <v>58</v>
      </c>
      <c r="P88" s="38">
        <v>146</v>
      </c>
      <c r="S88"/>
      <c r="T88"/>
      <c r="U88"/>
      <c r="V88"/>
      <c r="W88"/>
      <c r="X88"/>
      <c r="Y88"/>
      <c r="Z88"/>
      <c r="AA88"/>
      <c r="AC88"/>
      <c r="AD88"/>
      <c r="AE88"/>
      <c r="AF88"/>
      <c r="AG88"/>
      <c r="AH88"/>
      <c r="AI88"/>
      <c r="AS88" s="461">
        <v>45570</v>
      </c>
      <c r="AT88" s="98" t="s">
        <v>56</v>
      </c>
      <c r="AU88" s="98" t="s">
        <v>54</v>
      </c>
      <c r="AV88" s="98" t="s">
        <v>1006</v>
      </c>
      <c r="AW88" s="98" t="s">
        <v>940</v>
      </c>
      <c r="AX88" s="98">
        <v>18</v>
      </c>
      <c r="AY88" s="98" t="s">
        <v>55</v>
      </c>
      <c r="AZ88"/>
      <c r="BA88"/>
      <c r="BB88" s="98" t="s">
        <v>58</v>
      </c>
      <c r="BC88" s="98" t="s">
        <v>59</v>
      </c>
      <c r="BD88" s="98" t="s">
        <v>55</v>
      </c>
      <c r="BE88" s="98" t="s">
        <v>1008</v>
      </c>
      <c r="BF88">
        <v>43800000</v>
      </c>
    </row>
    <row r="89" spans="8:58" x14ac:dyDescent="0.3">
      <c r="H89" s="463">
        <v>45570</v>
      </c>
      <c r="I89" s="38" t="s">
        <v>940</v>
      </c>
      <c r="J89" s="38"/>
      <c r="K89" s="38"/>
      <c r="L89" s="38"/>
      <c r="M89" s="38"/>
      <c r="N89" s="38"/>
      <c r="O89" s="38" t="s">
        <v>62</v>
      </c>
      <c r="P89" s="38">
        <v>121</v>
      </c>
      <c r="S89"/>
      <c r="T89"/>
      <c r="U89"/>
      <c r="V89"/>
      <c r="W89"/>
      <c r="X89"/>
      <c r="Y89"/>
      <c r="Z89"/>
      <c r="AA89"/>
      <c r="AC89"/>
      <c r="AD89"/>
      <c r="AE89"/>
      <c r="AF89"/>
      <c r="AG89"/>
      <c r="AH89"/>
      <c r="AI89"/>
      <c r="AS89" s="461">
        <v>45570</v>
      </c>
      <c r="AT89" s="98" t="s">
        <v>56</v>
      </c>
      <c r="AU89" s="98" t="s">
        <v>54</v>
      </c>
      <c r="AV89" s="98" t="s">
        <v>1006</v>
      </c>
      <c r="AW89" s="98" t="s">
        <v>940</v>
      </c>
      <c r="AX89" s="98">
        <v>18</v>
      </c>
      <c r="AY89" s="98" t="s">
        <v>55</v>
      </c>
      <c r="AZ89"/>
      <c r="BA89"/>
      <c r="BB89" s="98" t="s">
        <v>62</v>
      </c>
      <c r="BC89" s="98" t="s">
        <v>63</v>
      </c>
      <c r="BD89" s="98" t="s">
        <v>55</v>
      </c>
      <c r="BE89" s="98" t="s">
        <v>1008</v>
      </c>
      <c r="BF89">
        <v>60500000</v>
      </c>
    </row>
    <row r="90" spans="8:58" x14ac:dyDescent="0.3">
      <c r="H90" s="463">
        <v>45580</v>
      </c>
      <c r="I90" s="38" t="s">
        <v>942</v>
      </c>
      <c r="J90" s="38" t="s">
        <v>1005</v>
      </c>
      <c r="K90" s="38" t="s">
        <v>999</v>
      </c>
      <c r="L90" s="38" t="s">
        <v>987</v>
      </c>
      <c r="M90" s="38">
        <v>9</v>
      </c>
      <c r="N90" s="38">
        <v>155000000</v>
      </c>
      <c r="O90" s="38" t="s">
        <v>29</v>
      </c>
      <c r="P90" s="38">
        <v>257</v>
      </c>
      <c r="S90"/>
      <c r="T90"/>
      <c r="U90"/>
      <c r="V90"/>
      <c r="W90"/>
      <c r="X90"/>
      <c r="Y90"/>
      <c r="Z90"/>
      <c r="AA90"/>
      <c r="AC90"/>
      <c r="AD90"/>
      <c r="AE90"/>
      <c r="AF90"/>
      <c r="AG90"/>
      <c r="AH90"/>
      <c r="AI90"/>
      <c r="AS90" s="461">
        <v>45580</v>
      </c>
      <c r="AT90" s="98" t="s">
        <v>950</v>
      </c>
      <c r="AU90" s="98" t="s">
        <v>65</v>
      </c>
      <c r="AV90" s="98" t="s">
        <v>1005</v>
      </c>
      <c r="AW90" s="98" t="s">
        <v>942</v>
      </c>
      <c r="AX90" s="98">
        <v>9</v>
      </c>
      <c r="AY90" s="98" t="s">
        <v>55</v>
      </c>
      <c r="AZ90" s="98">
        <v>0</v>
      </c>
      <c r="BA90" s="98">
        <v>155000000</v>
      </c>
      <c r="BB90" s="98" t="s">
        <v>29</v>
      </c>
      <c r="BC90" s="98" t="s">
        <v>52</v>
      </c>
      <c r="BD90" s="98" t="s">
        <v>55</v>
      </c>
      <c r="BE90" s="98" t="s">
        <v>1008</v>
      </c>
      <c r="BF90">
        <v>51400000</v>
      </c>
    </row>
    <row r="91" spans="8:58" x14ac:dyDescent="0.3">
      <c r="H91" s="463">
        <v>45580</v>
      </c>
      <c r="I91" s="38" t="s">
        <v>942</v>
      </c>
      <c r="J91" s="38"/>
      <c r="K91" s="38"/>
      <c r="L91" s="38"/>
      <c r="M91" s="38"/>
      <c r="N91" s="38"/>
      <c r="O91" s="38" t="s">
        <v>58</v>
      </c>
      <c r="P91" s="38">
        <v>147</v>
      </c>
      <c r="S91"/>
      <c r="T91"/>
      <c r="U91"/>
      <c r="V91"/>
      <c r="W91"/>
      <c r="X91"/>
      <c r="Y91"/>
      <c r="Z91"/>
      <c r="AA91"/>
      <c r="AC91"/>
      <c r="AD91"/>
      <c r="AE91"/>
      <c r="AF91"/>
      <c r="AG91"/>
      <c r="AH91"/>
      <c r="AI91"/>
      <c r="AS91" s="461">
        <v>45580</v>
      </c>
      <c r="AT91" s="98" t="s">
        <v>950</v>
      </c>
      <c r="AU91" s="98" t="s">
        <v>65</v>
      </c>
      <c r="AV91" s="98" t="s">
        <v>1005</v>
      </c>
      <c r="AW91" s="98" t="s">
        <v>942</v>
      </c>
      <c r="AX91" s="98">
        <v>9</v>
      </c>
      <c r="AY91" s="98" t="s">
        <v>55</v>
      </c>
      <c r="AZ91"/>
      <c r="BA91"/>
      <c r="BB91" s="98" t="s">
        <v>58</v>
      </c>
      <c r="BC91" s="98" t="s">
        <v>59</v>
      </c>
      <c r="BD91" s="98" t="s">
        <v>55</v>
      </c>
      <c r="BE91" s="98" t="s">
        <v>1008</v>
      </c>
      <c r="BF91">
        <v>44100000</v>
      </c>
    </row>
    <row r="92" spans="8:58" x14ac:dyDescent="0.3">
      <c r="H92" s="463">
        <v>45580</v>
      </c>
      <c r="I92" s="38" t="s">
        <v>942</v>
      </c>
      <c r="J92" s="38"/>
      <c r="K92" s="38"/>
      <c r="L92" s="38"/>
      <c r="M92" s="38"/>
      <c r="N92" s="38"/>
      <c r="O92" s="38" t="s">
        <v>62</v>
      </c>
      <c r="P92" s="38">
        <v>119</v>
      </c>
      <c r="S92"/>
      <c r="T92"/>
      <c r="U92"/>
      <c r="V92"/>
      <c r="W92"/>
      <c r="X92"/>
      <c r="Y92"/>
      <c r="Z92"/>
      <c r="AA92"/>
      <c r="AC92"/>
      <c r="AD92"/>
      <c r="AE92"/>
      <c r="AF92"/>
      <c r="AG92"/>
      <c r="AH92"/>
      <c r="AI92"/>
      <c r="AS92" s="461">
        <v>45580</v>
      </c>
      <c r="AT92" s="98" t="s">
        <v>950</v>
      </c>
      <c r="AU92" s="98" t="s">
        <v>65</v>
      </c>
      <c r="AV92" s="98" t="s">
        <v>1005</v>
      </c>
      <c r="AW92" s="98" t="s">
        <v>942</v>
      </c>
      <c r="AX92" s="98">
        <v>9</v>
      </c>
      <c r="AY92" s="98" t="s">
        <v>55</v>
      </c>
      <c r="AZ92"/>
      <c r="BA92"/>
      <c r="BB92" s="98" t="s">
        <v>62</v>
      </c>
      <c r="BC92" s="98" t="s">
        <v>63</v>
      </c>
      <c r="BD92" s="98" t="s">
        <v>55</v>
      </c>
      <c r="BE92" s="98" t="s">
        <v>1008</v>
      </c>
      <c r="BF92">
        <v>59500000</v>
      </c>
    </row>
    <row r="93" spans="8:58" x14ac:dyDescent="0.3">
      <c r="H93" s="463">
        <v>45590</v>
      </c>
      <c r="I93" s="38" t="s">
        <v>941</v>
      </c>
      <c r="J93" s="38" t="s">
        <v>1006</v>
      </c>
      <c r="K93" s="38" t="s">
        <v>998</v>
      </c>
      <c r="L93" s="38" t="s">
        <v>988</v>
      </c>
      <c r="M93" s="38">
        <v>13</v>
      </c>
      <c r="N93" s="38">
        <v>159200000</v>
      </c>
      <c r="O93" s="38" t="s">
        <v>29</v>
      </c>
      <c r="P93" s="38">
        <v>270</v>
      </c>
      <c r="S93"/>
      <c r="T93"/>
      <c r="U93"/>
      <c r="V93"/>
      <c r="W93"/>
      <c r="X93"/>
      <c r="Y93"/>
      <c r="Z93"/>
      <c r="AA93"/>
      <c r="AC93"/>
      <c r="AD93"/>
      <c r="AE93"/>
      <c r="AF93"/>
      <c r="AG93"/>
      <c r="AH93"/>
      <c r="AI93"/>
      <c r="AS93" s="461">
        <v>45590</v>
      </c>
      <c r="AT93" s="98" t="s">
        <v>60</v>
      </c>
      <c r="AU93" s="98" t="s">
        <v>54</v>
      </c>
      <c r="AV93" s="98" t="s">
        <v>1006</v>
      </c>
      <c r="AW93" s="98" t="s">
        <v>941</v>
      </c>
      <c r="AX93" s="98">
        <v>13</v>
      </c>
      <c r="AY93" s="98" t="s">
        <v>55</v>
      </c>
      <c r="AZ93" s="98">
        <v>0</v>
      </c>
      <c r="BA93" s="98">
        <v>159200000</v>
      </c>
      <c r="BB93" s="98" t="s">
        <v>29</v>
      </c>
      <c r="BC93" s="98" t="s">
        <v>52</v>
      </c>
      <c r="BD93" s="98" t="s">
        <v>55</v>
      </c>
      <c r="BE93" s="98" t="s">
        <v>1008</v>
      </c>
      <c r="BF93">
        <v>54000000</v>
      </c>
    </row>
    <row r="94" spans="8:58" x14ac:dyDescent="0.3">
      <c r="H94" s="463">
        <v>45590</v>
      </c>
      <c r="I94" s="38" t="s">
        <v>941</v>
      </c>
      <c r="J94" s="38"/>
      <c r="K94" s="38"/>
      <c r="L94" s="38"/>
      <c r="M94" s="38"/>
      <c r="N94" s="38"/>
      <c r="O94" s="38" t="s">
        <v>58</v>
      </c>
      <c r="P94" s="38">
        <v>154</v>
      </c>
      <c r="S94"/>
      <c r="T94"/>
      <c r="U94"/>
      <c r="V94"/>
      <c r="W94"/>
      <c r="X94"/>
      <c r="Y94"/>
      <c r="Z94"/>
      <c r="AA94"/>
      <c r="AC94"/>
      <c r="AD94"/>
      <c r="AE94"/>
      <c r="AF94"/>
      <c r="AG94"/>
      <c r="AH94"/>
      <c r="AI94"/>
      <c r="AS94" s="461">
        <v>45590</v>
      </c>
      <c r="AT94" s="98" t="s">
        <v>60</v>
      </c>
      <c r="AU94" s="98" t="s">
        <v>54</v>
      </c>
      <c r="AV94" s="98" t="s">
        <v>1006</v>
      </c>
      <c r="AW94" s="98" t="s">
        <v>941</v>
      </c>
      <c r="AX94" s="98">
        <v>13</v>
      </c>
      <c r="AY94" s="98" t="s">
        <v>55</v>
      </c>
      <c r="AZ94"/>
      <c r="BA94"/>
      <c r="BB94" s="98" t="s">
        <v>58</v>
      </c>
      <c r="BC94" s="98" t="s">
        <v>59</v>
      </c>
      <c r="BD94" s="98" t="s">
        <v>55</v>
      </c>
      <c r="BE94" s="98" t="s">
        <v>1008</v>
      </c>
      <c r="BF94">
        <v>46200000</v>
      </c>
    </row>
    <row r="95" spans="8:58" x14ac:dyDescent="0.3">
      <c r="H95" s="463">
        <v>45590</v>
      </c>
      <c r="I95" s="38" t="s">
        <v>941</v>
      </c>
      <c r="J95" s="38"/>
      <c r="K95" s="38"/>
      <c r="L95" s="38"/>
      <c r="M95" s="38"/>
      <c r="N95" s="38"/>
      <c r="O95" s="38" t="s">
        <v>62</v>
      </c>
      <c r="P95" s="38">
        <v>118</v>
      </c>
      <c r="S95"/>
      <c r="T95"/>
      <c r="U95"/>
      <c r="V95"/>
      <c r="W95"/>
      <c r="X95"/>
      <c r="Y95"/>
      <c r="Z95"/>
      <c r="AA95"/>
      <c r="AC95"/>
      <c r="AD95"/>
      <c r="AE95"/>
      <c r="AF95"/>
      <c r="AG95"/>
      <c r="AH95"/>
      <c r="AI95"/>
      <c r="AS95" s="461">
        <v>45590</v>
      </c>
      <c r="AT95" s="98" t="s">
        <v>60</v>
      </c>
      <c r="AU95" s="98" t="s">
        <v>54</v>
      </c>
      <c r="AV95" s="98" t="s">
        <v>1006</v>
      </c>
      <c r="AW95" s="98" t="s">
        <v>941</v>
      </c>
      <c r="AX95" s="98">
        <v>13</v>
      </c>
      <c r="AY95" s="98" t="s">
        <v>55</v>
      </c>
      <c r="AZ95"/>
      <c r="BA95"/>
      <c r="BB95" s="98" t="s">
        <v>62</v>
      </c>
      <c r="BC95" s="98" t="s">
        <v>63</v>
      </c>
      <c r="BD95" s="98" t="s">
        <v>55</v>
      </c>
      <c r="BE95" s="98" t="s">
        <v>1008</v>
      </c>
      <c r="BF95">
        <v>59000000</v>
      </c>
    </row>
    <row r="96" spans="8:58" x14ac:dyDescent="0.3">
      <c r="H96" s="463">
        <v>45601</v>
      </c>
      <c r="I96" s="38" t="s">
        <v>939</v>
      </c>
      <c r="J96" s="38" t="s">
        <v>1005</v>
      </c>
      <c r="K96" s="38" t="s">
        <v>996</v>
      </c>
      <c r="L96" s="38" t="s">
        <v>989</v>
      </c>
      <c r="M96" s="38">
        <v>16</v>
      </c>
      <c r="N96" s="38">
        <v>154600000</v>
      </c>
      <c r="O96" s="38" t="s">
        <v>29</v>
      </c>
      <c r="P96" s="38">
        <v>265</v>
      </c>
      <c r="S96"/>
      <c r="T96"/>
      <c r="U96"/>
      <c r="V96"/>
      <c r="W96"/>
      <c r="X96"/>
      <c r="Y96"/>
      <c r="Z96"/>
      <c r="AA96"/>
      <c r="AC96"/>
      <c r="AD96"/>
      <c r="AE96"/>
      <c r="AF96"/>
      <c r="AG96"/>
      <c r="AH96"/>
      <c r="AI96"/>
      <c r="AS96" s="461">
        <v>45601</v>
      </c>
      <c r="AT96" s="98" t="s">
        <v>949</v>
      </c>
      <c r="AU96" s="98" t="s">
        <v>54</v>
      </c>
      <c r="AV96" s="98" t="s">
        <v>1005</v>
      </c>
      <c r="AW96" s="98" t="s">
        <v>939</v>
      </c>
      <c r="AX96" s="98">
        <v>16</v>
      </c>
      <c r="AY96" s="98" t="s">
        <v>995</v>
      </c>
      <c r="AZ96" s="98">
        <v>5000000</v>
      </c>
      <c r="BA96" s="98">
        <v>154600000</v>
      </c>
      <c r="BB96" s="98" t="s">
        <v>29</v>
      </c>
      <c r="BC96" s="98" t="s">
        <v>52</v>
      </c>
      <c r="BD96" s="98" t="s">
        <v>55</v>
      </c>
      <c r="BE96" s="98" t="s">
        <v>1008</v>
      </c>
      <c r="BF96">
        <v>53000000</v>
      </c>
    </row>
    <row r="97" spans="8:58" x14ac:dyDescent="0.3">
      <c r="H97" s="463">
        <v>45601</v>
      </c>
      <c r="I97" s="38" t="s">
        <v>939</v>
      </c>
      <c r="J97" s="38"/>
      <c r="K97" s="38"/>
      <c r="L97" s="38"/>
      <c r="M97" s="38"/>
      <c r="N97" s="38"/>
      <c r="O97" s="38" t="s">
        <v>58</v>
      </c>
      <c r="P97" s="38">
        <v>162</v>
      </c>
      <c r="S97"/>
      <c r="T97"/>
      <c r="U97"/>
      <c r="V97"/>
      <c r="W97"/>
      <c r="X97"/>
      <c r="Y97"/>
      <c r="Z97"/>
      <c r="AA97"/>
      <c r="AC97"/>
      <c r="AD97"/>
      <c r="AE97"/>
      <c r="AF97"/>
      <c r="AG97"/>
      <c r="AH97"/>
      <c r="AI97"/>
      <c r="AS97" s="461">
        <v>45601</v>
      </c>
      <c r="AT97" s="98" t="s">
        <v>949</v>
      </c>
      <c r="AU97" s="98" t="s">
        <v>54</v>
      </c>
      <c r="AV97" s="98" t="s">
        <v>1005</v>
      </c>
      <c r="AW97" s="98" t="s">
        <v>939</v>
      </c>
      <c r="AX97" s="98">
        <v>16</v>
      </c>
      <c r="AY97" s="98" t="s">
        <v>995</v>
      </c>
      <c r="AZ97"/>
      <c r="BA97"/>
      <c r="BB97" s="98" t="s">
        <v>58</v>
      </c>
      <c r="BC97" s="98" t="s">
        <v>59</v>
      </c>
      <c r="BD97" s="98" t="s">
        <v>55</v>
      </c>
      <c r="BE97" s="98" t="s">
        <v>1008</v>
      </c>
      <c r="BF97">
        <v>48600000</v>
      </c>
    </row>
    <row r="98" spans="8:58" x14ac:dyDescent="0.3">
      <c r="H98" s="463">
        <v>45601</v>
      </c>
      <c r="I98" s="38" t="s">
        <v>939</v>
      </c>
      <c r="J98" s="38"/>
      <c r="K98" s="38"/>
      <c r="L98" s="38"/>
      <c r="M98" s="38"/>
      <c r="N98" s="38"/>
      <c r="O98" s="38" t="s">
        <v>62</v>
      </c>
      <c r="P98" s="38">
        <v>116</v>
      </c>
      <c r="S98"/>
      <c r="T98"/>
      <c r="U98"/>
      <c r="V98"/>
      <c r="W98"/>
      <c r="X98"/>
      <c r="Y98"/>
      <c r="Z98"/>
      <c r="AA98"/>
      <c r="AC98"/>
      <c r="AD98"/>
      <c r="AE98"/>
      <c r="AF98"/>
      <c r="AG98"/>
      <c r="AH98"/>
      <c r="AI98"/>
      <c r="AS98" s="461">
        <v>45601</v>
      </c>
      <c r="AT98" s="98" t="s">
        <v>949</v>
      </c>
      <c r="AU98" s="98" t="s">
        <v>54</v>
      </c>
      <c r="AV98" s="98" t="s">
        <v>1005</v>
      </c>
      <c r="AW98" s="98" t="s">
        <v>939</v>
      </c>
      <c r="AX98" s="98">
        <v>16</v>
      </c>
      <c r="AY98" s="98" t="s">
        <v>995</v>
      </c>
      <c r="AZ98"/>
      <c r="BA98"/>
      <c r="BB98" s="98" t="s">
        <v>62</v>
      </c>
      <c r="BC98" s="98" t="s">
        <v>63</v>
      </c>
      <c r="BD98" s="98" t="s">
        <v>55</v>
      </c>
      <c r="BE98" s="98" t="s">
        <v>1008</v>
      </c>
      <c r="BF98">
        <v>58000000</v>
      </c>
    </row>
    <row r="99" spans="8:58" x14ac:dyDescent="0.3">
      <c r="H99" s="463">
        <v>45611</v>
      </c>
      <c r="I99" s="38" t="s">
        <v>941</v>
      </c>
      <c r="J99" s="38" t="s">
        <v>1006</v>
      </c>
      <c r="K99" s="38" t="s">
        <v>998</v>
      </c>
      <c r="L99" s="38" t="s">
        <v>990</v>
      </c>
      <c r="M99" s="38">
        <v>14</v>
      </c>
      <c r="N99" s="38">
        <v>160000000</v>
      </c>
      <c r="O99" s="38" t="s">
        <v>29</v>
      </c>
      <c r="P99" s="38">
        <v>278</v>
      </c>
      <c r="S99"/>
      <c r="T99"/>
      <c r="U99"/>
      <c r="V99"/>
      <c r="W99"/>
      <c r="X99"/>
      <c r="Y99"/>
      <c r="Z99"/>
      <c r="AA99"/>
      <c r="AC99"/>
      <c r="AD99"/>
      <c r="AE99"/>
      <c r="AF99"/>
      <c r="AG99"/>
      <c r="AH99"/>
      <c r="AI99"/>
      <c r="AS99" s="461">
        <v>45611</v>
      </c>
      <c r="AT99" s="98" t="s">
        <v>949</v>
      </c>
      <c r="AU99" s="98" t="s">
        <v>54</v>
      </c>
      <c r="AV99" s="98" t="s">
        <v>1006</v>
      </c>
      <c r="AW99" s="98" t="s">
        <v>941</v>
      </c>
      <c r="AX99" s="98">
        <v>14</v>
      </c>
      <c r="AY99" s="98" t="s">
        <v>995</v>
      </c>
      <c r="AZ99" s="98">
        <v>5000000</v>
      </c>
      <c r="BA99" s="98">
        <v>160000000</v>
      </c>
      <c r="BB99" s="98" t="s">
        <v>29</v>
      </c>
      <c r="BC99" s="98" t="s">
        <v>52</v>
      </c>
      <c r="BD99" s="98" t="s">
        <v>55</v>
      </c>
      <c r="BE99" s="98" t="s">
        <v>1008</v>
      </c>
      <c r="BF99">
        <v>55600000</v>
      </c>
    </row>
    <row r="100" spans="8:58" x14ac:dyDescent="0.3">
      <c r="H100" s="463">
        <v>45611</v>
      </c>
      <c r="I100" s="38" t="s">
        <v>941</v>
      </c>
      <c r="J100" s="38"/>
      <c r="K100" s="38"/>
      <c r="L100" s="38"/>
      <c r="M100" s="38"/>
      <c r="N100" s="38"/>
      <c r="O100" s="38" t="s">
        <v>58</v>
      </c>
      <c r="P100" s="38">
        <v>168</v>
      </c>
      <c r="S100"/>
      <c r="T100"/>
      <c r="U100"/>
      <c r="V100"/>
      <c r="W100"/>
      <c r="X100"/>
      <c r="Y100"/>
      <c r="Z100"/>
      <c r="AA100"/>
      <c r="AC100"/>
      <c r="AD100"/>
      <c r="AE100"/>
      <c r="AF100"/>
      <c r="AG100"/>
      <c r="AH100"/>
      <c r="AI100"/>
      <c r="AS100" s="461">
        <v>45611</v>
      </c>
      <c r="AT100" s="98" t="s">
        <v>949</v>
      </c>
      <c r="AU100" s="98" t="s">
        <v>54</v>
      </c>
      <c r="AV100" s="98" t="s">
        <v>1006</v>
      </c>
      <c r="AW100" s="98" t="s">
        <v>941</v>
      </c>
      <c r="AX100" s="98">
        <v>14</v>
      </c>
      <c r="AY100" s="98" t="s">
        <v>995</v>
      </c>
      <c r="AZ100"/>
      <c r="BA100"/>
      <c r="BB100" s="98" t="s">
        <v>58</v>
      </c>
      <c r="BC100" s="98" t="s">
        <v>59</v>
      </c>
      <c r="BD100" s="98" t="s">
        <v>55</v>
      </c>
      <c r="BE100" s="98" t="s">
        <v>1008</v>
      </c>
      <c r="BF100">
        <v>50400000</v>
      </c>
    </row>
    <row r="101" spans="8:58" x14ac:dyDescent="0.3">
      <c r="H101" s="463">
        <v>45611</v>
      </c>
      <c r="I101" s="38" t="s">
        <v>941</v>
      </c>
      <c r="J101" s="38"/>
      <c r="K101" s="38"/>
      <c r="L101" s="38"/>
      <c r="M101" s="38"/>
      <c r="N101" s="38"/>
      <c r="O101" s="38" t="s">
        <v>62</v>
      </c>
      <c r="P101" s="38">
        <v>118</v>
      </c>
      <c r="S101"/>
      <c r="T101"/>
      <c r="U101"/>
      <c r="V101"/>
      <c r="W101"/>
      <c r="X101"/>
      <c r="Y101"/>
      <c r="Z101"/>
      <c r="AA101"/>
      <c r="AC101"/>
      <c r="AD101"/>
      <c r="AE101"/>
      <c r="AF101"/>
      <c r="AG101"/>
      <c r="AH101"/>
      <c r="AI101"/>
      <c r="AS101" s="461">
        <v>45611</v>
      </c>
      <c r="AT101" s="98" t="s">
        <v>949</v>
      </c>
      <c r="AU101" s="98" t="s">
        <v>54</v>
      </c>
      <c r="AV101" s="98" t="s">
        <v>1006</v>
      </c>
      <c r="AW101" s="98" t="s">
        <v>941</v>
      </c>
      <c r="AX101" s="98">
        <v>14</v>
      </c>
      <c r="AY101" s="98" t="s">
        <v>995</v>
      </c>
      <c r="AZ101"/>
      <c r="BA101"/>
      <c r="BB101" s="98" t="s">
        <v>62</v>
      </c>
      <c r="BC101" s="98" t="s">
        <v>63</v>
      </c>
      <c r="BD101" s="98" t="s">
        <v>55</v>
      </c>
      <c r="BE101" s="98" t="s">
        <v>1008</v>
      </c>
      <c r="BF101">
        <v>59000000</v>
      </c>
    </row>
    <row r="102" spans="8:58" x14ac:dyDescent="0.3">
      <c r="H102" s="463">
        <v>45621</v>
      </c>
      <c r="I102" s="38" t="s">
        <v>943</v>
      </c>
      <c r="J102" s="38" t="s">
        <v>1006</v>
      </c>
      <c r="K102" s="38" t="s">
        <v>1000</v>
      </c>
      <c r="L102" s="38" t="s">
        <v>991</v>
      </c>
      <c r="M102" s="38">
        <v>8</v>
      </c>
      <c r="N102" s="38">
        <v>162600000</v>
      </c>
      <c r="O102" s="38" t="s">
        <v>29</v>
      </c>
      <c r="P102" s="38">
        <v>284</v>
      </c>
      <c r="S102"/>
      <c r="T102"/>
      <c r="U102"/>
      <c r="V102"/>
      <c r="W102"/>
      <c r="X102"/>
      <c r="Y102"/>
      <c r="Z102"/>
      <c r="AA102"/>
      <c r="AC102"/>
      <c r="AD102"/>
      <c r="AE102"/>
      <c r="AF102"/>
      <c r="AG102"/>
      <c r="AH102"/>
      <c r="AI102"/>
      <c r="AS102" s="461">
        <v>45621</v>
      </c>
      <c r="AT102" s="98" t="s">
        <v>951</v>
      </c>
      <c r="AU102" s="98" t="s">
        <v>65</v>
      </c>
      <c r="AV102" s="98" t="s">
        <v>1006</v>
      </c>
      <c r="AW102" s="98" t="s">
        <v>943</v>
      </c>
      <c r="AX102" s="98">
        <v>8</v>
      </c>
      <c r="AY102" s="98" t="s">
        <v>995</v>
      </c>
      <c r="AZ102" s="98">
        <v>5000000</v>
      </c>
      <c r="BA102" s="98">
        <v>162600000</v>
      </c>
      <c r="BB102" s="98" t="s">
        <v>29</v>
      </c>
      <c r="BC102" s="98" t="s">
        <v>52</v>
      </c>
      <c r="BD102" s="98" t="s">
        <v>55</v>
      </c>
      <c r="BE102" s="98" t="s">
        <v>1008</v>
      </c>
      <c r="BF102">
        <v>56800000</v>
      </c>
    </row>
    <row r="103" spans="8:58" x14ac:dyDescent="0.3">
      <c r="H103" s="463">
        <v>45621</v>
      </c>
      <c r="I103" s="38" t="s">
        <v>943</v>
      </c>
      <c r="J103" s="38"/>
      <c r="K103" s="38"/>
      <c r="L103" s="38"/>
      <c r="M103" s="38"/>
      <c r="N103" s="38"/>
      <c r="O103" s="38" t="s">
        <v>58</v>
      </c>
      <c r="P103" s="38">
        <v>171</v>
      </c>
      <c r="S103"/>
      <c r="T103"/>
      <c r="U103"/>
      <c r="V103"/>
      <c r="W103"/>
      <c r="X103"/>
      <c r="Y103"/>
      <c r="Z103"/>
      <c r="AA103"/>
      <c r="AC103"/>
      <c r="AD103"/>
      <c r="AE103"/>
      <c r="AF103"/>
      <c r="AG103"/>
      <c r="AH103"/>
      <c r="AI103"/>
      <c r="AS103" s="461">
        <v>45621</v>
      </c>
      <c r="AT103" s="98" t="s">
        <v>951</v>
      </c>
      <c r="AU103" s="98" t="s">
        <v>65</v>
      </c>
      <c r="AV103" s="98" t="s">
        <v>1006</v>
      </c>
      <c r="AW103" s="98" t="s">
        <v>943</v>
      </c>
      <c r="AX103" s="98">
        <v>8</v>
      </c>
      <c r="AY103" s="98" t="s">
        <v>995</v>
      </c>
      <c r="AZ103"/>
      <c r="BA103"/>
      <c r="BB103" s="98" t="s">
        <v>58</v>
      </c>
      <c r="BC103" s="98" t="s">
        <v>59</v>
      </c>
      <c r="BD103" s="98" t="s">
        <v>55</v>
      </c>
      <c r="BE103" s="98" t="s">
        <v>1008</v>
      </c>
      <c r="BF103">
        <v>51300000</v>
      </c>
    </row>
    <row r="104" spans="8:58" x14ac:dyDescent="0.3">
      <c r="H104" s="463">
        <v>45621</v>
      </c>
      <c r="I104" s="38" t="s">
        <v>943</v>
      </c>
      <c r="J104" s="38"/>
      <c r="K104" s="38"/>
      <c r="L104" s="38"/>
      <c r="M104" s="38"/>
      <c r="N104" s="38"/>
      <c r="O104" s="38" t="s">
        <v>62</v>
      </c>
      <c r="P104" s="38">
        <v>119</v>
      </c>
      <c r="S104"/>
      <c r="T104"/>
      <c r="U104"/>
      <c r="V104"/>
      <c r="W104"/>
      <c r="X104"/>
      <c r="Y104"/>
      <c r="Z104"/>
      <c r="AA104"/>
      <c r="AC104"/>
      <c r="AD104"/>
      <c r="AE104"/>
      <c r="AF104"/>
      <c r="AG104"/>
      <c r="AH104"/>
      <c r="AI104"/>
      <c r="AS104" s="461">
        <v>45621</v>
      </c>
      <c r="AT104" s="98" t="s">
        <v>951</v>
      </c>
      <c r="AU104" s="98" t="s">
        <v>65</v>
      </c>
      <c r="AV104" s="98" t="s">
        <v>1006</v>
      </c>
      <c r="AW104" s="98" t="s">
        <v>943</v>
      </c>
      <c r="AX104" s="98">
        <v>8</v>
      </c>
      <c r="AY104" s="98" t="s">
        <v>995</v>
      </c>
      <c r="AZ104"/>
      <c r="BA104"/>
      <c r="BB104" s="98" t="s">
        <v>62</v>
      </c>
      <c r="BC104" s="98" t="s">
        <v>63</v>
      </c>
      <c r="BD104" s="98" t="s">
        <v>55</v>
      </c>
      <c r="BE104" s="98" t="s">
        <v>1008</v>
      </c>
      <c r="BF104">
        <v>59500000</v>
      </c>
    </row>
    <row r="105" spans="8:58" x14ac:dyDescent="0.3">
      <c r="H105" s="463">
        <v>45631</v>
      </c>
      <c r="I105" s="38" t="s">
        <v>944</v>
      </c>
      <c r="J105" s="38" t="s">
        <v>1005</v>
      </c>
      <c r="K105" s="38" t="s">
        <v>1001</v>
      </c>
      <c r="L105" s="38" t="s">
        <v>992</v>
      </c>
      <c r="M105" s="38">
        <v>4</v>
      </c>
      <c r="N105" s="38">
        <v>162900000</v>
      </c>
      <c r="O105" s="38" t="s">
        <v>29</v>
      </c>
      <c r="P105" s="38">
        <v>281</v>
      </c>
      <c r="S105"/>
      <c r="T105"/>
      <c r="U105"/>
      <c r="V105"/>
      <c r="W105"/>
      <c r="X105"/>
      <c r="Y105"/>
      <c r="Z105"/>
      <c r="AA105"/>
      <c r="AC105"/>
      <c r="AD105"/>
      <c r="AE105"/>
      <c r="AF105"/>
      <c r="AG105"/>
      <c r="AH105"/>
      <c r="AI105"/>
      <c r="AS105" s="461">
        <v>45631</v>
      </c>
      <c r="AT105" s="98" t="s">
        <v>56</v>
      </c>
      <c r="AU105" s="98" t="s">
        <v>54</v>
      </c>
      <c r="AV105" s="98" t="s">
        <v>1005</v>
      </c>
      <c r="AW105" s="98" t="s">
        <v>944</v>
      </c>
      <c r="AX105" s="98">
        <v>4</v>
      </c>
      <c r="AY105" s="98" t="s">
        <v>995</v>
      </c>
      <c r="AZ105" s="98">
        <v>5000000</v>
      </c>
      <c r="BA105" s="98">
        <v>162900000</v>
      </c>
      <c r="BB105" s="98" t="s">
        <v>29</v>
      </c>
      <c r="BC105" s="98" t="s">
        <v>52</v>
      </c>
      <c r="BD105" s="98" t="s">
        <v>55</v>
      </c>
      <c r="BE105" s="98" t="s">
        <v>1008</v>
      </c>
      <c r="BF105">
        <v>56200000</v>
      </c>
    </row>
    <row r="106" spans="8:58" x14ac:dyDescent="0.3">
      <c r="H106" s="463">
        <v>45631</v>
      </c>
      <c r="I106" s="38" t="s">
        <v>944</v>
      </c>
      <c r="J106" s="38"/>
      <c r="K106" s="38"/>
      <c r="L106" s="38"/>
      <c r="M106" s="38"/>
      <c r="N106" s="38"/>
      <c r="O106" s="38" t="s">
        <v>58</v>
      </c>
      <c r="P106" s="38">
        <v>174</v>
      </c>
      <c r="S106"/>
      <c r="T106"/>
      <c r="U106"/>
      <c r="V106"/>
      <c r="W106"/>
      <c r="X106"/>
      <c r="Y106"/>
      <c r="Z106"/>
      <c r="AA106"/>
      <c r="AC106"/>
      <c r="AD106"/>
      <c r="AE106"/>
      <c r="AF106"/>
      <c r="AG106"/>
      <c r="AH106"/>
      <c r="AI106"/>
      <c r="AS106" s="461">
        <v>45631</v>
      </c>
      <c r="AT106" s="98" t="s">
        <v>56</v>
      </c>
      <c r="AU106" s="98" t="s">
        <v>54</v>
      </c>
      <c r="AV106" s="98" t="s">
        <v>1005</v>
      </c>
      <c r="AW106" s="98" t="s">
        <v>944</v>
      </c>
      <c r="AX106" s="98">
        <v>4</v>
      </c>
      <c r="AY106" s="98" t="s">
        <v>995</v>
      </c>
      <c r="AZ106"/>
      <c r="BA106"/>
      <c r="BB106" s="98" t="s">
        <v>58</v>
      </c>
      <c r="BC106" s="98" t="s">
        <v>59</v>
      </c>
      <c r="BD106" s="98" t="s">
        <v>55</v>
      </c>
      <c r="BE106" s="98" t="s">
        <v>1008</v>
      </c>
      <c r="BF106">
        <v>52200000</v>
      </c>
    </row>
    <row r="107" spans="8:58" x14ac:dyDescent="0.3">
      <c r="H107" s="463">
        <v>45631</v>
      </c>
      <c r="I107" s="38" t="s">
        <v>944</v>
      </c>
      <c r="J107" s="38"/>
      <c r="K107" s="38"/>
      <c r="L107" s="38"/>
      <c r="M107" s="38"/>
      <c r="N107" s="38"/>
      <c r="O107" s="38" t="s">
        <v>62</v>
      </c>
      <c r="P107" s="38">
        <v>119</v>
      </c>
      <c r="S107"/>
      <c r="T107"/>
      <c r="U107"/>
      <c r="V107"/>
      <c r="W107"/>
      <c r="X107"/>
      <c r="Y107"/>
      <c r="Z107"/>
      <c r="AA107"/>
      <c r="AC107"/>
      <c r="AD107"/>
      <c r="AE107"/>
      <c r="AF107"/>
      <c r="AG107"/>
      <c r="AH107"/>
      <c r="AI107"/>
      <c r="AS107" s="461">
        <v>45631</v>
      </c>
      <c r="AT107" s="98" t="s">
        <v>56</v>
      </c>
      <c r="AU107" s="98" t="s">
        <v>54</v>
      </c>
      <c r="AV107" s="98" t="s">
        <v>1005</v>
      </c>
      <c r="AW107" s="98" t="s">
        <v>944</v>
      </c>
      <c r="AX107" s="98">
        <v>4</v>
      </c>
      <c r="AY107" s="98" t="s">
        <v>995</v>
      </c>
      <c r="AZ107"/>
      <c r="BA107"/>
      <c r="BB107" s="98" t="s">
        <v>62</v>
      </c>
      <c r="BC107" s="98" t="s">
        <v>63</v>
      </c>
      <c r="BD107" s="98" t="s">
        <v>55</v>
      </c>
      <c r="BE107" s="98" t="s">
        <v>1008</v>
      </c>
      <c r="BF107">
        <v>59500000</v>
      </c>
    </row>
    <row r="108" spans="8:58" x14ac:dyDescent="0.3">
      <c r="H108" s="463">
        <v>45641</v>
      </c>
      <c r="I108" s="38" t="s">
        <v>940</v>
      </c>
      <c r="J108" s="38" t="s">
        <v>1006</v>
      </c>
      <c r="K108" s="38" t="s">
        <v>997</v>
      </c>
      <c r="L108" s="38" t="s">
        <v>993</v>
      </c>
      <c r="M108" s="38">
        <v>19</v>
      </c>
      <c r="N108" s="38">
        <v>164900000</v>
      </c>
      <c r="O108" s="38" t="s">
        <v>29</v>
      </c>
      <c r="P108" s="38">
        <v>289</v>
      </c>
      <c r="S108"/>
      <c r="T108"/>
      <c r="U108"/>
      <c r="V108"/>
      <c r="W108"/>
      <c r="X108"/>
      <c r="Y108"/>
      <c r="Z108"/>
      <c r="AA108"/>
      <c r="AC108"/>
      <c r="AD108"/>
      <c r="AE108"/>
      <c r="AF108"/>
      <c r="AG108"/>
      <c r="AH108"/>
      <c r="AI108"/>
      <c r="AS108" s="461">
        <v>45641</v>
      </c>
      <c r="AT108" s="98" t="s">
        <v>950</v>
      </c>
      <c r="AU108" s="98" t="s">
        <v>65</v>
      </c>
      <c r="AV108" s="98" t="s">
        <v>1006</v>
      </c>
      <c r="AW108" s="98" t="s">
        <v>940</v>
      </c>
      <c r="AX108" s="98">
        <v>19</v>
      </c>
      <c r="AY108" s="98" t="s">
        <v>995</v>
      </c>
      <c r="AZ108" s="98">
        <v>5000000</v>
      </c>
      <c r="BA108" s="98">
        <v>164900000</v>
      </c>
      <c r="BB108" s="98" t="s">
        <v>29</v>
      </c>
      <c r="BC108" s="98" t="s">
        <v>52</v>
      </c>
      <c r="BD108" s="98" t="s">
        <v>55</v>
      </c>
      <c r="BE108" s="98" t="s">
        <v>1008</v>
      </c>
      <c r="BF108">
        <v>57800000</v>
      </c>
    </row>
    <row r="109" spans="8:58" x14ac:dyDescent="0.3">
      <c r="H109" s="463">
        <v>45641</v>
      </c>
      <c r="I109" s="38" t="s">
        <v>940</v>
      </c>
      <c r="J109" s="38"/>
      <c r="K109" s="38"/>
      <c r="L109" s="38"/>
      <c r="M109" s="38"/>
      <c r="N109" s="38"/>
      <c r="O109" s="38" t="s">
        <v>58</v>
      </c>
      <c r="P109" s="38">
        <v>177</v>
      </c>
      <c r="S109"/>
      <c r="T109"/>
      <c r="U109"/>
      <c r="V109"/>
      <c r="W109"/>
      <c r="X109"/>
      <c r="Y109"/>
      <c r="Z109"/>
      <c r="AA109"/>
      <c r="AC109"/>
      <c r="AD109"/>
      <c r="AE109"/>
      <c r="AF109"/>
      <c r="AG109"/>
      <c r="AH109"/>
      <c r="AI109"/>
      <c r="AS109" s="461">
        <v>45641</v>
      </c>
      <c r="AT109" s="98" t="s">
        <v>950</v>
      </c>
      <c r="AU109" s="98" t="s">
        <v>65</v>
      </c>
      <c r="AV109" s="98" t="s">
        <v>1006</v>
      </c>
      <c r="AW109" s="98" t="s">
        <v>940</v>
      </c>
      <c r="AX109" s="98">
        <v>19</v>
      </c>
      <c r="AY109" s="98" t="s">
        <v>995</v>
      </c>
      <c r="AZ109"/>
      <c r="BA109"/>
      <c r="BB109" s="98" t="s">
        <v>58</v>
      </c>
      <c r="BC109" s="98" t="s">
        <v>59</v>
      </c>
      <c r="BD109" s="98" t="s">
        <v>55</v>
      </c>
      <c r="BE109" s="98" t="s">
        <v>1008</v>
      </c>
      <c r="BF109">
        <v>53100000</v>
      </c>
    </row>
    <row r="110" spans="8:58" x14ac:dyDescent="0.3">
      <c r="H110" s="463">
        <v>45641</v>
      </c>
      <c r="I110" s="38" t="s">
        <v>940</v>
      </c>
      <c r="J110" s="38"/>
      <c r="K110" s="38"/>
      <c r="L110" s="38"/>
      <c r="M110" s="38"/>
      <c r="N110" s="38"/>
      <c r="O110" s="38" t="s">
        <v>62</v>
      </c>
      <c r="P110" s="38">
        <v>118</v>
      </c>
      <c r="S110"/>
      <c r="T110"/>
      <c r="U110"/>
      <c r="V110"/>
      <c r="W110"/>
      <c r="X110"/>
      <c r="Y110"/>
      <c r="Z110"/>
      <c r="AA110"/>
      <c r="AC110"/>
      <c r="AD110"/>
      <c r="AE110"/>
      <c r="AF110"/>
      <c r="AG110"/>
      <c r="AH110"/>
      <c r="AI110"/>
      <c r="AS110" s="461">
        <v>45641</v>
      </c>
      <c r="AT110" s="98" t="s">
        <v>950</v>
      </c>
      <c r="AU110" s="98" t="s">
        <v>65</v>
      </c>
      <c r="AV110" s="98" t="s">
        <v>1006</v>
      </c>
      <c r="AW110" s="98" t="s">
        <v>940</v>
      </c>
      <c r="AX110" s="98">
        <v>19</v>
      </c>
      <c r="AY110" s="98" t="s">
        <v>995</v>
      </c>
      <c r="AZ110"/>
      <c r="BA110"/>
      <c r="BB110" s="98" t="s">
        <v>62</v>
      </c>
      <c r="BC110" s="98" t="s">
        <v>63</v>
      </c>
      <c r="BD110" s="98" t="s">
        <v>55</v>
      </c>
      <c r="BE110" s="98" t="s">
        <v>1008</v>
      </c>
      <c r="BF110">
        <v>59000000</v>
      </c>
    </row>
    <row r="111" spans="8:58" x14ac:dyDescent="0.3">
      <c r="H111" s="463">
        <v>45651</v>
      </c>
      <c r="I111" s="38" t="s">
        <v>945</v>
      </c>
      <c r="J111" s="38" t="s">
        <v>1006</v>
      </c>
      <c r="K111" s="38" t="s">
        <v>1002</v>
      </c>
      <c r="L111" s="38" t="s">
        <v>994</v>
      </c>
      <c r="M111" s="38">
        <v>2</v>
      </c>
      <c r="N111" s="38">
        <v>168000000</v>
      </c>
      <c r="O111" s="38" t="s">
        <v>29</v>
      </c>
      <c r="P111" s="38">
        <v>292</v>
      </c>
      <c r="S111"/>
      <c r="T111"/>
      <c r="U111"/>
      <c r="V111"/>
      <c r="W111"/>
      <c r="X111"/>
      <c r="Y111"/>
      <c r="Z111"/>
      <c r="AA111"/>
      <c r="AC111"/>
      <c r="AD111"/>
      <c r="AE111"/>
      <c r="AF111"/>
      <c r="AG111"/>
      <c r="AH111"/>
      <c r="AI111"/>
      <c r="AS111" s="461">
        <v>45651</v>
      </c>
      <c r="AT111" s="98" t="s">
        <v>949</v>
      </c>
      <c r="AU111" s="98" t="s">
        <v>54</v>
      </c>
      <c r="AV111" s="98" t="s">
        <v>1006</v>
      </c>
      <c r="AW111" s="98" t="s">
        <v>945</v>
      </c>
      <c r="AX111" s="98">
        <v>2</v>
      </c>
      <c r="AY111" s="98" t="s">
        <v>995</v>
      </c>
      <c r="AZ111" s="98">
        <v>5000000</v>
      </c>
      <c r="BA111" s="98">
        <v>168000000</v>
      </c>
      <c r="BB111" s="98" t="s">
        <v>29</v>
      </c>
      <c r="BC111" s="98" t="s">
        <v>52</v>
      </c>
      <c r="BD111" s="98" t="s">
        <v>55</v>
      </c>
      <c r="BE111" s="98" t="s">
        <v>1008</v>
      </c>
      <c r="BF111">
        <v>58400000</v>
      </c>
    </row>
    <row r="112" spans="8:58" x14ac:dyDescent="0.3">
      <c r="H112" s="463">
        <v>45651</v>
      </c>
      <c r="I112" s="38" t="s">
        <v>945</v>
      </c>
      <c r="J112" s="38"/>
      <c r="K112" s="38"/>
      <c r="L112" s="38"/>
      <c r="M112" s="38"/>
      <c r="N112" s="38"/>
      <c r="O112" s="38" t="s">
        <v>58</v>
      </c>
      <c r="P112" s="38">
        <v>182</v>
      </c>
      <c r="S112"/>
      <c r="T112"/>
      <c r="U112"/>
      <c r="V112"/>
      <c r="W112"/>
      <c r="X112"/>
      <c r="Y112"/>
      <c r="Z112"/>
      <c r="AA112"/>
      <c r="AC112"/>
      <c r="AD112"/>
      <c r="AE112"/>
      <c r="AF112"/>
      <c r="AG112"/>
      <c r="AH112"/>
      <c r="AI112"/>
      <c r="AS112" s="461">
        <v>45651</v>
      </c>
      <c r="AT112" s="98" t="s">
        <v>949</v>
      </c>
      <c r="AU112" s="98" t="s">
        <v>54</v>
      </c>
      <c r="AV112" s="98" t="s">
        <v>1006</v>
      </c>
      <c r="AW112" s="98" t="s">
        <v>945</v>
      </c>
      <c r="AX112" s="98">
        <v>2</v>
      </c>
      <c r="AY112" s="98" t="s">
        <v>995</v>
      </c>
      <c r="AZ112"/>
      <c r="BA112"/>
      <c r="BB112" s="98" t="s">
        <v>58</v>
      </c>
      <c r="BC112" s="98" t="s">
        <v>59</v>
      </c>
      <c r="BD112" s="98" t="s">
        <v>55</v>
      </c>
      <c r="BE112" s="98" t="s">
        <v>1008</v>
      </c>
      <c r="BF112">
        <v>54600000</v>
      </c>
    </row>
    <row r="113" spans="8:58" x14ac:dyDescent="0.3">
      <c r="H113" s="463">
        <v>45651</v>
      </c>
      <c r="I113" s="38" t="s">
        <v>945</v>
      </c>
      <c r="J113" s="38"/>
      <c r="K113" s="38"/>
      <c r="L113" s="38"/>
      <c r="M113" s="38"/>
      <c r="N113" s="38"/>
      <c r="O113" s="38" t="s">
        <v>62</v>
      </c>
      <c r="P113" s="38">
        <v>120</v>
      </c>
      <c r="S113"/>
      <c r="T113"/>
      <c r="U113"/>
      <c r="V113"/>
      <c r="W113"/>
      <c r="X113"/>
      <c r="Y113"/>
      <c r="Z113"/>
      <c r="AA113"/>
      <c r="AC113"/>
      <c r="AD113"/>
      <c r="AE113"/>
      <c r="AF113"/>
      <c r="AG113"/>
      <c r="AH113"/>
      <c r="AI113"/>
      <c r="AS113" s="461">
        <v>45651</v>
      </c>
      <c r="AT113" s="98" t="s">
        <v>949</v>
      </c>
      <c r="AU113" s="98" t="s">
        <v>54</v>
      </c>
      <c r="AV113" s="98" t="s">
        <v>1006</v>
      </c>
      <c r="AW113" s="98" t="s">
        <v>945</v>
      </c>
      <c r="AX113" s="98">
        <v>2</v>
      </c>
      <c r="AY113" s="98" t="s">
        <v>995</v>
      </c>
      <c r="AZ113"/>
      <c r="BA113"/>
      <c r="BB113" s="98" t="s">
        <v>62</v>
      </c>
      <c r="BC113" s="98" t="s">
        <v>63</v>
      </c>
      <c r="BD113" s="98" t="s">
        <v>55</v>
      </c>
      <c r="BE113" s="98" t="s">
        <v>1008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H55"/>
  <sheetViews>
    <sheetView showGridLines="0" topLeftCell="BG1" zoomScale="85" zoomScaleNormal="85" workbookViewId="0">
      <selection activeCell="CE1" sqref="CE1"/>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2.25" style="130" hidden="1" customWidth="1" outlineLevel="1"/>
    <col min="12" max="12" width="13.25" style="130" hidden="1" customWidth="1" outlineLevel="1"/>
    <col min="13" max="13" width="16.375" style="130" hidden="1" customWidth="1" outlineLevel="1"/>
    <col min="14" max="14" width="11.625" style="130" hidden="1" customWidth="1" outlineLevel="1"/>
    <col min="15" max="15" width="12.75" style="130" hidden="1" customWidth="1" outlineLevel="1"/>
    <col min="16" max="16" width="12.5" style="130" hidden="1" customWidth="1" outlineLevel="1"/>
    <col min="17" max="17" width="13" style="130" hidden="1" customWidth="1" outlineLevel="1"/>
    <col min="18" max="18" width="15.625" style="130" hidden="1" customWidth="1" outlineLevel="1"/>
    <col min="19" max="19" width="15.875" style="130" hidden="1" customWidth="1" outlineLevel="1"/>
    <col min="20" max="20" width="13.25" style="130" hidden="1" customWidth="1" outlineLevel="1"/>
    <col min="21" max="21" width="10.5" style="130" hidden="1" customWidth="1" outlineLevel="1"/>
    <col min="22" max="22" width="13.125" style="130" hidden="1" customWidth="1" outlineLevel="1"/>
    <col min="23" max="23" width="15.25" style="130" hidden="1" customWidth="1" outlineLevel="1"/>
    <col min="24" max="24" width="12" style="130" hidden="1" customWidth="1" outlineLevel="1"/>
    <col min="25" max="25" width="10.125" style="130" hidden="1" customWidth="1" outlineLevel="1"/>
    <col min="26" max="26" width="11.375" style="130" hidden="1" customWidth="1" outlineLevel="1"/>
    <col min="27" max="27" width="9.375" style="130" hidden="1" customWidth="1" outlineLevel="1"/>
    <col min="28" max="28" width="11.625" style="130" hidden="1" customWidth="1" outlineLevel="1"/>
    <col min="29" max="29" width="9" style="130" hidden="1" customWidth="1" outlineLevel="1"/>
    <col min="30" max="30" width="17.625" style="130" hidden="1" customWidth="1" outlineLevel="1"/>
    <col min="31" max="32" width="15.75" style="130" hidden="1" customWidth="1" outlineLevel="1"/>
    <col min="33" max="33" width="12.625" style="130" hidden="1" customWidth="1" outlineLevel="1"/>
    <col min="34" max="34" width="9.125" style="130" hidden="1" customWidth="1" outlineLevel="1"/>
    <col min="35" max="35" width="19.25" style="130" hidden="1" customWidth="1" outlineLevel="1"/>
    <col min="36" max="36" width="16.375" style="130" hidden="1" customWidth="1" outlineLevel="1"/>
    <col min="37" max="37" width="17.75" style="130" hidden="1" customWidth="1" outlineLevel="1"/>
    <col min="38" max="38" width="13.25" style="130" hidden="1" customWidth="1" outlineLevel="1"/>
    <col min="39" max="39" width="14.625" style="130" hidden="1" customWidth="1" outlineLevel="1"/>
    <col min="40" max="40" width="19.875" style="130" hidden="1" customWidth="1" outlineLevel="1"/>
    <col min="41" max="41" width="11.625" style="130" hidden="1" customWidth="1" outlineLevel="1"/>
    <col min="42" max="42" width="16.875" style="130" hidden="1" customWidth="1" outlineLevel="1"/>
    <col min="43" max="44" width="14.75" style="130" hidden="1" customWidth="1" outlineLevel="1"/>
    <col min="45" max="45" width="17" style="130" hidden="1" customWidth="1" outlineLevel="1"/>
    <col min="46" max="46" width="17.625" style="130" hidden="1" customWidth="1" outlineLevel="1"/>
    <col min="47" max="47" width="24.125" style="130" hidden="1" customWidth="1" outlineLevel="1"/>
    <col min="48" max="48" width="19.5" style="130" hidden="1" customWidth="1" outlineLevel="1"/>
    <col min="49" max="49" width="12.75" style="130" hidden="1" customWidth="1" outlineLevel="1"/>
    <col min="50" max="50" width="15.125" style="130" hidden="1" customWidth="1" outlineLevel="1"/>
    <col min="51" max="51" width="15.5" style="130" hidden="1" customWidth="1" outlineLevel="1"/>
    <col min="52" max="52" width="14.75" style="130" hidden="1" customWidth="1" outlineLevel="1"/>
    <col min="53" max="53" width="20.625" style="130" hidden="1" customWidth="1" outlineLevel="1"/>
    <col min="54" max="54" width="9.75" style="130" hidden="1" customWidth="1" outlineLevel="1"/>
    <col min="55" max="55" width="16.5" style="130" hidden="1" customWidth="1" outlineLevel="1"/>
    <col min="56" max="56" width="3" style="130" customWidth="1"/>
    <col min="57" max="57" width="9" style="134"/>
    <col min="58" max="63" width="8" style="130" customWidth="1"/>
    <col min="64" max="64" width="9" style="130"/>
    <col min="65" max="65" width="12.375" style="130" bestFit="1" customWidth="1"/>
    <col min="66" max="69" width="9" style="130"/>
    <col min="70" max="70" width="9.375" style="130" bestFit="1" customWidth="1"/>
    <col min="71" max="92" width="9" style="130"/>
    <col min="93" max="93" width="8" style="132" customWidth="1"/>
    <col min="94" max="94" width="6.625" style="132" bestFit="1" customWidth="1"/>
    <col min="95" max="95" width="10.875" style="132" bestFit="1" customWidth="1"/>
    <col min="96" max="96" width="10.25" style="132" bestFit="1" customWidth="1"/>
    <col min="97" max="97" width="9.125" style="132" bestFit="1" customWidth="1"/>
    <col min="98" max="98" width="9" style="132"/>
    <col min="99" max="99" width="8" style="162" customWidth="1"/>
    <col min="100" max="100" width="9" style="138" customWidth="1"/>
    <col min="101" max="103" width="10.25" style="138" customWidth="1"/>
    <col min="104" max="104" width="10" style="138" bestFit="1" customWidth="1"/>
    <col min="105" max="105" width="6.5" style="138" bestFit="1" customWidth="1"/>
    <col min="106" max="107" width="9" style="138" customWidth="1"/>
    <col min="108" max="109" width="9" style="138"/>
    <col min="110" max="110" width="8.25" style="138" bestFit="1" customWidth="1"/>
    <col min="111" max="111" width="9" style="138"/>
    <col min="112" max="112" width="9" style="132"/>
    <col min="113" max="16384" width="9" style="130"/>
  </cols>
  <sheetData>
    <row r="1" spans="2:110" ht="18" customHeight="1" x14ac:dyDescent="0.3">
      <c r="BE1" s="130"/>
    </row>
    <row r="2" spans="2:110" ht="18" customHeight="1" x14ac:dyDescent="0.3">
      <c r="BE2" s="130"/>
      <c r="CT2" s="136"/>
    </row>
    <row r="3" spans="2:110" ht="18" customHeight="1" x14ac:dyDescent="0.3">
      <c r="BE3" s="130"/>
      <c r="CQ3" s="136"/>
      <c r="CT3" s="136"/>
    </row>
    <row r="4" spans="2:110" ht="18" customHeight="1" x14ac:dyDescent="0.3">
      <c r="BE4" s="130"/>
      <c r="CP4" s="132" t="s">
        <v>2</v>
      </c>
      <c r="CQ4" s="132" t="s">
        <v>66</v>
      </c>
      <c r="CR4" s="132" t="s">
        <v>67</v>
      </c>
      <c r="CS4" s="132" t="s">
        <v>22</v>
      </c>
      <c r="CT4" s="132" t="s">
        <v>68</v>
      </c>
      <c r="CV4" s="138" t="s">
        <v>21</v>
      </c>
      <c r="CW4" s="138" t="s">
        <v>69</v>
      </c>
      <c r="CX4" s="138" t="s">
        <v>22</v>
      </c>
      <c r="CY4" s="138" t="s">
        <v>68</v>
      </c>
      <c r="CZ4" s="138" t="s">
        <v>70</v>
      </c>
      <c r="DB4" s="138" t="s">
        <v>22</v>
      </c>
      <c r="DC4" s="138" t="s">
        <v>71</v>
      </c>
      <c r="DE4" s="138" t="s">
        <v>72</v>
      </c>
    </row>
    <row r="5" spans="2:110"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C5" s="132" t="s">
        <v>122</v>
      </c>
      <c r="BE5" s="130"/>
      <c r="BF5" s="134"/>
      <c r="BG5" s="134"/>
      <c r="BH5" s="134"/>
      <c r="BI5" s="134"/>
      <c r="BJ5" s="134"/>
      <c r="BK5" s="134"/>
      <c r="CO5" s="197"/>
      <c r="CP5" s="132">
        <v>2023</v>
      </c>
      <c r="CQ5" s="198" cm="1">
        <f t="array" ref="CQ5">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5" s="148" t="str" cm="1">
        <f t="array" ref="CR5"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5" s="151" t="str">
        <f>IFERROR(TEXT(Dashboard_GiaTriNam[[#This Row],[Giá trị đạt]],LOOKUP(Dashboard_GiaTriNam[[#This Row],[Giá trị đạt]],Pivot!$B$6:$B$12,Pivot!$C$6:$C$12)),"")</f>
        <v/>
      </c>
      <c r="CT5" s="150" t="e" cm="1">
        <f t="array" ref="CT5">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U5" s="199"/>
      <c r="CV5" s="138" t="s">
        <v>73</v>
      </c>
      <c r="CW5" s="166" cm="1">
        <f t="array" ref="CW5">IFERROR(SUM(_xlfn._xlws.FILTER(Table_Datafeed[Sản lượng],
(Table_Datafeed[Kỳ] &gt;= Pivot!$E$2)*
(Table_Datafeed[Kỳ]&lt;=Pivot!$E$3)
)),0)</f>
        <v>0</v>
      </c>
      <c r="CY5" s="160" t="e">
        <f>CW5/CW6</f>
        <v>#DIV/0!</v>
      </c>
      <c r="CZ5" s="138" cm="1">
        <f t="array" ref="CZ5">CW5-
IFERROR(SUM(_xlfn._xlws.FILTER(Table_Datafeed[Sản lượng],
(Table_Datafeed[Kỳ] &gt;= DATE(YEAR(Pivot!$E$2)-1,MONTH(Pivot!$E$2),1))*
(Table_Datafeed[Kỳ]&lt;=DATE(YEAR(Pivot!$E$3)-1,MONTH(Pivot!$E$3),1))
)),0)</f>
        <v>0</v>
      </c>
      <c r="DC5" s="160" t="e">
        <f>CW5/(CW5-CZ5)-1</f>
        <v>#DIV/0!</v>
      </c>
      <c r="DE5" s="160"/>
    </row>
    <row r="6" spans="2:110"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IFERROR(SUM(
_xlfn._xlws.FILTER(Table_Main[Thành tiền niêm yết],
NOT(ISBLANK(Table_Main[Đơn bán]))*
(Table_Main[Ngày lên đơn] &gt;= Table_Datafeed[[#This Row],[Kỳ]])*
(Table_Main[Ngày lên đơn] &lt;DATE(YEAR(Table_Datafeed[[#This Row],[Kỳ]]),MONTH(Table_Datafeed[[#This Row],[Kỳ]])+1,1))
)),0)</f>
        <v>0</v>
      </c>
      <c r="I6" s="150" t="e">
        <f>(Table_Datafeed[[#This Row],[Doanh thu]]+Table_Datafeed[[#This Row],[Chi phí biến đổi]])/Table_Datafeed[[#This Row],[Doanh thu]]</f>
        <v>#DIV/0!</v>
      </c>
      <c r="J6" s="198">
        <f>SUM(Table_Datafeed[[#This Row],[CP chiết khấu]:[CP vận chuyển]])</f>
        <v>0</v>
      </c>
      <c r="K6" s="148" cm="1">
        <f t="array" ref="K6">-IFERROR(SUM(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f>
        <v>0</v>
      </c>
      <c r="L6" s="148" cm="1">
        <f t="array" ref="L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M6" s="198" cm="1">
        <f t="array" ref="M6">-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N6" s="148" cm="1">
        <f t="array" ref="N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O6" s="198" cm="1">
        <f t="array" ref="O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P6" s="198" cm="1">
        <f t="array" ref="P6">-IFERROR(SUM(
_xlfn._xlws.FILTER(Table_ThuChiKD[Phí GD],
(Table_ThuChiKD[Ngày GD] &gt;= Table_Datafeed[[#This Row],[Kỳ]])*
(Table_ThuChiKD[Ngày GD] &lt; DATE(Table_Datafeed[[#This Row],[Năm]],Table_Datafeed[[#This Row],[Tháng]]+1,1))
)),0)</f>
        <v>0</v>
      </c>
      <c r="Q6" s="198" cm="1">
        <f t="array" ref="Q6">-IFERROR(
SUM(_xlfn._xlws.FILTER(Table_VanDon[Phí ship],
(Table_VanDon[Bên chịu phí] = "Bên bán") *
(Table_VanDon[Ngày lập] &gt;= Table_Datafeed[[#This Row],[Kỳ]]) *
(Table_VanDon[Ngày lập] &lt; DATE(Table_Datafeed[[#This Row],[Năm]],Table_Datafeed[[#This Row],[Tháng]]+1,1))
)),0)</f>
        <v>0</v>
      </c>
      <c r="R6" s="198">
        <f>+Table_Datafeed[[#This Row],[Doanh thu]]+Table_Datafeed[[#This Row],[Chi phí biến đổi]]</f>
        <v>0</v>
      </c>
      <c r="S6" s="150" t="e">
        <f>Table_Datafeed[[#This Row],[Chi phí cố định]]/(Table_Datafeed[[#This Row],[Chi phí cố định]]+Table_Datafeed[[#This Row],[Chi phí biến đổi]])</f>
        <v>#DIV/0!</v>
      </c>
      <c r="T6" s="198">
        <f>SUM(Table_Datafeed[[#This Row],[CP nhân sự]:[CP khác]])</f>
        <v>0</v>
      </c>
      <c r="U6" s="458" cm="1">
        <f t="array" ref="U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V6" s="198" cm="1">
        <f t="array" ref="V6">-IFERROR(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W6" s="162" cm="1">
        <f t="array" ref="W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X6" s="162" cm="1">
        <f t="array" ref="X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Y6" s="162" cm="1">
        <f t="array" ref="Y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Z6" s="162" cm="1">
        <f t="array" ref="Z6">-IFERROR(SUM(_xlfn._xlws.FILTER(Table_TSCD_KhauHao[Khấu hao],
(Table_TSCD_KhauHao[Kỳ] = Table_Datafeed[[#This Row],[Kỳ]]))),0)</f>
        <v>0</v>
      </c>
      <c r="AA6" s="198" cm="1">
        <f t="array" ref="AA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B6" s="162" cm="1">
        <f t="array" ref="AB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C6" s="198" cm="1">
        <f t="array" ref="AC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D6" s="198">
        <f>+Table_Datafeed[[#This Row],[Lợi nhuận biến đổi]]+Table_Datafeed[[#This Row],[Chi phí cố định]]</f>
        <v>0</v>
      </c>
      <c r="AE6" s="459"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F6" s="198">
        <f>+Table_Datafeed[[#This Row],[Tiền bán hàng]]+Table_Datafeed[[#This Row],[Tiền VAT]]+Table_Datafeed[[#This Row],[Tiền chi kinh doanh]]+Table_Datafeed[[#This Row],[Tiền nộp NN]]</f>
        <v>0</v>
      </c>
      <c r="AG6" s="198" cm="1">
        <f t="array" ref="AG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H6" s="198" cm="1">
        <f t="array" ref="AH6">IFERROR(
SUM(_xlfn._xlws.FILTER(Table_NopNS[Giá trị tính thuế],
(Table_NopNS[Ngân sách] = "Thuế VAT")*
(Table_NopNS[Năm]=Table_Datafeed[[#This Row],[Năm]])*
(Table_NopNS[Tháng] = Table_Datafeed[[#This Row],[Tháng]])
)),0)</f>
        <v>0</v>
      </c>
      <c r="AI6" s="151" t="e">
        <f>(Table_Datafeed[[#This Row],[Doanh thu]]-Table_Datafeed[[#This Row],[Tiền bán hàng]])/Table_Datafeed[[#This Row],[Doanh thu]]</f>
        <v>#DIV/0!</v>
      </c>
      <c r="AJ6" s="198">
        <f>+Table_Datafeed[[#This Row],[Tiền mua nguyên liệu]]+Table_Datafeed[[#This Row],[Tiền trả chi phí]]+Table_Datafeed[[#This Row],[Tiền trả lao động]]</f>
        <v>0</v>
      </c>
      <c r="AK6" s="198" cm="1">
        <f t="array" ref="AK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M6" s="198" cm="1">
        <f t="array" ref="AM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N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O6" s="198" cm="1">
        <f t="array" ref="AO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P6" s="198">
        <f>+Table_Datafeed[[#This Row],[Tiền trả gốc &amp; lãi]]+Table_Datafeed[[#This Row],[Tiền đầu tư TSCĐ]]+Table_Datafeed[[#This Row],[Tiền đầu tư tài chính]]</f>
        <v>0</v>
      </c>
      <c r="AQ6" s="198" cm="1">
        <f t="array" ref="AQ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S6" s="198" cm="1">
        <f t="array" ref="AS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T6" s="198">
        <f>+Table_Datafeed[[#This Row],[Dòng tiền kinh doanh]]+Table_Datafeed[[#This Row],[Tiền trả gốc &amp; lãi]]</f>
        <v>0</v>
      </c>
      <c r="AU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V6" s="148" cm="1">
        <f t="array" ref="AV6">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W6" s="198" cm="1">
        <f t="array" ref="AW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X6" s="198" cm="1">
        <f t="array" ref="AX6">+IFERROR(SUM(_xlfn._xlws.FILTER(Table_ThuChiTC[Giá trị GD],
(Table_ThuChiTC[Loại GD]="THU")*
(Table_ThuChiTC[Nội dung GD]=Sheet_ThuChiTC!$F$9)*
(Table_ThuChiTC[Ngày GD]&gt;=Table_Datafeed[[#This Row],[Kỳ]])*
(Table_ThuChiTC[Ngày GD]&lt;DATE(Table_Datafeed[[#This Row],[Năm]],Table_Datafeed[[#This Row],[Tháng]]+1,1))
)),0)</f>
        <v>0</v>
      </c>
      <c r="AY6" s="198" cm="1">
        <f t="array" ref="AY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Z6" s="151" cm="1">
        <f t="array" ref="AZ6"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BA6" s="198">
        <f>+Table_Datafeed[[#This Row],[Số dư tiền mặt vận hành]]+
+SUM(Table_Datafeed[[#This Row],[Tiền lời đầu tư]:[Huy động vốn góp]])</f>
        <v>0</v>
      </c>
      <c r="BB6" s="198" cm="1">
        <f t="array" ref="BB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C6" s="198">
        <f>+Table_Datafeed[[#This Row],[Số dư tiền mặt nguồn vốn]]+Table_Datafeed[[#This Row],[Trả cổ tức]]</f>
        <v>0</v>
      </c>
      <c r="BE6" s="130"/>
      <c r="BF6" s="134"/>
      <c r="BG6" s="134"/>
      <c r="BH6" s="134"/>
      <c r="BI6" s="134"/>
      <c r="BJ6" s="134"/>
      <c r="BK6" s="134"/>
      <c r="CO6" s="197"/>
      <c r="CP6" s="132">
        <v>2024</v>
      </c>
      <c r="CQ6" s="162" cm="1">
        <f t="array" ref="CQ6">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6" s="439" t="str" cm="1">
        <f t="array" ref="CR6"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6" s="441" t="str">
        <f>IFERROR(TEXT(Dashboard_GiaTriNam[[#This Row],[Giá trị đạt]],LOOKUP(Dashboard_GiaTriNam[[#This Row],[Giá trị đạt]],Pivot!$B$6:$B$12,Pivot!$C$6:$C$12)),"")</f>
        <v/>
      </c>
      <c r="CT6" s="440" t="e" cm="1" vm="1">
        <f t="array" ref="CT6">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U6" s="199"/>
      <c r="CV6" s="138" t="s">
        <v>74</v>
      </c>
      <c r="CW6" s="166" cm="1">
        <f t="array" ref="CW6">IFERROR(SUM(_xlfn._xlws.FILTER(Table_Datafeed[Điểm hòa vốn],
(Table_Datafeed[Kỳ] &gt;= Pivot!$E$2)*
(Table_Datafeed[Kỳ]&lt;=Pivot!$E$3)
)),0)</f>
        <v>0</v>
      </c>
      <c r="DC6" s="160"/>
      <c r="DE6" s="160"/>
      <c r="DF6" s="144"/>
    </row>
    <row r="7" spans="2:110" ht="18" customHeight="1" x14ac:dyDescent="0.3">
      <c r="BE7" s="130"/>
      <c r="BF7" s="134"/>
      <c r="BG7" s="134"/>
      <c r="BH7" s="134"/>
      <c r="BI7" s="134"/>
      <c r="BJ7" s="134"/>
      <c r="BK7" s="134"/>
      <c r="CO7" s="197"/>
      <c r="CU7" s="199"/>
      <c r="CV7" s="138" t="s">
        <v>33</v>
      </c>
      <c r="CW7" s="166" cm="1">
        <f t="array" ref="CW7">IFERROR(SUM(_xlfn._xlws.FILTER(Table_Datafeed[Doanh thu],
(Table_Datafeed[Kỳ] &gt;= Pivot!$E$2)*
(Table_Datafeed[Kỳ]&lt;=Pivot!$E$3)
)),0)</f>
        <v>0</v>
      </c>
      <c r="CX7" s="138" t="str">
        <f>IFERROR(TEXT(CW7,LOOKUP(CW7,Pivot!$B$6:$B$12,Pivot!$C$6:$C$12)),"")</f>
        <v/>
      </c>
      <c r="CZ7" s="138" cm="1">
        <f t="array" ref="CZ7">CW7-
IFERROR(SUM(_xlfn._xlws.FILTER(Table_Datafeed[Doanh thu],
(Table_Datafeed[Kỳ] &gt;= DATE(YEAR(Pivot!$E$2)-1,MONTH(Pivot!$E$2),1))*
(Table_Datafeed[Kỳ]&lt;=DATE(YEAR(Pivot!$E$3)-1,MONTH(Pivot!$E$3),1))
)),0)</f>
        <v>0</v>
      </c>
      <c r="DB7" s="138" t="str">
        <f>IFERROR(TEXT(CZ7,LOOKUP(CZ7,Pivot!$B$6:$B$12,Pivot!$C$6:$C$12)),"")</f>
        <v/>
      </c>
      <c r="DC7" s="160" t="e">
        <f>CW7/(CW7-CZ7)-1</f>
        <v>#DIV/0!</v>
      </c>
      <c r="DE7" s="160"/>
      <c r="DF7" s="144"/>
    </row>
    <row r="8" spans="2:110" ht="18" customHeight="1" x14ac:dyDescent="0.3">
      <c r="BE8" s="130"/>
      <c r="BF8" s="134"/>
      <c r="BG8" s="134"/>
      <c r="BH8" s="134"/>
      <c r="BI8" s="134"/>
      <c r="BJ8" s="134"/>
      <c r="BK8" s="134"/>
      <c r="CO8" s="197"/>
      <c r="CU8" s="199"/>
      <c r="CV8" s="138" t="s">
        <v>123</v>
      </c>
      <c r="CW8" s="166" cm="1">
        <f t="array" ref="CW8">IFERROR(SUM(_xlfn._xlws.FILTER(Table_Datafeed[Lợi nhuận kinh doanh],
(Table_Datafeed[Kỳ] &gt;= Pivot!$E$2)*
(Table_Datafeed[Kỳ]&lt;=Pivot!$E$3)
)),0)</f>
        <v>0</v>
      </c>
      <c r="CX8" s="138" t="str">
        <f>IFERROR(TEXT(CW8,LOOKUP(CW8,Pivot!$B$6:$B$12,Pivot!$C$6:$C$12)),"")</f>
        <v/>
      </c>
      <c r="CY8" s="179" t="e" cm="1" vm="1">
        <f t="array" ref="CY8">CW8/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#VALUE!</v>
      </c>
      <c r="CZ8" s="138" cm="1">
        <f t="array" ref="CZ8">CW8-
IFERROR(SUM(_xlfn._xlws.FILTER(Table_Datafeed[Lợi nhuận kinh doanh],
(Table_Datafeed[Kỳ] &gt;= DATE(YEAR(Pivot!$E$2)-1,MONTH(Pivot!$E$2),1))*
(Table_Datafeed[Kỳ]&lt;=DATE(YEAR(Pivot!$E$3)-1,MONTH(Pivot!$E$3),1))
)),0)</f>
        <v>0</v>
      </c>
      <c r="DA8" s="138" t="str" cm="1">
        <f t="array" ref="DA8">IF(CW8-
IFERROR(SUM(_xlfn._xlws.FILTER(Table_Datafeed[Lợi nhuận kinh doanh],
(Table_Datafeed[Kỳ] &gt;= DATE(YEAR(Pivot!$E$2)-1,MONTH(Pivot!$E$2),1))*
(Table_Datafeed[Kỳ]&lt;=DATE(YEAR(Pivot!$E$3)-1,MONTH(Pivot!$E$3),1))
)),0)&gt;0,"tăng",
IF(CW8-
IFERROR(SUM(_xlfn._xlws.FILTER(Table_Datafeed[Lợi nhuận kinh doanh],
(Table_Datafeed[Kỳ] &gt;= DATE(YEAR(Pivot!$E$2)-1,MONTH(Pivot!$E$2),1))*
(Table_Datafeed[Kỳ]&lt;=DATE(YEAR(Pivot!$E$3)-1,MONTH(Pivot!$E$3),1))
)),0)&lt;0,"giảm","không đổi"))</f>
        <v>không đổi</v>
      </c>
      <c r="DB8" s="138" t="str">
        <f>IFERROR(TEXT(ABS(CZ8),LOOKUP(ABS(CZ8),Pivot!$B$6:$B$12,Pivot!$C$6:$C$12)),"")</f>
        <v/>
      </c>
      <c r="DC8" s="144" t="e" cm="1" vm="2">
        <f t="array" ref="DC8">ABS(CY8-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#VALUE!</v>
      </c>
      <c r="DD8" s="138" t="e" cm="1" vm="2">
        <f t="array" ref="DD8">IF(CY8-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E8" s="144" cm="1">
        <f t="array" ref="DE8">IFERROR(
SUM(_xlfn._xlws.FILTER(Table_Datafeed[Lợi nhuận biến đổi],
(Table_Datafeed[Kỳ] &gt;=Pivot!$E$2)*
(Table_Datafeed[Kỳ] &lt;=Pivot!$E$3)
)) /
SUM(_xlfn._xlws.FILTER(Table_Datafeed[Doanh thu],
(Table_Datafeed[Kỳ] &gt;=Pivot!$E$2)*
(Table_Datafeed[Kỳ] &lt;=Pivot!$E$3)
)),0)</f>
        <v>0</v>
      </c>
      <c r="DF8" s="166" cm="1">
        <f t="array" ref="DF8">ROUND(1000000*(DE8-IFERROR(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10" ht="18" customHeight="1" x14ac:dyDescent="0.3">
      <c r="BE9" s="130"/>
      <c r="BF9" s="134"/>
      <c r="BG9" s="134"/>
      <c r="BH9" s="134"/>
      <c r="BI9" s="134"/>
      <c r="BJ9" s="134"/>
      <c r="BK9" s="134"/>
      <c r="CO9" s="197"/>
      <c r="CU9" s="199"/>
      <c r="CV9" s="138" t="s">
        <v>124</v>
      </c>
      <c r="CW9" s="166" cm="1">
        <f t="array" ref="CW9">IFERROR(SUM(_xlfn._xlws.FILTER(Table_Datafeed[Dòng tiền vận hành],
(Table_Datafeed[Kỳ] &gt;= Pivot!$E$2)*
(Table_Datafeed[Kỳ]&lt;=Pivot!$E$3)
)),0)</f>
        <v>0</v>
      </c>
      <c r="CX9" s="138" t="str">
        <f>IFERROR(TEXT(CW9,LOOKUP(CW9,Pivot!$B$6:$B$12,Pivot!$C$6:$C$12)),"")</f>
        <v/>
      </c>
      <c r="CY9" s="179" cm="1">
        <f t="array" ref="CY9">CW9/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0</v>
      </c>
      <c r="CZ9" s="138" cm="1">
        <f t="array" ref="CZ9">CW9-
IFERROR(SUM(_xlfn._xlws.FILTER(Table_Datafeed[Dòng tiền vận hành],
(Table_Datafeed[Kỳ] &gt;= DATE(YEAR(Pivot!$E$2)-1,MONTH(Pivot!$E$2),1))*
(Table_Datafeed[Kỳ]&lt;=DATE(YEAR(Pivot!$E$3)-1,MONTH(Pivot!$E$3),1))
)),0)</f>
        <v>0</v>
      </c>
      <c r="DA9" s="138" t="str" cm="1">
        <f t="array" ref="DA9">IF(CW9-
IFERROR(SUM(_xlfn._xlws.FILTER(Table_Datafeed[Dòng tiền vận hành],
(Table_Datafeed[Kỳ] &gt;= DATE(YEAR(Pivot!$E$2)-1,MONTH(Pivot!$E$2),1))*
(Table_Datafeed[Kỳ]&lt;=DATE(YEAR(Pivot!$E$3)-1,MONTH(Pivot!$E$3),1))
)),0)&gt;0,"tăng",
IF(CW9-
IFERROR(SUM(_xlfn._xlws.FILTER(Table_Datafeed[Dòng tiền vận hành],
(Table_Datafeed[Kỳ] &gt;= DATE(YEAR(Pivot!$E$2)-1,MONTH(Pivot!$E$2),1))*
(Table_Datafeed[Kỳ]&lt;=DATE(YEAR(Pivot!$E$3)-1,MONTH(Pivot!$E$3),1))
)),0)&lt;0,"giảm","không đổi"))</f>
        <v>không đổi</v>
      </c>
      <c r="DB9" s="138" t="str">
        <f>IFERROR(TEXT(ABS(CZ9),LOOKUP(ABS(CZ9),Pivot!$B$6:$B$12,Pivot!$C$6:$C$12)),"")</f>
        <v/>
      </c>
      <c r="DC9" s="144" cm="1">
        <f t="array" ref="DC9">ABS(CY9-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0</v>
      </c>
      <c r="DD9" s="138" t="str" cm="1">
        <f t="array" ref="DD9" xml:space="preserve">
IF(CY9-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E9" s="144" cm="1">
        <f t="array" ref="DE9">IFERROR(
SUM(_xlfn._xlws.FILTER(Table_Datafeed[Tiền bán hàng],
(Table_Datafeed[Kỳ] &gt;=Pivot!$E$2)*
(Table_Datafeed[Kỳ] &lt;=Pivot!$E$3)
)) /
SUM(_xlfn._xlws.FILTER(Table_Datafeed[Doanh thu],
(Table_Datafeed[Kỳ] &gt;=Pivot!$E$2)*
(Table_Datafeed[Kỳ] &lt;=Pivot!$E$3)
)),0)</f>
        <v>0</v>
      </c>
      <c r="DF9" s="166" cm="1">
        <f t="array" ref="DF9">ROUND(1000000*(DE9-IFERROR(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10" ht="18" customHeight="1" x14ac:dyDescent="0.3">
      <c r="BE10" s="130"/>
      <c r="BF10" s="134"/>
      <c r="BG10" s="134"/>
      <c r="BH10" s="134"/>
      <c r="BI10" s="134"/>
      <c r="BJ10" s="134"/>
      <c r="BK10" s="134"/>
      <c r="CO10" s="197"/>
      <c r="CU10" s="199"/>
      <c r="CV10" s="142" t="s">
        <v>125</v>
      </c>
      <c r="DD10" s="144"/>
      <c r="DE10" s="144"/>
    </row>
    <row r="11" spans="2:110" ht="18" customHeight="1" x14ac:dyDescent="0.3">
      <c r="BE11" s="130"/>
      <c r="BF11" s="134"/>
      <c r="BG11" s="134"/>
      <c r="BH11" s="134"/>
      <c r="BI11" s="134"/>
      <c r="BJ11" s="134"/>
      <c r="BK11" s="134"/>
      <c r="CO11" s="197"/>
      <c r="CU11" s="199"/>
      <c r="CV11" s="138" t="str" cm="1">
        <f t="array" ref="CV11">_xlfn.IFS(
($CV$12)=1, "sản lượng trong kỳ",
($CV$12)=2, "doanh thu trong kỳ",
($CV$12)=3, "lợi nhuận trong kỳ",
($CV$12)=4, "dòng tiền trong kỳ"
)</f>
        <v>sản lượng trong kỳ</v>
      </c>
      <c r="CX11" s="138">
        <f>COUNTIF(Dashboard_BCQT!$CX$14:$CX$25, "&gt;0")</f>
        <v>0</v>
      </c>
      <c r="DD11" s="144"/>
      <c r="DE11" s="144"/>
    </row>
    <row r="12" spans="2:110" ht="18" customHeight="1" x14ac:dyDescent="0.3">
      <c r="BE12" s="130"/>
      <c r="BF12" s="134"/>
      <c r="BG12" s="134"/>
      <c r="BH12" s="134"/>
      <c r="BI12" s="134"/>
      <c r="BJ12" s="134"/>
      <c r="BK12" s="134"/>
      <c r="CO12" s="197"/>
      <c r="CU12" s="199"/>
      <c r="CV12" s="138">
        <v>1</v>
      </c>
      <c r="CX12" s="144" t="e">
        <f>SUM(Dashboard_BCQT!$CX$14:$CX$25)/SUM(Dashboard_BCQT!$CW$14:$CW$25)</f>
        <v>#DIV/0!</v>
      </c>
      <c r="DD12" s="144"/>
      <c r="DE12" s="144"/>
    </row>
    <row r="13" spans="2:110" ht="18" customHeight="1" x14ac:dyDescent="0.3">
      <c r="BE13" s="130"/>
      <c r="BF13" s="134"/>
      <c r="BG13" s="134"/>
      <c r="BH13" s="134"/>
      <c r="BI13" s="134"/>
      <c r="BJ13" s="134"/>
      <c r="BK13" s="134"/>
      <c r="CO13" s="197"/>
      <c r="CU13" s="199"/>
      <c r="CV13" s="138" t="s">
        <v>1</v>
      </c>
      <c r="CW13" s="138" t="s">
        <v>66</v>
      </c>
      <c r="CX13" s="138" t="s">
        <v>126</v>
      </c>
      <c r="CY13" s="138" t="s">
        <v>127</v>
      </c>
      <c r="CZ13" s="138" t="s">
        <v>68</v>
      </c>
      <c r="DD13" s="144"/>
      <c r="DE13" s="144"/>
    </row>
    <row r="14" spans="2:110" ht="18" customHeight="1" x14ac:dyDescent="0.3">
      <c r="BE14" s="130"/>
      <c r="BF14" s="134"/>
      <c r="BG14" s="134"/>
      <c r="BH14" s="134"/>
      <c r="BI14" s="134"/>
      <c r="BJ14" s="134"/>
      <c r="BK14" s="134"/>
      <c r="CO14" s="197"/>
      <c r="CU14" s="199"/>
      <c r="CV14" s="138">
        <v>1</v>
      </c>
      <c r="CW14" s="138" cm="1">
        <f t="array" ref="CW14">IFERROR(
_xlfn.IFS(
($CV$12)=1,
SUM(_xlfn._xlws.FILTER(Table_Datafeed[Sản lượng],
(Table_Datafeed[Kỳ]&gt;=Pivot!$E$2)*
(Table_Datafeed[Kỳ]&lt;=Pivot!$E$3)*
(Table_Datafeed[Tháng] = $CV14))),
($CV$12)=2,
SUM(_xlfn._xlws.FILTER(Table_Datafeed[Doanh thu],
(Table_Datafeed[Kỳ]&gt;=Pivot!$E$2)*
(Table_Datafeed[Kỳ]&lt;=Pivot!$E$3)*
(Table_Datafeed[Tháng] = $CV14))),
($CV$12)=3,
SUM(_xlfn._xlws.FILTER(Table_Datafeed[Lợi nhuận kinh doanh],
(Table_Datafeed[Kỳ]&gt;=Pivot!$E$2)*
(Table_Datafeed[Kỳ]&lt;=Pivot!$E$3)*
(Table_Datafeed[Tháng] =$CV14))),
($CV$12)=4,
SUM(_xlfn._xlws.FILTER(Table_Datafeed[Dòng tiền vận hành],
(Table_Datafeed[Kỳ]&gt;=Pivot!$E$2)*
(Table_Datafeed[Kỳ]&lt;=Pivot!$E$3)*
(Table_Datafeed[Tháng] = $CV14)))
),0)</f>
        <v>0</v>
      </c>
      <c r="CX14" s="138" cm="1">
        <f t="array" ref="CX14" xml:space="preserve">
IFERROR(
_xlfn.IFS(
AND($CV$12=1, $CZ14&gt;=$BM$18),$CW14,
AND($CV$12=2, $CZ14&gt;=0),$CW14,
AND($CV$12=3, $CZ14&gt;=$BM$24),$CW14,
AND($CV$12=4, $CZ14&gt;=$BM$27),$CW14
),"")</f>
        <v>0</v>
      </c>
      <c r="CY14" s="138" t="str">
        <f>IFERROR(TEXT($CX14,LOOKUP($CX14,Pivot!$B$6:$B$12,Pivot!$C$6:$C$12)),"")</f>
        <v/>
      </c>
      <c r="CZ14" s="138" t="str" cm="1">
        <f t="array" ref="CZ14">IFERROR(
_xlfn.IFS(
$CV$12=1,
AVERAGE(_xlfn._xlws.FILTER(Table_Datafeed[Tỷ lệ hòa vốn],
(Table_Datafeed[Kỳ] &gt;= Pivot!$E$2)*
(Table_Datafeed[Kỳ] &lt;= Pivot!$E$3)*
(Table_Datafeed[Tháng] = $CV14))),
$CV$12=2, $CW14/$BM$21-1,
$CV$12=3,
AVERAGE(_xlfn._xlws.FILTER(Table_Datafeed[Hiệu quả lợi nhuận],
(Table_Datafeed[Kỳ] &gt;= Pivot!$E$2)*
(Table_Datafeed[Kỳ] &lt;= Pivot!$E$3)*
(Table_Datafeed[Tháng] = $CV14))),
$CV$12=4,
AVERAGE(_xlfn._xlws.FILTER(Table_Datafeed[Hiệu quả dòng tiền kinh doanh],
(Table_Datafeed[Kỳ] &gt;= Pivot!$E$2)*
(Table_Datafeed[Kỳ] &lt;= Pivot!$E$3)*
(Table_Datafeed[Tháng] = $CV14)))
),"")</f>
        <v/>
      </c>
      <c r="DA14" s="144"/>
      <c r="DD14" s="144"/>
      <c r="DE14" s="144"/>
    </row>
    <row r="15" spans="2:110" ht="18" customHeight="1" x14ac:dyDescent="0.3">
      <c r="BE15" s="130"/>
      <c r="BF15" s="134"/>
      <c r="BG15" s="134"/>
      <c r="BH15" s="134"/>
      <c r="BI15" s="134"/>
      <c r="BJ15" s="134"/>
      <c r="BK15" s="134"/>
      <c r="BM15" s="152" t="s">
        <v>128</v>
      </c>
      <c r="CO15" s="197"/>
      <c r="CU15" s="199"/>
      <c r="CV15" s="138">
        <v>2</v>
      </c>
      <c r="CW15" s="138" cm="1">
        <f t="array" ref="CW15">IFERROR(
_xlfn.IFS(
($CV$12)=1,
SUM(_xlfn._xlws.FILTER(Table_Datafeed[Sản lượng],
(Table_Datafeed[Kỳ]&gt;=Pivot!$E$2)*
(Table_Datafeed[Kỳ]&lt;=Pivot!$E$3)*
(Table_Datafeed[Tháng] = $CV15))),
($CV$12)=2,
SUM(_xlfn._xlws.FILTER(Table_Datafeed[Doanh thu],
(Table_Datafeed[Kỳ]&gt;=Pivot!$E$2)*
(Table_Datafeed[Kỳ]&lt;=Pivot!$E$3)*
(Table_Datafeed[Tháng] = $CV15))),
($CV$12)=3,
SUM(_xlfn._xlws.FILTER(Table_Datafeed[Lợi nhuận kinh doanh],
(Table_Datafeed[Kỳ]&gt;=Pivot!$E$2)*
(Table_Datafeed[Kỳ]&lt;=Pivot!$E$3)*
(Table_Datafeed[Tháng] =$CV15))),
($CV$12)=4,
SUM(_xlfn._xlws.FILTER(Table_Datafeed[Dòng tiền vận hành],
(Table_Datafeed[Kỳ]&gt;=Pivot!$E$2)*
(Table_Datafeed[Kỳ]&lt;=Pivot!$E$3)*
(Table_Datafeed[Tháng] = $CV15)))
),0)</f>
        <v>0</v>
      </c>
      <c r="CX15" s="138" cm="1">
        <f t="array" ref="CX15" xml:space="preserve">
IFERROR(
_xlfn.IFS(
AND($CV$12=1, $CZ15&gt;=$BM$18),$CW15,
AND($CV$12=2, $CZ15&gt;=0),$CW15,
AND($CV$12=3, $CZ15&gt;=$BM$24),$CW15,
AND($CV$12=4, $CZ15&gt;=$BM$27),$CW15
),"")</f>
        <v>0</v>
      </c>
      <c r="CY15" s="138" t="str">
        <f>IFERROR(TEXT($CX15,LOOKUP($CX15,Pivot!$B$6:$B$12,Pivot!$C$6:$C$12)),"")</f>
        <v/>
      </c>
      <c r="CZ15" s="138" t="str" cm="1">
        <f t="array" ref="CZ15">IFERROR(
_xlfn.IFS(
$CV$12=1,
AVERAGE(_xlfn._xlws.FILTER(Table_Datafeed[Tỷ lệ hòa vốn],
(Table_Datafeed[Kỳ] &gt;= Pivot!$E$2)*
(Table_Datafeed[Kỳ] &lt;= Pivot!$E$3)*
(Table_Datafeed[Tháng] = $CV15))),
$CV$12=2, $CW15/$BM$21-1,
$CV$12=3,
AVERAGE(_xlfn._xlws.FILTER(Table_Datafeed[Hiệu quả lợi nhuận],
(Table_Datafeed[Kỳ] &gt;= Pivot!$E$2)*
(Table_Datafeed[Kỳ] &lt;= Pivot!$E$3)*
(Table_Datafeed[Tháng] = $CV15))),
$CV$12=4,
AVERAGE(_xlfn._xlws.FILTER(Table_Datafeed[Hiệu quả dòng tiền kinh doanh],
(Table_Datafeed[Kỳ] &gt;= Pivot!$E$2)*
(Table_Datafeed[Kỳ] &lt;= Pivot!$E$3)*
(Table_Datafeed[Tháng] = $CV15)))
),"")</f>
        <v/>
      </c>
      <c r="DA15" s="144"/>
      <c r="DD15" s="144"/>
      <c r="DE15" s="144"/>
    </row>
    <row r="16" spans="2:110" ht="18" customHeight="1" x14ac:dyDescent="0.3">
      <c r="BE16" s="130"/>
      <c r="BF16" s="134"/>
      <c r="BG16" s="134"/>
      <c r="BH16" s="134"/>
      <c r="BI16" s="134"/>
      <c r="BJ16" s="134"/>
      <c r="BK16" s="134"/>
      <c r="BM16" s="200"/>
      <c r="BR16" s="201"/>
      <c r="BS16" s="201"/>
      <c r="CO16" s="197"/>
      <c r="CU16" s="199"/>
      <c r="CV16" s="138">
        <v>3</v>
      </c>
      <c r="CW16" s="138" cm="1">
        <f t="array" ref="CW16">IFERROR(
_xlfn.IFS(
($CV$12)=1,
SUM(_xlfn._xlws.FILTER(Table_Datafeed[Sản lượng],
(Table_Datafeed[Kỳ]&gt;=Pivot!$E$2)*
(Table_Datafeed[Kỳ]&lt;=Pivot!$E$3)*
(Table_Datafeed[Tháng] = $CV16))),
($CV$12)=2,
SUM(_xlfn._xlws.FILTER(Table_Datafeed[Doanh thu],
(Table_Datafeed[Kỳ]&gt;=Pivot!$E$2)*
(Table_Datafeed[Kỳ]&lt;=Pivot!$E$3)*
(Table_Datafeed[Tháng] = $CV16))),
($CV$12)=3,
SUM(_xlfn._xlws.FILTER(Table_Datafeed[Lợi nhuận kinh doanh],
(Table_Datafeed[Kỳ]&gt;=Pivot!$E$2)*
(Table_Datafeed[Kỳ]&lt;=Pivot!$E$3)*
(Table_Datafeed[Tháng] =$CV16))),
($CV$12)=4,
SUM(_xlfn._xlws.FILTER(Table_Datafeed[Dòng tiền vận hành],
(Table_Datafeed[Kỳ]&gt;=Pivot!$E$2)*
(Table_Datafeed[Kỳ]&lt;=Pivot!$E$3)*
(Table_Datafeed[Tháng] = $CV16)))
),0)</f>
        <v>0</v>
      </c>
      <c r="CX16" s="138" cm="1">
        <f t="array" ref="CX16" xml:space="preserve">
IFERROR(
_xlfn.IFS(
AND($CV$12=1, $CZ16&gt;=$BM$18),$CW16,
AND($CV$12=2, $CZ16&gt;=0),$CW16,
AND($CV$12=3, $CZ16&gt;=$BM$24),$CW16,
AND($CV$12=4, $CZ16&gt;=$BM$27),$CW16
),"")</f>
        <v>0</v>
      </c>
      <c r="CY16" s="138" t="str">
        <f>IFERROR(TEXT($CX16,LOOKUP($CX16,Pivot!$B$6:$B$12,Pivot!$C$6:$C$12)),"")</f>
        <v/>
      </c>
      <c r="CZ16" s="138" t="str" cm="1">
        <f t="array" ref="CZ16">IFERROR(
_xlfn.IFS(
$CV$12=1,
AVERAGE(_xlfn._xlws.FILTER(Table_Datafeed[Tỷ lệ hòa vốn],
(Table_Datafeed[Kỳ] &gt;= Pivot!$E$2)*
(Table_Datafeed[Kỳ] &lt;= Pivot!$E$3)*
(Table_Datafeed[Tháng] = $CV16))),
$CV$12=2, $CW16/$BM$21-1,
$CV$12=3,
AVERAGE(_xlfn._xlws.FILTER(Table_Datafeed[Hiệu quả lợi nhuận],
(Table_Datafeed[Kỳ] &gt;= Pivot!$E$2)*
(Table_Datafeed[Kỳ] &lt;= Pivot!$E$3)*
(Table_Datafeed[Tháng] = $CV16))),
$CV$12=4,
AVERAGE(_xlfn._xlws.FILTER(Table_Datafeed[Hiệu quả dòng tiền kinh doanh],
(Table_Datafeed[Kỳ] &gt;= Pivot!$E$2)*
(Table_Datafeed[Kỳ] &lt;= Pivot!$E$3)*
(Table_Datafeed[Tháng] = $CV16)))
),"")</f>
        <v/>
      </c>
      <c r="DA16" s="144"/>
      <c r="DD16" s="144"/>
      <c r="DE16" s="144"/>
    </row>
    <row r="17" spans="57:109" ht="18" customHeight="1" x14ac:dyDescent="0.3">
      <c r="BE17" s="130"/>
      <c r="BF17" s="134"/>
      <c r="BG17" s="134"/>
      <c r="BH17" s="134"/>
      <c r="BI17" s="134"/>
      <c r="BJ17" s="134"/>
      <c r="BK17" s="134"/>
      <c r="BM17" s="153" t="s">
        <v>75</v>
      </c>
      <c r="CO17" s="197"/>
      <c r="CU17" s="199"/>
      <c r="CV17" s="138">
        <v>4</v>
      </c>
      <c r="CW17" s="138" cm="1">
        <f t="array" ref="CW17">IFERROR(
_xlfn.IFS(
($CV$12)=1,
SUM(_xlfn._xlws.FILTER(Table_Datafeed[Sản lượng],
(Table_Datafeed[Kỳ]&gt;=Pivot!$E$2)*
(Table_Datafeed[Kỳ]&lt;=Pivot!$E$3)*
(Table_Datafeed[Tháng] = $CV17))),
($CV$12)=2,
SUM(_xlfn._xlws.FILTER(Table_Datafeed[Doanh thu],
(Table_Datafeed[Kỳ]&gt;=Pivot!$E$2)*
(Table_Datafeed[Kỳ]&lt;=Pivot!$E$3)*
(Table_Datafeed[Tháng] = $CV17))),
($CV$12)=3,
SUM(_xlfn._xlws.FILTER(Table_Datafeed[Lợi nhuận kinh doanh],
(Table_Datafeed[Kỳ]&gt;=Pivot!$E$2)*
(Table_Datafeed[Kỳ]&lt;=Pivot!$E$3)*
(Table_Datafeed[Tháng] =$CV17))),
($CV$12)=4,
SUM(_xlfn._xlws.FILTER(Table_Datafeed[Dòng tiền vận hành],
(Table_Datafeed[Kỳ]&gt;=Pivot!$E$2)*
(Table_Datafeed[Kỳ]&lt;=Pivot!$E$3)*
(Table_Datafeed[Tháng] = $CV17)))
),0)</f>
        <v>0</v>
      </c>
      <c r="CX17" s="138" cm="1">
        <f t="array" ref="CX17" xml:space="preserve">
IFERROR(
_xlfn.IFS(
AND($CV$12=1, $CZ17&gt;=$BM$18),$CW17,
AND($CV$12=2, $CZ17&gt;=0),$CW17,
AND($CV$12=3, $CZ17&gt;=$BM$24),$CW17,
AND($CV$12=4, $CZ17&gt;=$BM$27),$CW17
),"")</f>
        <v>0</v>
      </c>
      <c r="CY17" s="138" t="str">
        <f>IFERROR(TEXT($CX17,LOOKUP($CX17,Pivot!$B$6:$B$12,Pivot!$C$6:$C$12)),"")</f>
        <v/>
      </c>
      <c r="CZ17" s="138" t="str" cm="1">
        <f t="array" ref="CZ17">IFERROR(
_xlfn.IFS(
$CV$12=1,
AVERAGE(_xlfn._xlws.FILTER(Table_Datafeed[Tỷ lệ hòa vốn],
(Table_Datafeed[Kỳ] &gt;= Pivot!$E$2)*
(Table_Datafeed[Kỳ] &lt;= Pivot!$E$3)*
(Table_Datafeed[Tháng] = $CV17))),
$CV$12=2, $CW17/$BM$21-1,
$CV$12=3,
AVERAGE(_xlfn._xlws.FILTER(Table_Datafeed[Hiệu quả lợi nhuận],
(Table_Datafeed[Kỳ] &gt;= Pivot!$E$2)*
(Table_Datafeed[Kỳ] &lt;= Pivot!$E$3)*
(Table_Datafeed[Tháng] = $CV17))),
$CV$12=4,
AVERAGE(_xlfn._xlws.FILTER(Table_Datafeed[Hiệu quả dòng tiền kinh doanh],
(Table_Datafeed[Kỳ] &gt;= Pivot!$E$2)*
(Table_Datafeed[Kỳ] &lt;= Pivot!$E$3)*
(Table_Datafeed[Tháng] = $CV17)))
),"")</f>
        <v/>
      </c>
      <c r="DA17" s="144"/>
      <c r="DD17" s="144"/>
      <c r="DE17" s="144"/>
    </row>
    <row r="18" spans="57:109" ht="18" customHeight="1" x14ac:dyDescent="0.3">
      <c r="BE18" s="130"/>
      <c r="BF18" s="134"/>
      <c r="BG18" s="134"/>
      <c r="BH18" s="134"/>
      <c r="BI18" s="134"/>
      <c r="BJ18" s="134"/>
      <c r="BK18" s="134"/>
      <c r="BM18" s="154">
        <v>0.05</v>
      </c>
      <c r="CO18" s="197"/>
      <c r="CU18" s="199"/>
      <c r="CV18" s="138">
        <v>5</v>
      </c>
      <c r="CW18" s="138" cm="1">
        <f t="array" ref="CW18">IFERROR(
_xlfn.IFS(
($CV$12)=1,
SUM(_xlfn._xlws.FILTER(Table_Datafeed[Sản lượng],
(Table_Datafeed[Kỳ]&gt;=Pivot!$E$2)*
(Table_Datafeed[Kỳ]&lt;=Pivot!$E$3)*
(Table_Datafeed[Tháng] = $CV18))),
($CV$12)=2,
SUM(_xlfn._xlws.FILTER(Table_Datafeed[Doanh thu],
(Table_Datafeed[Kỳ]&gt;=Pivot!$E$2)*
(Table_Datafeed[Kỳ]&lt;=Pivot!$E$3)*
(Table_Datafeed[Tháng] = $CV18))),
($CV$12)=3,
SUM(_xlfn._xlws.FILTER(Table_Datafeed[Lợi nhuận kinh doanh],
(Table_Datafeed[Kỳ]&gt;=Pivot!$E$2)*
(Table_Datafeed[Kỳ]&lt;=Pivot!$E$3)*
(Table_Datafeed[Tháng] =$CV18))),
($CV$12)=4,
SUM(_xlfn._xlws.FILTER(Table_Datafeed[Dòng tiền vận hành],
(Table_Datafeed[Kỳ]&gt;=Pivot!$E$2)*
(Table_Datafeed[Kỳ]&lt;=Pivot!$E$3)*
(Table_Datafeed[Tháng] = $CV18)))
),0)</f>
        <v>0</v>
      </c>
      <c r="CX18" s="138" cm="1">
        <f t="array" ref="CX18" xml:space="preserve">
IFERROR(
_xlfn.IFS(
AND($CV$12=1, $CZ18&gt;=$BM$18),$CW18,
AND($CV$12=2, $CZ18&gt;=0),$CW18,
AND($CV$12=3, $CZ18&gt;=$BM$24),$CW18,
AND($CV$12=4, $CZ18&gt;=$BM$27),$CW18
),"")</f>
        <v>0</v>
      </c>
      <c r="CY18" s="138" t="str">
        <f>IFERROR(TEXT($CX18,LOOKUP($CX18,Pivot!$B$6:$B$12,Pivot!$C$6:$C$12)),"")</f>
        <v/>
      </c>
      <c r="CZ18" s="138" t="str" cm="1">
        <f t="array" ref="CZ18">IFERROR(
_xlfn.IFS(
$CV$12=1,
AVERAGE(_xlfn._xlws.FILTER(Table_Datafeed[Tỷ lệ hòa vốn],
(Table_Datafeed[Kỳ] &gt;= Pivot!$E$2)*
(Table_Datafeed[Kỳ] &lt;= Pivot!$E$3)*
(Table_Datafeed[Tháng] = $CV18))),
$CV$12=2, $CW18/$BM$21-1,
$CV$12=3,
AVERAGE(_xlfn._xlws.FILTER(Table_Datafeed[Hiệu quả lợi nhuận],
(Table_Datafeed[Kỳ] &gt;= Pivot!$E$2)*
(Table_Datafeed[Kỳ] &lt;= Pivot!$E$3)*
(Table_Datafeed[Tháng] = $CV18))),
$CV$12=4,
AVERAGE(_xlfn._xlws.FILTER(Table_Datafeed[Hiệu quả dòng tiền kinh doanh],
(Table_Datafeed[Kỳ] &gt;= Pivot!$E$2)*
(Table_Datafeed[Kỳ] &lt;= Pivot!$E$3)*
(Table_Datafeed[Tháng] = $CV18)))
),"")</f>
        <v/>
      </c>
      <c r="DA18" s="144"/>
    </row>
    <row r="19" spans="57:109" ht="18" customHeight="1" x14ac:dyDescent="0.3">
      <c r="BE19" s="130"/>
      <c r="BF19" s="134"/>
      <c r="BG19" s="134"/>
      <c r="BH19" s="134"/>
      <c r="BI19" s="134"/>
      <c r="BJ19" s="134"/>
      <c r="BK19" s="134"/>
      <c r="BM19" s="200"/>
      <c r="CO19" s="197"/>
      <c r="CU19" s="199"/>
      <c r="CV19" s="138">
        <v>6</v>
      </c>
      <c r="CW19" s="138" cm="1">
        <f t="array" ref="CW19">IFERROR(
_xlfn.IFS(
($CV$12)=1,
SUM(_xlfn._xlws.FILTER(Table_Datafeed[Sản lượng],
(Table_Datafeed[Kỳ]&gt;=Pivot!$E$2)*
(Table_Datafeed[Kỳ]&lt;=Pivot!$E$3)*
(Table_Datafeed[Tháng] = $CV19))),
($CV$12)=2,
SUM(_xlfn._xlws.FILTER(Table_Datafeed[Doanh thu],
(Table_Datafeed[Kỳ]&gt;=Pivot!$E$2)*
(Table_Datafeed[Kỳ]&lt;=Pivot!$E$3)*
(Table_Datafeed[Tháng] = $CV19))),
($CV$12)=3,
SUM(_xlfn._xlws.FILTER(Table_Datafeed[Lợi nhuận kinh doanh],
(Table_Datafeed[Kỳ]&gt;=Pivot!$E$2)*
(Table_Datafeed[Kỳ]&lt;=Pivot!$E$3)*
(Table_Datafeed[Tháng] =$CV19))),
($CV$12)=4,
SUM(_xlfn._xlws.FILTER(Table_Datafeed[Dòng tiền vận hành],
(Table_Datafeed[Kỳ]&gt;=Pivot!$E$2)*
(Table_Datafeed[Kỳ]&lt;=Pivot!$E$3)*
(Table_Datafeed[Tháng] = $CV19)))
),0)</f>
        <v>0</v>
      </c>
      <c r="CX19" s="138" cm="1">
        <f t="array" ref="CX19" xml:space="preserve">
IFERROR(
_xlfn.IFS(
AND($CV$12=1, $CZ19&gt;=$BM$18),$CW19,
AND($CV$12=2, $CZ19&gt;=0),$CW19,
AND($CV$12=3, $CZ19&gt;=$BM$24),$CW19,
AND($CV$12=4, $CZ19&gt;=$BM$27),$CW19
),"")</f>
        <v>0</v>
      </c>
      <c r="CY19" s="138" t="str">
        <f>IFERROR(TEXT($CX19,LOOKUP($CX19,Pivot!$B$6:$B$12,Pivot!$C$6:$C$12)),"")</f>
        <v/>
      </c>
      <c r="CZ19" s="138" t="str" cm="1">
        <f t="array" ref="CZ19">IFERROR(
_xlfn.IFS(
$CV$12=1,
AVERAGE(_xlfn._xlws.FILTER(Table_Datafeed[Tỷ lệ hòa vốn],
(Table_Datafeed[Kỳ] &gt;= Pivot!$E$2)*
(Table_Datafeed[Kỳ] &lt;= Pivot!$E$3)*
(Table_Datafeed[Tháng] = $CV19))),
$CV$12=2, $CW19/$BM$21-1,
$CV$12=3,
AVERAGE(_xlfn._xlws.FILTER(Table_Datafeed[Hiệu quả lợi nhuận],
(Table_Datafeed[Kỳ] &gt;= Pivot!$E$2)*
(Table_Datafeed[Kỳ] &lt;= Pivot!$E$3)*
(Table_Datafeed[Tháng] = $CV19))),
$CV$12=4,
AVERAGE(_xlfn._xlws.FILTER(Table_Datafeed[Hiệu quả dòng tiền kinh doanh],
(Table_Datafeed[Kỳ] &gt;= Pivot!$E$2)*
(Table_Datafeed[Kỳ] &lt;= Pivot!$E$3)*
(Table_Datafeed[Tháng] = $CV19)))
),"")</f>
        <v/>
      </c>
      <c r="DA19" s="144"/>
    </row>
    <row r="20" spans="57:109" ht="18" customHeight="1" x14ac:dyDescent="0.3">
      <c r="BE20" s="130"/>
      <c r="BF20" s="134"/>
      <c r="BG20" s="134"/>
      <c r="BH20" s="134"/>
      <c r="BI20" s="134"/>
      <c r="BJ20" s="134"/>
      <c r="BK20" s="134"/>
      <c r="BM20" s="153" t="s">
        <v>33</v>
      </c>
      <c r="CO20" s="197"/>
      <c r="CU20" s="199"/>
      <c r="CV20" s="138">
        <v>7</v>
      </c>
      <c r="CW20" s="138" cm="1">
        <f t="array" ref="CW20">IFERROR(
_xlfn.IFS(
($CV$12)=1,
SUM(_xlfn._xlws.FILTER(Table_Datafeed[Sản lượng],
(Table_Datafeed[Kỳ]&gt;=Pivot!$E$2)*
(Table_Datafeed[Kỳ]&lt;=Pivot!$E$3)*
(Table_Datafeed[Tháng] = $CV20))),
($CV$12)=2,
SUM(_xlfn._xlws.FILTER(Table_Datafeed[Doanh thu],
(Table_Datafeed[Kỳ]&gt;=Pivot!$E$2)*
(Table_Datafeed[Kỳ]&lt;=Pivot!$E$3)*
(Table_Datafeed[Tháng] = $CV20))),
($CV$12)=3,
SUM(_xlfn._xlws.FILTER(Table_Datafeed[Lợi nhuận kinh doanh],
(Table_Datafeed[Kỳ]&gt;=Pivot!$E$2)*
(Table_Datafeed[Kỳ]&lt;=Pivot!$E$3)*
(Table_Datafeed[Tháng] =$CV20))),
($CV$12)=4,
SUM(_xlfn._xlws.FILTER(Table_Datafeed[Dòng tiền vận hành],
(Table_Datafeed[Kỳ]&gt;=Pivot!$E$2)*
(Table_Datafeed[Kỳ]&lt;=Pivot!$E$3)*
(Table_Datafeed[Tháng] = $CV20)))
),0)</f>
        <v>0</v>
      </c>
      <c r="CX20" s="138" cm="1">
        <f t="array" ref="CX20" xml:space="preserve">
IFERROR(
_xlfn.IFS(
AND($CV$12=1, $CZ20&gt;=$BM$18),$CW20,
AND($CV$12=2, $CZ20&gt;=0),$CW20,
AND($CV$12=3, $CZ20&gt;=$BM$24),$CW20,
AND($CV$12=4, $CZ20&gt;=$BM$27),$CW20
),"")</f>
        <v>0</v>
      </c>
      <c r="CY20" s="138" t="str">
        <f>IFERROR(TEXT($CX20,LOOKUP($CX20,Pivot!$B$6:$B$12,Pivot!$C$6:$C$12)),"")</f>
        <v/>
      </c>
      <c r="CZ20" s="138" t="str" cm="1">
        <f t="array" ref="CZ20">IFERROR(
_xlfn.IFS(
$CV$12=1,
AVERAGE(_xlfn._xlws.FILTER(Table_Datafeed[Tỷ lệ hòa vốn],
(Table_Datafeed[Kỳ] &gt;= Pivot!$E$2)*
(Table_Datafeed[Kỳ] &lt;= Pivot!$E$3)*
(Table_Datafeed[Tháng] = $CV20))),
$CV$12=2, $CW20/$BM$21-1,
$CV$12=3,
AVERAGE(_xlfn._xlws.FILTER(Table_Datafeed[Hiệu quả lợi nhuận],
(Table_Datafeed[Kỳ] &gt;= Pivot!$E$2)*
(Table_Datafeed[Kỳ] &lt;= Pivot!$E$3)*
(Table_Datafeed[Tháng] = $CV20))),
$CV$12=4,
AVERAGE(_xlfn._xlws.FILTER(Table_Datafeed[Hiệu quả dòng tiền kinh doanh],
(Table_Datafeed[Kỳ] &gt;= Pivot!$E$2)*
(Table_Datafeed[Kỳ] &lt;= Pivot!$E$3)*
(Table_Datafeed[Tháng] = $CV20)))
),"")</f>
        <v/>
      </c>
      <c r="DA20" s="144"/>
      <c r="DD20" s="144"/>
      <c r="DE20" s="144"/>
    </row>
    <row r="21" spans="57:109" ht="18" customHeight="1" x14ac:dyDescent="0.3">
      <c r="BE21" s="130"/>
      <c r="BF21" s="134"/>
      <c r="BG21" s="134"/>
      <c r="BH21" s="134"/>
      <c r="BI21" s="134"/>
      <c r="BJ21" s="134"/>
      <c r="BK21" s="134"/>
      <c r="BM21" s="202">
        <v>400000000</v>
      </c>
      <c r="CO21" s="197"/>
      <c r="CU21" s="199"/>
      <c r="CV21" s="138">
        <v>8</v>
      </c>
      <c r="CW21" s="138" cm="1">
        <f t="array" ref="CW21">IFERROR(
_xlfn.IFS(
($CV$12)=1,
SUM(_xlfn._xlws.FILTER(Table_Datafeed[Sản lượng],
(Table_Datafeed[Kỳ]&gt;=Pivot!$E$2)*
(Table_Datafeed[Kỳ]&lt;=Pivot!$E$3)*
(Table_Datafeed[Tháng] = $CV21))),
($CV$12)=2,
SUM(_xlfn._xlws.FILTER(Table_Datafeed[Doanh thu],
(Table_Datafeed[Kỳ]&gt;=Pivot!$E$2)*
(Table_Datafeed[Kỳ]&lt;=Pivot!$E$3)*
(Table_Datafeed[Tháng] = $CV21))),
($CV$12)=3,
SUM(_xlfn._xlws.FILTER(Table_Datafeed[Lợi nhuận kinh doanh],
(Table_Datafeed[Kỳ]&gt;=Pivot!$E$2)*
(Table_Datafeed[Kỳ]&lt;=Pivot!$E$3)*
(Table_Datafeed[Tháng] =$CV21))),
($CV$12)=4,
SUM(_xlfn._xlws.FILTER(Table_Datafeed[Dòng tiền vận hành],
(Table_Datafeed[Kỳ]&gt;=Pivot!$E$2)*
(Table_Datafeed[Kỳ]&lt;=Pivot!$E$3)*
(Table_Datafeed[Tháng] = $CV21)))
),0)</f>
        <v>0</v>
      </c>
      <c r="CX21" s="138" cm="1">
        <f t="array" ref="CX21" xml:space="preserve">
IFERROR(
_xlfn.IFS(
AND($CV$12=1, $CZ21&gt;=$BM$18),$CW21,
AND($CV$12=2, $CZ21&gt;=0),$CW21,
AND($CV$12=3, $CZ21&gt;=$BM$24),$CW21,
AND($CV$12=4, $CZ21&gt;=$BM$27),$CW21
),"")</f>
        <v>0</v>
      </c>
      <c r="CY21" s="138" t="str">
        <f>IFERROR(TEXT($CX21,LOOKUP($CX21,Pivot!$B$6:$B$12,Pivot!$C$6:$C$12)),"")</f>
        <v/>
      </c>
      <c r="CZ21" s="138" t="str" cm="1">
        <f t="array" ref="CZ21">IFERROR(
_xlfn.IFS(
$CV$12=1,
AVERAGE(_xlfn._xlws.FILTER(Table_Datafeed[Tỷ lệ hòa vốn],
(Table_Datafeed[Kỳ] &gt;= Pivot!$E$2)*
(Table_Datafeed[Kỳ] &lt;= Pivot!$E$3)*
(Table_Datafeed[Tháng] = $CV21))),
$CV$12=2, $CW21/$BM$21-1,
$CV$12=3,
AVERAGE(_xlfn._xlws.FILTER(Table_Datafeed[Hiệu quả lợi nhuận],
(Table_Datafeed[Kỳ] &gt;= Pivot!$E$2)*
(Table_Datafeed[Kỳ] &lt;= Pivot!$E$3)*
(Table_Datafeed[Tháng] = $CV21))),
$CV$12=4,
AVERAGE(_xlfn._xlws.FILTER(Table_Datafeed[Hiệu quả dòng tiền kinh doanh],
(Table_Datafeed[Kỳ] &gt;= Pivot!$E$2)*
(Table_Datafeed[Kỳ] &lt;= Pivot!$E$3)*
(Table_Datafeed[Tháng] = $CV21)))
),"")</f>
        <v/>
      </c>
      <c r="DA21" s="144"/>
      <c r="DD21" s="144"/>
      <c r="DE21" s="144"/>
    </row>
    <row r="22" spans="57:109" ht="18" customHeight="1" x14ac:dyDescent="0.3">
      <c r="BE22" s="130"/>
      <c r="BF22" s="134"/>
      <c r="BG22" s="134"/>
      <c r="BH22" s="134"/>
      <c r="BI22" s="134"/>
      <c r="BJ22" s="134"/>
      <c r="BK22" s="134"/>
      <c r="BM22" s="200"/>
      <c r="CO22" s="197"/>
      <c r="CU22" s="199"/>
      <c r="CV22" s="138">
        <v>9</v>
      </c>
      <c r="CW22" s="138" cm="1">
        <f t="array" ref="CW22">IFERROR(
_xlfn.IFS(
($CV$12)=1,
SUM(_xlfn._xlws.FILTER(Table_Datafeed[Sản lượng],
(Table_Datafeed[Kỳ]&gt;=Pivot!$E$2)*
(Table_Datafeed[Kỳ]&lt;=Pivot!$E$3)*
(Table_Datafeed[Tháng] = $CV22))),
($CV$12)=2,
SUM(_xlfn._xlws.FILTER(Table_Datafeed[Doanh thu],
(Table_Datafeed[Kỳ]&gt;=Pivot!$E$2)*
(Table_Datafeed[Kỳ]&lt;=Pivot!$E$3)*
(Table_Datafeed[Tháng] = $CV22))),
($CV$12)=3,
SUM(_xlfn._xlws.FILTER(Table_Datafeed[Lợi nhuận kinh doanh],
(Table_Datafeed[Kỳ]&gt;=Pivot!$E$2)*
(Table_Datafeed[Kỳ]&lt;=Pivot!$E$3)*
(Table_Datafeed[Tháng] =$CV22))),
($CV$12)=4,
SUM(_xlfn._xlws.FILTER(Table_Datafeed[Dòng tiền vận hành],
(Table_Datafeed[Kỳ]&gt;=Pivot!$E$2)*
(Table_Datafeed[Kỳ]&lt;=Pivot!$E$3)*
(Table_Datafeed[Tháng] = $CV22)))
),0)</f>
        <v>0</v>
      </c>
      <c r="CX22" s="138" cm="1">
        <f t="array" ref="CX22" xml:space="preserve">
IFERROR(
_xlfn.IFS(
AND($CV$12=1, $CZ22&gt;=$BM$18),$CW22,
AND($CV$12=2, $CZ22&gt;=0),$CW22,
AND($CV$12=3, $CZ22&gt;=$BM$24),$CW22,
AND($CV$12=4, $CZ22&gt;=$BM$27),$CW22
),"")</f>
        <v>0</v>
      </c>
      <c r="CY22" s="138" t="str">
        <f>IFERROR(TEXT($CX22,LOOKUP($CX22,Pivot!$B$6:$B$12,Pivot!$C$6:$C$12)),"")</f>
        <v/>
      </c>
      <c r="CZ22" s="138" t="str" cm="1">
        <f t="array" ref="CZ22">IFERROR(
_xlfn.IFS(
$CV$12=1,
AVERAGE(_xlfn._xlws.FILTER(Table_Datafeed[Tỷ lệ hòa vốn],
(Table_Datafeed[Kỳ] &gt;= Pivot!$E$2)*
(Table_Datafeed[Kỳ] &lt;= Pivot!$E$3)*
(Table_Datafeed[Tháng] = $CV22))),
$CV$12=2, $CW22/$BM$21-1,
$CV$12=3,
AVERAGE(_xlfn._xlws.FILTER(Table_Datafeed[Hiệu quả lợi nhuận],
(Table_Datafeed[Kỳ] &gt;= Pivot!$E$2)*
(Table_Datafeed[Kỳ] &lt;= Pivot!$E$3)*
(Table_Datafeed[Tháng] = $CV22))),
$CV$12=4,
AVERAGE(_xlfn._xlws.FILTER(Table_Datafeed[Hiệu quả dòng tiền kinh doanh],
(Table_Datafeed[Kỳ] &gt;= Pivot!$E$2)*
(Table_Datafeed[Kỳ] &lt;= Pivot!$E$3)*
(Table_Datafeed[Tháng] = $CV22)))
),"")</f>
        <v/>
      </c>
      <c r="DA22" s="144"/>
    </row>
    <row r="23" spans="57:109" ht="18" customHeight="1" x14ac:dyDescent="0.3">
      <c r="BE23" s="130"/>
      <c r="BF23" s="134"/>
      <c r="BG23" s="134"/>
      <c r="BH23" s="134"/>
      <c r="BI23" s="134"/>
      <c r="BJ23" s="134"/>
      <c r="BK23" s="134"/>
      <c r="BM23" s="153" t="s">
        <v>98</v>
      </c>
      <c r="CO23" s="197"/>
      <c r="CU23" s="199"/>
      <c r="CV23" s="138">
        <v>10</v>
      </c>
      <c r="CW23" s="138" cm="1">
        <f t="array" ref="CW23">IFERROR(
_xlfn.IFS(
($CV$12)=1,
SUM(_xlfn._xlws.FILTER(Table_Datafeed[Sản lượng],
(Table_Datafeed[Kỳ]&gt;=Pivot!$E$2)*
(Table_Datafeed[Kỳ]&lt;=Pivot!$E$3)*
(Table_Datafeed[Tháng] = $CV23))),
($CV$12)=2,
SUM(_xlfn._xlws.FILTER(Table_Datafeed[Doanh thu],
(Table_Datafeed[Kỳ]&gt;=Pivot!$E$2)*
(Table_Datafeed[Kỳ]&lt;=Pivot!$E$3)*
(Table_Datafeed[Tháng] = $CV23))),
($CV$12)=3,
SUM(_xlfn._xlws.FILTER(Table_Datafeed[Lợi nhuận kinh doanh],
(Table_Datafeed[Kỳ]&gt;=Pivot!$E$2)*
(Table_Datafeed[Kỳ]&lt;=Pivot!$E$3)*
(Table_Datafeed[Tháng] =$CV23))),
($CV$12)=4,
SUM(_xlfn._xlws.FILTER(Table_Datafeed[Dòng tiền vận hành],
(Table_Datafeed[Kỳ]&gt;=Pivot!$E$2)*
(Table_Datafeed[Kỳ]&lt;=Pivot!$E$3)*
(Table_Datafeed[Tháng] = $CV23)))
),0)</f>
        <v>0</v>
      </c>
      <c r="CX23" s="138" cm="1">
        <f t="array" ref="CX23" xml:space="preserve">
IFERROR(
_xlfn.IFS(
AND($CV$12=1, $CZ23&gt;=$BM$18),$CW23,
AND($CV$12=2, $CZ23&gt;=0),$CW23,
AND($CV$12=3, $CZ23&gt;=$BM$24),$CW23,
AND($CV$12=4, $CZ23&gt;=$BM$27),$CW23
),"")</f>
        <v>0</v>
      </c>
      <c r="CY23" s="138" t="str">
        <f>IFERROR(TEXT($CX23,LOOKUP($CX23,Pivot!$B$6:$B$12,Pivot!$C$6:$C$12)),"")</f>
        <v/>
      </c>
      <c r="CZ23" s="138" t="str" cm="1">
        <f t="array" ref="CZ23">IFERROR(
_xlfn.IFS(
$CV$12=1,
AVERAGE(_xlfn._xlws.FILTER(Table_Datafeed[Tỷ lệ hòa vốn],
(Table_Datafeed[Kỳ] &gt;= Pivot!$E$2)*
(Table_Datafeed[Kỳ] &lt;= Pivot!$E$3)*
(Table_Datafeed[Tháng] = $CV23))),
$CV$12=2, $CW23/$BM$21-1,
$CV$12=3,
AVERAGE(_xlfn._xlws.FILTER(Table_Datafeed[Hiệu quả lợi nhuận],
(Table_Datafeed[Kỳ] &gt;= Pivot!$E$2)*
(Table_Datafeed[Kỳ] &lt;= Pivot!$E$3)*
(Table_Datafeed[Tháng] = $CV23))),
$CV$12=4,
AVERAGE(_xlfn._xlws.FILTER(Table_Datafeed[Hiệu quả dòng tiền kinh doanh],
(Table_Datafeed[Kỳ] &gt;= Pivot!$E$2)*
(Table_Datafeed[Kỳ] &lt;= Pivot!$E$3)*
(Table_Datafeed[Tháng] = $CV23)))
),"")</f>
        <v/>
      </c>
      <c r="DA23" s="144"/>
      <c r="DD23" s="144"/>
      <c r="DE23" s="144"/>
    </row>
    <row r="24" spans="57:109" ht="18" customHeight="1" x14ac:dyDescent="0.3">
      <c r="BE24" s="130"/>
      <c r="BF24" s="134"/>
      <c r="BG24" s="134"/>
      <c r="BH24" s="134"/>
      <c r="BI24" s="134"/>
      <c r="BJ24" s="134"/>
      <c r="BK24" s="134"/>
      <c r="BM24" s="155">
        <v>5.0000000000000001E-3</v>
      </c>
      <c r="BR24" s="134"/>
      <c r="BS24" s="134"/>
      <c r="BT24" s="134"/>
      <c r="BU24" s="134"/>
      <c r="BV24" s="134"/>
      <c r="BW24" s="134"/>
      <c r="BX24" s="134"/>
      <c r="CO24" s="197"/>
      <c r="CU24" s="199"/>
      <c r="CV24" s="138">
        <v>11</v>
      </c>
      <c r="CW24" s="138" cm="1">
        <f t="array" ref="CW24">IFERROR(
_xlfn.IFS(
($CV$12)=1,
SUM(_xlfn._xlws.FILTER(Table_Datafeed[Sản lượng],
(Table_Datafeed[Kỳ]&gt;=Pivot!$E$2)*
(Table_Datafeed[Kỳ]&lt;=Pivot!$E$3)*
(Table_Datafeed[Tháng] = $CV24))),
($CV$12)=2,
SUM(_xlfn._xlws.FILTER(Table_Datafeed[Doanh thu],
(Table_Datafeed[Kỳ]&gt;=Pivot!$E$2)*
(Table_Datafeed[Kỳ]&lt;=Pivot!$E$3)*
(Table_Datafeed[Tháng] = $CV24))),
($CV$12)=3,
SUM(_xlfn._xlws.FILTER(Table_Datafeed[Lợi nhuận kinh doanh],
(Table_Datafeed[Kỳ]&gt;=Pivot!$E$2)*
(Table_Datafeed[Kỳ]&lt;=Pivot!$E$3)*
(Table_Datafeed[Tháng] =$CV24))),
($CV$12)=4,
SUM(_xlfn._xlws.FILTER(Table_Datafeed[Dòng tiền vận hành],
(Table_Datafeed[Kỳ]&gt;=Pivot!$E$2)*
(Table_Datafeed[Kỳ]&lt;=Pivot!$E$3)*
(Table_Datafeed[Tháng] = $CV24)))
),0)</f>
        <v>0</v>
      </c>
      <c r="CX24" s="138" cm="1">
        <f t="array" ref="CX24" xml:space="preserve">
IFERROR(
_xlfn.IFS(
AND($CV$12=1, $CZ24&gt;=$BM$18),$CW24,
AND($CV$12=2, $CZ24&gt;=0),$CW24,
AND($CV$12=3, $CZ24&gt;=$BM$24),$CW24,
AND($CV$12=4, $CZ24&gt;=$BM$27),$CW24
),"")</f>
        <v>0</v>
      </c>
      <c r="CY24" s="138" t="str">
        <f>IFERROR(TEXT($CX24,LOOKUP($CX24,Pivot!$B$6:$B$12,Pivot!$C$6:$C$12)),"")</f>
        <v/>
      </c>
      <c r="CZ24" s="138" t="str" cm="1">
        <f t="array" ref="CZ24">IFERROR(
_xlfn.IFS(
$CV$12=1,
AVERAGE(_xlfn._xlws.FILTER(Table_Datafeed[Tỷ lệ hòa vốn],
(Table_Datafeed[Kỳ] &gt;= Pivot!$E$2)*
(Table_Datafeed[Kỳ] &lt;= Pivot!$E$3)*
(Table_Datafeed[Tháng] = $CV24))),
$CV$12=2, $CW24/$BM$21-1,
$CV$12=3,
AVERAGE(_xlfn._xlws.FILTER(Table_Datafeed[Hiệu quả lợi nhuận],
(Table_Datafeed[Kỳ] &gt;= Pivot!$E$2)*
(Table_Datafeed[Kỳ] &lt;= Pivot!$E$3)*
(Table_Datafeed[Tháng] = $CV24))),
$CV$12=4,
AVERAGE(_xlfn._xlws.FILTER(Table_Datafeed[Hiệu quả dòng tiền kinh doanh],
(Table_Datafeed[Kỳ] &gt;= Pivot!$E$2)*
(Table_Datafeed[Kỳ] &lt;= Pivot!$E$3)*
(Table_Datafeed[Tháng] = $CV24)))
),"")</f>
        <v/>
      </c>
      <c r="DA24" s="144"/>
      <c r="DD24" s="144"/>
      <c r="DE24" s="144"/>
    </row>
    <row r="25" spans="57:109" ht="18" customHeight="1" x14ac:dyDescent="0.3">
      <c r="BE25" s="130"/>
      <c r="BF25" s="134"/>
      <c r="BG25" s="134"/>
      <c r="BH25" s="134"/>
      <c r="BI25" s="134"/>
      <c r="BJ25" s="134"/>
      <c r="BK25" s="134"/>
      <c r="BM25" s="200"/>
      <c r="BR25" s="134"/>
      <c r="BS25" s="134"/>
      <c r="BT25" s="134"/>
      <c r="BU25" s="134"/>
      <c r="BV25" s="134"/>
      <c r="BW25" s="134"/>
      <c r="BX25" s="134"/>
      <c r="CO25" s="197"/>
      <c r="CU25" s="199"/>
      <c r="CV25" s="138">
        <v>12</v>
      </c>
      <c r="CW25" s="138" cm="1">
        <f t="array" ref="CW25">IFERROR(
_xlfn.IFS(
($CV$12)=1,
SUM(_xlfn._xlws.FILTER(Table_Datafeed[Sản lượng],
(Table_Datafeed[Kỳ]&gt;=Pivot!$E$2)*
(Table_Datafeed[Kỳ]&lt;=Pivot!$E$3)*
(Table_Datafeed[Tháng] = $CV25))),
($CV$12)=2,
SUM(_xlfn._xlws.FILTER(Table_Datafeed[Doanh thu],
(Table_Datafeed[Kỳ]&gt;=Pivot!$E$2)*
(Table_Datafeed[Kỳ]&lt;=Pivot!$E$3)*
(Table_Datafeed[Tháng] = $CV25))),
($CV$12)=3,
SUM(_xlfn._xlws.FILTER(Table_Datafeed[Lợi nhuận kinh doanh],
(Table_Datafeed[Kỳ]&gt;=Pivot!$E$2)*
(Table_Datafeed[Kỳ]&lt;=Pivot!$E$3)*
(Table_Datafeed[Tháng] =$CV25))),
($CV$12)=4,
SUM(_xlfn._xlws.FILTER(Table_Datafeed[Dòng tiền vận hành],
(Table_Datafeed[Kỳ]&gt;=Pivot!$E$2)*
(Table_Datafeed[Kỳ]&lt;=Pivot!$E$3)*
(Table_Datafeed[Tháng] = $CV25)))
),0)</f>
        <v>0</v>
      </c>
      <c r="CX25" s="138" cm="1">
        <f t="array" ref="CX25" xml:space="preserve">
IFERROR(
_xlfn.IFS(
AND($CV$12=1, $CZ25&gt;=$BM$18),$CW25,
AND($CV$12=2, $CZ25&gt;=0),$CW25,
AND($CV$12=3, $CZ25&gt;=$BM$24),$CW25,
AND($CV$12=4, $CZ25&gt;=$BM$27),$CW25
),"")</f>
        <v>0</v>
      </c>
      <c r="CY25" s="138" t="str">
        <f>IFERROR(TEXT($CX25,LOOKUP($CX25,Pivot!$B$6:$B$12,Pivot!$C$6:$C$12)),"")</f>
        <v/>
      </c>
      <c r="CZ25" s="138" t="str" cm="1">
        <f t="array" ref="CZ25">IFERROR(
_xlfn.IFS(
$CV$12=1,
AVERAGE(_xlfn._xlws.FILTER(Table_Datafeed[Tỷ lệ hòa vốn],
(Table_Datafeed[Kỳ] &gt;= Pivot!$E$2)*
(Table_Datafeed[Kỳ] &lt;= Pivot!$E$3)*
(Table_Datafeed[Tháng] = $CV25))),
$CV$12=2, $CW25/$BM$21-1,
$CV$12=3,
AVERAGE(_xlfn._xlws.FILTER(Table_Datafeed[Hiệu quả lợi nhuận],
(Table_Datafeed[Kỳ] &gt;= Pivot!$E$2)*
(Table_Datafeed[Kỳ] &lt;= Pivot!$E$3)*
(Table_Datafeed[Tháng] = $CV25))),
$CV$12=4,
AVERAGE(_xlfn._xlws.FILTER(Table_Datafeed[Hiệu quả dòng tiền kinh doanh],
(Table_Datafeed[Kỳ] &gt;= Pivot!$E$2)*
(Table_Datafeed[Kỳ] &lt;= Pivot!$E$3)*
(Table_Datafeed[Tháng] = $CV25)))
),"")</f>
        <v/>
      </c>
      <c r="DA25" s="144"/>
    </row>
    <row r="26" spans="57:109" ht="18" customHeight="1" x14ac:dyDescent="0.3">
      <c r="BE26" s="130"/>
      <c r="BF26" s="134"/>
      <c r="BG26" s="134"/>
      <c r="BH26" s="134"/>
      <c r="BI26" s="134"/>
      <c r="BJ26" s="134"/>
      <c r="BK26" s="134"/>
      <c r="BM26" s="153" t="s">
        <v>129</v>
      </c>
      <c r="CO26" s="197"/>
      <c r="CU26" s="199"/>
      <c r="CV26" s="142" t="s">
        <v>125</v>
      </c>
    </row>
    <row r="27" spans="57:109" ht="18" customHeight="1" x14ac:dyDescent="0.3">
      <c r="BE27" s="130"/>
      <c r="BF27" s="134"/>
      <c r="BG27" s="134"/>
      <c r="BH27" s="134"/>
      <c r="BI27" s="134"/>
      <c r="BJ27" s="134"/>
      <c r="BK27" s="134"/>
      <c r="BM27" s="154">
        <v>0.04</v>
      </c>
      <c r="CO27" s="197"/>
      <c r="CU27" s="199"/>
      <c r="CV27" s="138" t="s">
        <v>130</v>
      </c>
      <c r="CW27" s="138" t="s">
        <v>21</v>
      </c>
      <c r="CX27" s="138" t="s">
        <v>131</v>
      </c>
    </row>
    <row r="28" spans="57:109" ht="18" customHeight="1" x14ac:dyDescent="0.3">
      <c r="BE28" s="130"/>
      <c r="BF28" s="134"/>
      <c r="BG28" s="134"/>
      <c r="BH28" s="134"/>
      <c r="BI28" s="134"/>
      <c r="BJ28" s="134"/>
      <c r="BK28" s="134"/>
      <c r="CO28" s="197"/>
      <c r="CU28" s="199"/>
      <c r="CV28" s="138" t="s">
        <v>132</v>
      </c>
      <c r="CW28" s="138">
        <f>SUM(CW34:CW41)</f>
        <v>0</v>
      </c>
      <c r="CX28" s="138" t="str">
        <f>IFERROR(TEXT(CW28,LOOKUP(CW28,Pivot!$B$6:$B$12,Pivot!$C$6:$C$12)),"")</f>
        <v/>
      </c>
    </row>
    <row r="29" spans="57:109" ht="18" customHeight="1" x14ac:dyDescent="0.3">
      <c r="BE29" s="130"/>
      <c r="BF29" s="134"/>
      <c r="BG29" s="134"/>
      <c r="BH29" s="134"/>
      <c r="BI29" s="134"/>
      <c r="BJ29" s="134"/>
      <c r="BK29" s="134"/>
      <c r="CO29" s="197"/>
      <c r="CU29" s="199"/>
      <c r="CV29" s="138" t="s">
        <v>133</v>
      </c>
      <c r="CW29" s="138">
        <f>SUM(CW42:CW49)</f>
        <v>0</v>
      </c>
      <c r="CX29" s="138" t="str">
        <f>IFERROR(TEXT(CW29,LOOKUP(CW29,Pivot!$B$6:$B$12,Pivot!$C$6:$C$12)),"")</f>
        <v/>
      </c>
    </row>
    <row r="30" spans="57:109" ht="18" customHeight="1" x14ac:dyDescent="0.3">
      <c r="BE30" s="130"/>
      <c r="CV30" s="142" t="s">
        <v>125</v>
      </c>
    </row>
    <row r="31" spans="57:109" ht="18" customHeight="1" x14ac:dyDescent="0.3">
      <c r="BE31" s="130"/>
      <c r="CV31" s="138" t="b">
        <v>1</v>
      </c>
    </row>
    <row r="32" spans="57:109" ht="18" customHeight="1" x14ac:dyDescent="0.3">
      <c r="BE32" s="130"/>
      <c r="CV32" s="138">
        <v>3</v>
      </c>
      <c r="CX32" s="144" t="e">
        <f>SUM(CX34:CX50)/SUM(CW34:CW50)</f>
        <v>#DIV/0!</v>
      </c>
      <c r="CZ32" s="144" t="e">
        <f>SUM(CZ34:CZ50)/SUM(CY34:CY50)</f>
        <v>#DIV/0!</v>
      </c>
    </row>
    <row r="33" spans="57:107" ht="18" customHeight="1" x14ac:dyDescent="0.3">
      <c r="BE33" s="130"/>
      <c r="CV33" s="138" t="s">
        <v>134</v>
      </c>
      <c r="CW33" s="138" t="s">
        <v>21</v>
      </c>
      <c r="CX33" s="138" t="s">
        <v>135</v>
      </c>
      <c r="CY33" s="138" t="str">
        <f>IF(CV31=FALSE,"tăng", "giảm")</f>
        <v>giảm</v>
      </c>
      <c r="CZ33" s="138" t="s">
        <v>136</v>
      </c>
      <c r="DA33" s="138" t="s">
        <v>137</v>
      </c>
    </row>
    <row r="34" spans="57:107" ht="18" customHeight="1" x14ac:dyDescent="0.3">
      <c r="BE34" s="130"/>
      <c r="CV34" s="138" t="s">
        <v>138</v>
      </c>
      <c r="CW34" s="166" cm="1">
        <f t="array" ref="CW34">-IFERROR(SUM(_xlfn._xlws.FILTER(Table_Datafeed[CP chiết khấu],
(Table_Datafeed[Kỳ]&gt;=Pivot!$E$2)*
(Table_Datafeed[Kỳ]&lt;=Pivot!$E$3)
)),0)</f>
        <v>0</v>
      </c>
      <c r="CX34" s="166">
        <f t="shared" ref="CX34:CX50" si="0">IF(_xlfn.RANK.EQ(CW34,$CW$34:$CW$50,0)&lt;=$CV$32,CW34,0)</f>
        <v>0</v>
      </c>
      <c r="CY34" s="138" cm="1">
        <f t="array" ref="CY34" xml:space="preserve">
IF($CV$31=FALSE,
MAX(0,
CW34+IFERROR(SUM(_xlfn._xlws.FILTER(Table_Datafeed[CP chiết khấu],
(Table_Datafeed[Kỳ]&gt;=DATE(YEAR(Pivot!$E$2)-1, MONTH(Pivot!$E$2),1))*
(Table_Datafeed[Kỳ]&lt;=DATE(YEAR(Pivot!$E$3)-1,MONTH(Pivot!$E$3),1))
)),0)),
MIN(0,
CW34+IFERROR(SUM(_xlfn._xlws.FILTER(Table_Datafeed[CP chiết khấu],
(Table_Datafeed[Kỳ]&gt;=DATE(YEAR(Pivot!$E$2)-1, MONTH(Pivot!$E$2),1))*
(Table_Datafeed[Kỳ]&lt;=DATE(YEAR(Pivot!$E$3)-1,MONTH(Pivot!$E$3),1))
)),0)))</f>
        <v>0</v>
      </c>
      <c r="CZ34" s="166">
        <f t="shared" ref="CZ34:CZ50" si="1">IF($CV$31=FALSE,
IF(_xlfn.RANK.EQ(CY34,$CY$34:$CY$50,0)&lt;=$CV$32,CY34,0),
IF(_xlfn.RANK.EQ(CY34,$CY$34:$CY$50,1)&lt;=$CV$32,CY34,0)
)</f>
        <v>0</v>
      </c>
      <c r="DA34" s="160">
        <f>IFERROR(CW34/(CW34-CY34)-1,0)</f>
        <v>0</v>
      </c>
      <c r="DB34" s="144"/>
      <c r="DC34" s="144"/>
    </row>
    <row r="35" spans="57:107" ht="18" customHeight="1" x14ac:dyDescent="0.3">
      <c r="BE35" s="130"/>
      <c r="CV35" s="138" t="s">
        <v>139</v>
      </c>
      <c r="CW35" s="166" cm="1">
        <f t="array" ref="CW35">-IFERROR(SUM(_xlfn._xlws.FILTER(Table_Datafeed[CP nguyên liệu],
(Table_Datafeed[Kỳ]&gt;=Pivot!$E$2)*
(Table_Datafeed[Kỳ]&lt;=Pivot!$E$3)
)),0)</f>
        <v>0</v>
      </c>
      <c r="CX35" s="166">
        <f t="shared" si="0"/>
        <v>0</v>
      </c>
      <c r="CY35" s="138" cm="1">
        <f t="array" ref="CY35" xml:space="preserve">
IF($CV$31=FALSE,
MAX(0,
CW35+IFERROR(SUM(_xlfn._xlws.FILTER(Table_Datafeed[CP nguyên liệu],
(Table_Datafeed[Kỳ]&gt;=DATE(YEAR(Pivot!$E$2)-1, MONTH(Pivot!$E$2),1))*
(Table_Datafeed[Kỳ]&lt;=DATE(YEAR(Pivot!$E$3)-1,MONTH(Pivot!$E$3),1))
)),0)),
MIN(0,
CW35+IFERROR(SUM(_xlfn._xlws.FILTER(Table_Datafeed[CP nguyên liệu],
(Table_Datafeed[Kỳ]&gt;=DATE(YEAR(Pivot!$E$2)-1, MONTH(Pivot!$E$2),1))*
(Table_Datafeed[Kỳ]&lt;=DATE(YEAR(Pivot!$E$3)-1,MONTH(Pivot!$E$3),1))
)),0)))</f>
        <v>0</v>
      </c>
      <c r="CZ35" s="166">
        <f t="shared" si="1"/>
        <v>0</v>
      </c>
      <c r="DA35" s="160">
        <f t="shared" ref="DA35:DA50" si="2">IFERROR(CW35/(CW35-CY35)-1,0)</f>
        <v>0</v>
      </c>
      <c r="DB35" s="144"/>
      <c r="DC35" s="144"/>
    </row>
    <row r="36" spans="57:107" ht="18" customHeight="1" x14ac:dyDescent="0.3">
      <c r="BE36" s="130"/>
      <c r="CV36" s="138" t="s">
        <v>140</v>
      </c>
      <c r="CW36" s="166" cm="1">
        <f t="array" ref="CW36">-IFERROR(SUM(_xlfn._xlws.FILTER(Table_Datafeed[CP tiện ích sản xuất],
(Table_Datafeed[Kỳ]&gt;=Pivot!$E$2)*
(Table_Datafeed[Kỳ]&lt;=Pivot!$E$3)
)),0)</f>
        <v>0</v>
      </c>
      <c r="CX36" s="166">
        <f t="shared" si="0"/>
        <v>0</v>
      </c>
      <c r="CY36" s="138" cm="1">
        <f t="array" ref="CY36" xml:space="preserve">
IF($CV$31=FALSE,
MAX(0,
CW36+IFERROR(SUM(_xlfn._xlws.FILTER(Table_Datafeed[CP tiện ích sản xuất],
(Table_Datafeed[Kỳ]&gt;=DATE(YEAR(Pivot!$E$2)-1, MONTH(Pivot!$E$2),1))*
(Table_Datafeed[Kỳ]&lt;=DATE(YEAR(Pivot!$E$3)-1,MONTH(Pivot!$E$3),1))
)),0)),
MIN(0,
CW36+IFERROR(SUM(_xlfn._xlws.FILTER(Table_Datafeed[CP tiện ích sản xuất],
(Table_Datafeed[Kỳ]&gt;=DATE(YEAR(Pivot!$E$2)-1, MONTH(Pivot!$E$2),1))*
(Table_Datafeed[Kỳ]&lt;=DATE(YEAR(Pivot!$E$3)-1,MONTH(Pivot!$E$3),1))
)),0)))</f>
        <v>0</v>
      </c>
      <c r="CZ36" s="166">
        <f t="shared" si="1"/>
        <v>0</v>
      </c>
      <c r="DA36" s="160">
        <f t="shared" si="2"/>
        <v>0</v>
      </c>
      <c r="DB36" s="144"/>
      <c r="DC36" s="144"/>
    </row>
    <row r="37" spans="57:107" ht="18" customHeight="1" x14ac:dyDescent="0.3">
      <c r="BE37" s="130"/>
      <c r="CV37" s="138" t="s">
        <v>141</v>
      </c>
      <c r="CW37" s="166" cm="1">
        <f t="array" ref="CW37">-IFERROR(SUM(_xlfn._xlws.FILTER(Table_Datafeed[CP hoa hồng],
(Table_Datafeed[Kỳ]&gt;=Pivot!$E$2)*
(Table_Datafeed[Kỳ]&lt;=Pivot!$E$3)
)),0)</f>
        <v>0</v>
      </c>
      <c r="CX37" s="166">
        <f t="shared" si="0"/>
        <v>0</v>
      </c>
      <c r="CY37" s="138" cm="1">
        <f t="array" ref="CY37" xml:space="preserve">
IF($CV$31=FALSE,
MAX(0,
CW37+IFERROR(SUM(_xlfn._xlws.FILTER(Table_Datafeed[CP hoa hồng],
(Table_Datafeed[Kỳ]&gt;=DATE(YEAR(Pivot!$E$2)-1, MONTH(Pivot!$E$2),1))*
(Table_Datafeed[Kỳ]&lt;=DATE(YEAR(Pivot!$E$3)-1,MONTH(Pivot!$E$3),1))
)),0)),
MIN(0,
CW37+IFERROR(SUM(_xlfn._xlws.FILTER(Table_Datafeed[CP hoa hồng],
(Table_Datafeed[Kỳ]&gt;=DATE(YEAR(Pivot!$E$2)-1, MONTH(Pivot!$E$2),1))*
(Table_Datafeed[Kỳ]&lt;=DATE(YEAR(Pivot!$E$3)-1,MONTH(Pivot!$E$3),1))
)),0)))</f>
        <v>0</v>
      </c>
      <c r="CZ37" s="166">
        <f t="shared" si="1"/>
        <v>0</v>
      </c>
      <c r="DA37" s="160">
        <f t="shared" si="2"/>
        <v>0</v>
      </c>
      <c r="DB37" s="144"/>
      <c r="DC37" s="144"/>
    </row>
    <row r="38" spans="57:107" ht="18" customHeight="1" x14ac:dyDescent="0.3">
      <c r="BE38" s="130"/>
      <c r="CV38" s="138" t="s">
        <v>142</v>
      </c>
      <c r="CW38" s="166" cm="1">
        <f t="array" ref="CW38">-IFERROR(SUM(_xlfn._xlws.FILTER(#REF!,
(Table_Datafeed[Kỳ]&gt;=Pivot!$E$2)*
(Table_Datafeed[Kỳ]&lt;=Pivot!$E$3)
)),0)</f>
        <v>0</v>
      </c>
      <c r="CX38" s="166">
        <f t="shared" si="0"/>
        <v>0</v>
      </c>
      <c r="CY38" s="138" cm="1">
        <f t="array" ref="CY38" xml:space="preserve">
IF($CV$31=FALSE,
MAX(0,
CW38+IFERROR(SUM(_xlfn._xlws.FILTER(#REF!,
(Table_Datafeed[Kỳ]&gt;=DATE(YEAR(Pivot!$E$2)-1, MONTH(Pivot!$E$2),1))*
(Table_Datafeed[Kỳ]&lt;=DATE(YEAR(Pivot!$E$3)-1,MONTH(Pivot!$E$3),1))
)),0)),
MIN(0,
CW38+IFERROR(SUM(_xlfn._xlws.FILTER(#REF!,
(Table_Datafeed[Kỳ]&gt;=DATE(YEAR(Pivot!$E$2)-1, MONTH(Pivot!$E$2),1))*
(Table_Datafeed[Kỳ]&lt;=DATE(YEAR(Pivot!$E$3)-1,MONTH(Pivot!$E$3),1))
)),0)))</f>
        <v>0</v>
      </c>
      <c r="CZ38" s="166">
        <f t="shared" si="1"/>
        <v>0</v>
      </c>
      <c r="DA38" s="160">
        <f t="shared" si="2"/>
        <v>0</v>
      </c>
      <c r="DB38" s="144"/>
      <c r="DC38" s="144"/>
    </row>
    <row r="39" spans="57:107" ht="18" customHeight="1" x14ac:dyDescent="0.3">
      <c r="BE39" s="130"/>
      <c r="CV39" s="138" t="s">
        <v>143</v>
      </c>
      <c r="CW39" s="166" cm="1">
        <f t="array" ref="CW39">-IFERROR(SUM(_xlfn._xlws.FILTER(Table_Datafeed[CP thưởng KPI],
(Table_Datafeed[Kỳ]&gt;=Pivot!$E$2)*
(Table_Datafeed[Kỳ]&lt;=Pivot!$E$3)
)),0)</f>
        <v>0</v>
      </c>
      <c r="CX39" s="166">
        <f t="shared" si="0"/>
        <v>0</v>
      </c>
      <c r="CY39" s="138" cm="1">
        <f t="array" ref="CY39" xml:space="preserve">
IF($CV$31=FALSE,
MAX(0,
CW39+IFERROR(SUM(_xlfn._xlws.FILTER(Table_Datafeed[CP thưởng KPI],
(Table_Datafeed[Kỳ]&gt;=DATE(YEAR(Pivot!$E$2)-1, MONTH(Pivot!$E$2),1))*
(Table_Datafeed[Kỳ]&lt;=DATE(YEAR(Pivot!$E$3)-1,MONTH(Pivot!$E$3),1))
)),0)),
MIN(0,
CW39+IFERROR(SUM(_xlfn._xlws.FILTER(Table_Datafeed[CP thưởng KPI],
(Table_Datafeed[Kỳ]&gt;=DATE(YEAR(Pivot!$E$2)-1, MONTH(Pivot!$E$2),1))*
(Table_Datafeed[Kỳ]&lt;=DATE(YEAR(Pivot!$E$3)-1,MONTH(Pivot!$E$3),1))
)),0)))</f>
        <v>0</v>
      </c>
      <c r="CZ39" s="166">
        <f t="shared" si="1"/>
        <v>0</v>
      </c>
      <c r="DA39" s="160">
        <f t="shared" si="2"/>
        <v>0</v>
      </c>
      <c r="DB39" s="144"/>
      <c r="DC39" s="144"/>
    </row>
    <row r="40" spans="57:107" ht="18" customHeight="1" x14ac:dyDescent="0.3">
      <c r="BE40" s="130"/>
      <c r="CV40" s="138" t="s">
        <v>144</v>
      </c>
      <c r="CW40" s="166" cm="1">
        <f t="array" ref="CW40">-IFERROR(SUM(_xlfn._xlws.FILTER(Table_Datafeed[CP thanh toán],
(Table_Datafeed[Kỳ]&gt;=Pivot!$E$2)*
(Table_Datafeed[Kỳ]&lt;=Pivot!$E$3)
)),0)</f>
        <v>0</v>
      </c>
      <c r="CX40" s="166">
        <f t="shared" si="0"/>
        <v>0</v>
      </c>
      <c r="CY40" s="138" cm="1">
        <f t="array" ref="CY40" xml:space="preserve">
IF($CV$31=FALSE,
MAX(0,
CW40+IFERROR(SUM(_xlfn._xlws.FILTER(Table_Datafeed[CP thanh toán],
(Table_Datafeed[Kỳ]&gt;=DATE(YEAR(Pivot!$E$2)-1, MONTH(Pivot!$E$2),1))*
(Table_Datafeed[Kỳ]&lt;=DATE(YEAR(Pivot!$E$3)-1,MONTH(Pivot!$E$3),1))
)),0)),
MIN(0,
CW40+IFERROR(SUM(_xlfn._xlws.FILTER(Table_Datafeed[CP thanh toán],
(Table_Datafeed[Kỳ]&gt;=DATE(YEAR(Pivot!$E$2)-1, MONTH(Pivot!$E$2),1))*
(Table_Datafeed[Kỳ]&lt;=DATE(YEAR(Pivot!$E$3)-1,MONTH(Pivot!$E$3),1))
)),0)))</f>
        <v>0</v>
      </c>
      <c r="CZ40" s="166">
        <f t="shared" si="1"/>
        <v>0</v>
      </c>
      <c r="DA40" s="160">
        <f t="shared" si="2"/>
        <v>0</v>
      </c>
      <c r="DB40" s="144"/>
      <c r="DC40" s="144"/>
    </row>
    <row r="41" spans="57:107" ht="18" customHeight="1" x14ac:dyDescent="0.3">
      <c r="BE41" s="130"/>
      <c r="CV41" s="138" t="s">
        <v>145</v>
      </c>
      <c r="CW41" s="166" cm="1">
        <f t="array" ref="CW41">-IFERROR(SUM(_xlfn._xlws.FILTER(Table_Datafeed[CP vận chuyển],
(Table_Datafeed[Kỳ]&gt;=Pivot!$E$2)*
(Table_Datafeed[Kỳ]&lt;=Pivot!$E$3)
)),0)</f>
        <v>0</v>
      </c>
      <c r="CX41" s="166">
        <f t="shared" si="0"/>
        <v>0</v>
      </c>
      <c r="CY41" s="138" cm="1">
        <f t="array" ref="CY41" xml:space="preserve">
IF($CV$31=FALSE,
MAX(0,
CW41+IFERROR(SUM(_xlfn._xlws.FILTER(Table_Datafeed[CP vận chuyển],
(Table_Datafeed[Kỳ]&gt;=DATE(YEAR(Pivot!$E$2)-1, MONTH(Pivot!$E$2),1))*
(Table_Datafeed[Kỳ]&lt;=DATE(YEAR(Pivot!$E$3)-1,MONTH(Pivot!$E$3),1))
)),0)),
MIN(0,
CW41+IFERROR(SUM(_xlfn._xlws.FILTER(Table_Datafeed[CP vận chuyển],
(Table_Datafeed[Kỳ]&gt;=DATE(YEAR(Pivot!$E$2)-1, MONTH(Pivot!$E$2),1))*
(Table_Datafeed[Kỳ]&lt;=DATE(YEAR(Pivot!$E$3)-1,MONTH(Pivot!$E$3),1))
)),0)))</f>
        <v>0</v>
      </c>
      <c r="CZ41" s="166">
        <f t="shared" si="1"/>
        <v>0</v>
      </c>
      <c r="DA41" s="160">
        <f t="shared" si="2"/>
        <v>0</v>
      </c>
      <c r="DB41" s="144"/>
      <c r="DC41" s="144"/>
    </row>
    <row r="42" spans="57:107" ht="18" customHeight="1" x14ac:dyDescent="0.3">
      <c r="BE42" s="130"/>
      <c r="CV42" s="138" t="s">
        <v>146</v>
      </c>
      <c r="CW42" s="166" cm="1">
        <f t="array" ref="CW42">-IFERROR(SUM(_xlfn._xlws.FILTER(Table_Datafeed[CP nhân sự],
(Table_Datafeed[Kỳ]&gt;=Pivot!$E$2)*
(Table_Datafeed[Kỳ]&lt;=Pivot!$E$3)
)),0)</f>
        <v>0</v>
      </c>
      <c r="CX42" s="166">
        <f t="shared" si="0"/>
        <v>0</v>
      </c>
      <c r="CY42" s="138" cm="1">
        <f t="array" ref="CY42" xml:space="preserve">
IF($CV$31=FALSE,
MAX(0,
CW42+IFERROR(SUM(_xlfn._xlws.FILTER(Table_Datafeed[CP nhân sự],
(Table_Datafeed[Kỳ]&gt;=DATE(YEAR(Pivot!$E$2)-1, MONTH(Pivot!$E$2),1))*
(Table_Datafeed[Kỳ]&lt;=DATE(YEAR(Pivot!$E$3)-1,MONTH(Pivot!$E$3),1))
)),0)),
MIN(0,
CW42+IFERROR(SUM(_xlfn._xlws.FILTER(Table_Datafeed[CP nhân sự],
(Table_Datafeed[Kỳ]&gt;=DATE(YEAR(Pivot!$E$2)-1, MONTH(Pivot!$E$2),1))*
(Table_Datafeed[Kỳ]&lt;=DATE(YEAR(Pivot!$E$3)-1,MONTH(Pivot!$E$3),1))
)),0)))</f>
        <v>0</v>
      </c>
      <c r="CZ42" s="166">
        <f t="shared" si="1"/>
        <v>0</v>
      </c>
      <c r="DA42" s="160">
        <f t="shared" si="2"/>
        <v>0</v>
      </c>
      <c r="DB42" s="144"/>
      <c r="DC42" s="144"/>
    </row>
    <row r="43" spans="57:107" ht="18" customHeight="1" x14ac:dyDescent="0.3">
      <c r="BE43" s="130"/>
      <c r="CV43" s="138" t="s">
        <v>147</v>
      </c>
      <c r="CW43" s="166" cm="1">
        <f t="array" ref="CW43">-IFERROR(SUM(_xlfn._xlws.FILTER(Table_Datafeed[CP tiêu hao VP],
(Table_Datafeed[Kỳ]&gt;=Pivot!$E$2)*
(Table_Datafeed[Kỳ]&lt;=Pivot!$E$3)
)),0)</f>
        <v>0</v>
      </c>
      <c r="CX43" s="166">
        <f t="shared" si="0"/>
        <v>0</v>
      </c>
      <c r="CY43" s="138" cm="1">
        <f t="array" ref="CY43" xml:space="preserve">
IF($CV$31=FALSE,
MAX(0,
CW43+IFERROR(SUM(_xlfn._xlws.FILTER(Table_Datafeed[CP tiêu hao VP],
(Table_Datafeed[Kỳ]&gt;=DATE(YEAR(Pivot!$E$2)-1, MONTH(Pivot!$E$2),1))*
(Table_Datafeed[Kỳ]&lt;=DATE(YEAR(Pivot!$E$3)-1,MONTH(Pivot!$E$3),1))
)),0)),
MIN(0,
CW43+IFERROR(SUM(_xlfn._xlws.FILTER(Table_Datafeed[CP tiêu hao VP],
(Table_Datafeed[Kỳ]&gt;=DATE(YEAR(Pivot!$E$2)-1, MONTH(Pivot!$E$2),1))*
(Table_Datafeed[Kỳ]&lt;=DATE(YEAR(Pivot!$E$3)-1,MONTH(Pivot!$E$3),1))
)),0)))</f>
        <v>0</v>
      </c>
      <c r="CZ43" s="166">
        <f t="shared" si="1"/>
        <v>0</v>
      </c>
      <c r="DA43" s="160">
        <f t="shared" si="2"/>
        <v>0</v>
      </c>
      <c r="DB43" s="144"/>
      <c r="DC43" s="144"/>
    </row>
    <row r="44" spans="57:107" ht="18" customHeight="1" x14ac:dyDescent="0.3">
      <c r="BE44" s="130"/>
      <c r="CV44" s="138" t="s">
        <v>148</v>
      </c>
      <c r="CW44" s="166" cm="1">
        <f t="array" ref="CW44">-IFERROR(SUM(_xlfn._xlws.FILTER(Table_Datafeed[CP vận hành kênh],
(Table_Datafeed[Kỳ]&gt;=Pivot!$E$2)*
(Table_Datafeed[Kỳ]&lt;=Pivot!$E$3)
)),0)</f>
        <v>0</v>
      </c>
      <c r="CX44" s="166">
        <f t="shared" si="0"/>
        <v>0</v>
      </c>
      <c r="CY44" s="138" cm="1">
        <f t="array" ref="CY44" xml:space="preserve">
IF($CV$31=FALSE,
MAX(0,
CW44+IFERROR(SUM(_xlfn._xlws.FILTER(Table_Datafeed[CP vận hành kênh],
(Table_Datafeed[Kỳ]&gt;=DATE(YEAR(Pivot!$E$2)-1, MONTH(Pivot!$E$2),1))*
(Table_Datafeed[Kỳ]&lt;=DATE(YEAR(Pivot!$E$3)-1,MONTH(Pivot!$E$3),1))
)),0)),
MIN(0,
CW44+IFERROR(SUM(_xlfn._xlws.FILTER(Table_Datafeed[CP vận hành kênh],
(Table_Datafeed[Kỳ]&gt;=DATE(YEAR(Pivot!$E$2)-1, MONTH(Pivot!$E$2),1))*
(Table_Datafeed[Kỳ]&lt;=DATE(YEAR(Pivot!$E$3)-1,MONTH(Pivot!$E$3),1))
)),0)))</f>
        <v>0</v>
      </c>
      <c r="CZ44" s="166">
        <f t="shared" si="1"/>
        <v>0</v>
      </c>
      <c r="DA44" s="160">
        <f t="shared" si="2"/>
        <v>0</v>
      </c>
      <c r="DB44" s="144"/>
      <c r="DC44" s="144"/>
    </row>
    <row r="45" spans="57:107" ht="18" customHeight="1" x14ac:dyDescent="0.3">
      <c r="BE45" s="130"/>
      <c r="CV45" s="138" t="s">
        <v>149</v>
      </c>
      <c r="CW45" s="166" cm="1">
        <f t="array" ref="CW45">-IFERROR(SUM(_xlfn._xlws.FILTER(Table_Datafeed[CP marketing],
(Table_Datafeed[Kỳ]&gt;=Pivot!$E$2)*
(Table_Datafeed[Kỳ]&lt;=Pivot!$E$3)
)),0)</f>
        <v>0</v>
      </c>
      <c r="CX45" s="166">
        <f t="shared" si="0"/>
        <v>0</v>
      </c>
      <c r="CY45" s="138" cm="1">
        <f t="array" ref="CY45" xml:space="preserve">
IF($CV$31=FALSE,
MAX(0,
CW45+IFERROR(SUM(_xlfn._xlws.FILTER(Table_Datafeed[CP marketing],
(Table_Datafeed[Kỳ]&gt;=DATE(YEAR(Pivot!$E$2)-1, MONTH(Pivot!$E$2),1))*
(Table_Datafeed[Kỳ]&lt;=DATE(YEAR(Pivot!$E$3)-1,MONTH(Pivot!$E$3),1))
)),0)),
MIN(0,
CW45+IFERROR(SUM(_xlfn._xlws.FILTER(Table_Datafeed[CP marketing],
(Table_Datafeed[Kỳ]&gt;=DATE(YEAR(Pivot!$E$2)-1, MONTH(Pivot!$E$2),1))*
(Table_Datafeed[Kỳ]&lt;=DATE(YEAR(Pivot!$E$3)-1,MONTH(Pivot!$E$3),1))
)),0)))</f>
        <v>0</v>
      </c>
      <c r="CZ45" s="166">
        <f t="shared" si="1"/>
        <v>0</v>
      </c>
      <c r="DA45" s="160">
        <f t="shared" si="2"/>
        <v>0</v>
      </c>
      <c r="DB45" s="144"/>
      <c r="DC45" s="144"/>
    </row>
    <row r="46" spans="57:107" ht="18" customHeight="1" x14ac:dyDescent="0.3">
      <c r="BE46" s="130"/>
      <c r="CV46" s="138" t="s">
        <v>150</v>
      </c>
      <c r="CW46" s="166" cm="1">
        <f t="array" ref="CW46">-IFERROR(SUM(_xlfn._xlws.FILTER(Table_Datafeed[CP dịch vụ],
(Table_Datafeed[Kỳ]&gt;=Pivot!$E$2)*
(Table_Datafeed[Kỳ]&lt;=Pivot!$E$3)
)),0)</f>
        <v>0</v>
      </c>
      <c r="CX46" s="166">
        <f t="shared" si="0"/>
        <v>0</v>
      </c>
      <c r="CY46" s="138" cm="1">
        <f t="array" ref="CY46" xml:space="preserve">
IF($CV$31=FALSE,
MAX(0,
CW46+IFERROR(SUM(_xlfn._xlws.FILTER(Table_Datafeed[CP dịch vụ],
(Table_Datafeed[Kỳ]&gt;=DATE(YEAR(Pivot!$E$2)-1, MONTH(Pivot!$E$2),1))*
(Table_Datafeed[Kỳ]&lt;=DATE(YEAR(Pivot!$E$3)-1,MONTH(Pivot!$E$3),1))
)),0)),
MIN(0,
CW46+IFERROR(SUM(_xlfn._xlws.FILTER(Table_Datafeed[CP dịch vụ],
(Table_Datafeed[Kỳ]&gt;=DATE(YEAR(Pivot!$E$2)-1, MONTH(Pivot!$E$2),1))*
(Table_Datafeed[Kỳ]&lt;=DATE(YEAR(Pivot!$E$3)-1,MONTH(Pivot!$E$3),1))
)),0)))</f>
        <v>0</v>
      </c>
      <c r="CZ46" s="166">
        <f t="shared" si="1"/>
        <v>0</v>
      </c>
      <c r="DA46" s="160">
        <f t="shared" si="2"/>
        <v>0</v>
      </c>
    </row>
    <row r="47" spans="57:107" ht="18" customHeight="1" x14ac:dyDescent="0.3">
      <c r="BE47" s="130"/>
      <c r="CV47" s="138" t="s">
        <v>151</v>
      </c>
      <c r="CW47" s="166" cm="1">
        <f t="array" ref="CW47">-IFERROR(SUM(_xlfn._xlws.FILTER(Table_Datafeed[CP khấu hao],
(Table_Datafeed[Kỳ]&gt;=Pivot!$E$2)*
(Table_Datafeed[Kỳ]&lt;=Pivot!$E$3)
)),0)</f>
        <v>0</v>
      </c>
      <c r="CX47" s="166">
        <f t="shared" si="0"/>
        <v>0</v>
      </c>
      <c r="CY47" s="138" cm="1">
        <f t="array" ref="CY47" xml:space="preserve">
IF($CV$31=FALSE,
MAX(0,
CW47+IFERROR(SUM(_xlfn._xlws.FILTER(Table_Datafeed[CP khấu hao],
(Table_Datafeed[Kỳ]&gt;=DATE(YEAR(Pivot!$E$2)-1, MONTH(Pivot!$E$2),1))*
(Table_Datafeed[Kỳ]&lt;=DATE(YEAR(Pivot!$E$3)-1,MONTH(Pivot!$E$3),1))
)),0)),
MIN(0,
CW47+IFERROR(SUM(_xlfn._xlws.FILTER(Table_Datafeed[CP khấu hao],
(Table_Datafeed[Kỳ]&gt;=DATE(YEAR(Pivot!$E$2)-1, MONTH(Pivot!$E$2),1))*
(Table_Datafeed[Kỳ]&lt;=DATE(YEAR(Pivot!$E$3)-1,MONTH(Pivot!$E$3),1))
)),0)))</f>
        <v>0</v>
      </c>
      <c r="CZ47" s="166">
        <f t="shared" si="1"/>
        <v>0</v>
      </c>
      <c r="DA47" s="160">
        <f t="shared" si="2"/>
        <v>0</v>
      </c>
    </row>
    <row r="48" spans="57:107" ht="18" customHeight="1" x14ac:dyDescent="0.3">
      <c r="BE48" s="130"/>
      <c r="CV48" s="138" t="s">
        <v>152</v>
      </c>
      <c r="CW48" s="166" cm="1">
        <f t="array" ref="CW48">-IFERROR(SUM(_xlfn._xlws.FILTER(Table_Datafeed[CP lãi vay],
(Table_Datafeed[Kỳ]&gt;=Pivot!$E$2)*
(Table_Datafeed[Kỳ]&lt;=Pivot!$E$3)
)),0)</f>
        <v>0</v>
      </c>
      <c r="CX48" s="166">
        <f t="shared" si="0"/>
        <v>0</v>
      </c>
      <c r="CY48" s="138" cm="1">
        <f t="array" ref="CY48" xml:space="preserve">
IF($CV$31=FALSE,
MAX(0,
CW48+IFERROR(SUM(_xlfn._xlws.FILTER(Table_Datafeed[CP lãi vay],
(Table_Datafeed[Kỳ]&gt;=DATE(YEAR(Pivot!$E$2)-1, MONTH(Pivot!$E$2),1))*
(Table_Datafeed[Kỳ]&lt;=DATE(YEAR(Pivot!$E$3)-1,MONTH(Pivot!$E$3),1))
)),0)),
MIN(0,
CW48+IFERROR(SUM(_xlfn._xlws.FILTER(Table_Datafeed[CP lãi vay],
(Table_Datafeed[Kỳ]&gt;=DATE(YEAR(Pivot!$E$2)-1, MONTH(Pivot!$E$2),1))*
(Table_Datafeed[Kỳ]&lt;=DATE(YEAR(Pivot!$E$3)-1,MONTH(Pivot!$E$3),1))
)),0)))</f>
        <v>0</v>
      </c>
      <c r="CZ48" s="166">
        <f t="shared" si="1"/>
        <v>0</v>
      </c>
      <c r="DA48" s="160">
        <f t="shared" si="2"/>
        <v>0</v>
      </c>
    </row>
    <row r="49" spans="57:105" ht="18" customHeight="1" x14ac:dyDescent="0.3">
      <c r="BE49" s="130"/>
      <c r="CV49" s="138" t="s">
        <v>4</v>
      </c>
      <c r="CW49" s="166" cm="1">
        <f t="array" ref="CW49">-IFERROR(SUM(_xlfn._xlws.FILTER(Table_Datafeed[Thuế phí NN],
(Table_Datafeed[Kỳ]&gt;=Pivot!$E$2)*
(Table_Datafeed[Kỳ]&lt;=Pivot!$E$3)
)),0)</f>
        <v>0</v>
      </c>
      <c r="CX49" s="166">
        <f t="shared" si="0"/>
        <v>0</v>
      </c>
      <c r="CY49" s="138" cm="1">
        <f t="array" ref="CY49" xml:space="preserve">
IF($CV$31=FALSE,
MAX(0,
CW49+IFERROR(SUM(_xlfn._xlws.FILTER(Table_Datafeed[Thuế phí NN],
(Table_Datafeed[Kỳ]&gt;=DATE(YEAR(Pivot!$E$2)-1, MONTH(Pivot!$E$2),1))*
(Table_Datafeed[Kỳ]&lt;=DATE(YEAR(Pivot!$E$3)-1,MONTH(Pivot!$E$3),1))
)),0)),
MIN(0,
CW49+IFERROR(SUM(_xlfn._xlws.FILTER(Table_Datafeed[Thuế phí NN],
(Table_Datafeed[Kỳ]&gt;=DATE(YEAR(Pivot!$E$2)-1, MONTH(Pivot!$E$2),1))*
(Table_Datafeed[Kỳ]&lt;=DATE(YEAR(Pivot!$E$3)-1,MONTH(Pivot!$E$3),1))
)),0)))</f>
        <v>0</v>
      </c>
      <c r="CZ49" s="166">
        <f t="shared" si="1"/>
        <v>0</v>
      </c>
      <c r="DA49" s="160">
        <f t="shared" si="2"/>
        <v>0</v>
      </c>
    </row>
    <row r="50" spans="57:105" ht="18" customHeight="1" x14ac:dyDescent="0.3">
      <c r="BE50" s="130"/>
      <c r="CV50" s="138" t="s">
        <v>153</v>
      </c>
      <c r="CW50" s="166" cm="1">
        <f t="array" ref="CW50">-IFERROR(SUM(_xlfn._xlws.FILTER(Table_Datafeed[CP khác],
(Table_Datafeed[Kỳ]&gt;=Pivot!$E$2)*
(Table_Datafeed[Kỳ]&lt;=Pivot!$E$3)
)),0)</f>
        <v>0</v>
      </c>
      <c r="CX50" s="166">
        <f t="shared" si="0"/>
        <v>0</v>
      </c>
      <c r="CY50" s="138" cm="1">
        <f t="array" ref="CY50" xml:space="preserve">
IF($CV$31=FALSE,
MAX(0,
CW50+IFERROR(SUM(_xlfn._xlws.FILTER(Table_Datafeed[CP khác],
(Table_Datafeed[Kỳ]&gt;=DATE(YEAR(Pivot!$E$2)-1, MONTH(Pivot!$E$2),1))*
(Table_Datafeed[Kỳ]&lt;=DATE(YEAR(Pivot!$E$3)-1,MONTH(Pivot!$E$3),1))
)),0)),
MIN(0,
CW50+IFERROR(SUM(_xlfn._xlws.FILTER(Table_Datafeed[CP khác],
(Table_Datafeed[Kỳ]&gt;=DATE(YEAR(Pivot!$E$2)-1, MONTH(Pivot!$E$2),1))*
(Table_Datafeed[Kỳ]&lt;=DATE(YEAR(Pivot!$E$3)-1,MONTH(Pivot!$E$3),1))
)),0)))</f>
        <v>0</v>
      </c>
      <c r="CZ50" s="166">
        <f t="shared" si="1"/>
        <v>0</v>
      </c>
      <c r="DA50" s="160">
        <f t="shared" si="2"/>
        <v>0</v>
      </c>
    </row>
    <row r="51" spans="57:105" ht="18" customHeight="1" x14ac:dyDescent="0.3">
      <c r="BE51" s="130"/>
      <c r="CV51" s="142" t="s">
        <v>125</v>
      </c>
    </row>
    <row r="52" spans="57:105" ht="18" customHeight="1" x14ac:dyDescent="0.3">
      <c r="BE52" s="130"/>
      <c r="CV52" s="138" t="s">
        <v>154</v>
      </c>
      <c r="CW52" s="138" t="s">
        <v>155</v>
      </c>
      <c r="CX52" s="138" t="s">
        <v>136</v>
      </c>
      <c r="CY52" s="138" t="s">
        <v>156</v>
      </c>
      <c r="CZ52" s="138" t="s">
        <v>157</v>
      </c>
    </row>
    <row r="53" spans="57:105" ht="18" customHeight="1" x14ac:dyDescent="0.3">
      <c r="BE53" s="130"/>
      <c r="CV53" s="138">
        <v>1</v>
      </c>
      <c r="CW53" s="138" t="str" cm="1">
        <f t="array" ref="CW53">INDEX($CV$34:$DA$50,MATCH(CV53,_xlfn.RANK.EQ($CW$34:$CW$50,$CW$34:$CW$50,0),0),1)</f>
        <v>Giảm giá</v>
      </c>
      <c r="CX53" s="138" t="str" cm="1">
        <f t="array" ref="CX53" xml:space="preserve">
IF($CV$31=FALSE,
INDEX($CV$34:$DA$50,MATCH(CV53,_xlfn.RANK.EQ($CY$34:$CY$50,$CY$34:$CY$50,0),0),1),
INDEX($CV$34:$DA$50,MATCH(CV53,_xlfn.RANK.EQ($CY$34:$CY$50,$CY$34:$CY$50,1),0),1)
)</f>
        <v>Giảm giá</v>
      </c>
      <c r="CY53" s="138" t="str" cm="1">
        <f t="array" ref="CY53" xml:space="preserve">
IF($CV$31=FALSE,
INDEX($CV$34:$DA$50,MATCH(CV53,_xlfn.RANK.EQ($DA$34:$DA$50,$DA$34:$DA$50,0),0),1),
INDEX($CV$34:$DA$50,MATCH(CV53,_xlfn.RANK.EQ($DA$34:$DA$50,$DA$34:$DA$50,1),0),1))</f>
        <v>Giảm giá</v>
      </c>
      <c r="CZ53" s="160" cm="1">
        <f t="array" ref="CZ53">INDEX($CV$34:$DA$50,MATCH(CY53,$CV$34:$CV$50,0),
COUNTA($CV$33:$DA$33))</f>
        <v>0</v>
      </c>
    </row>
    <row r="54" spans="57:105" ht="18" customHeight="1" x14ac:dyDescent="0.3">
      <c r="BE54" s="130"/>
      <c r="CV54" s="138">
        <v>2</v>
      </c>
      <c r="CW54" s="138" t="e" cm="1">
        <f t="array" ref="CW54">INDEX($CV$34:$DA$50,MATCH(CV54,_xlfn.RANK.EQ($CW$34:$CW$50,$CW$34:$CW$50,0),0),1)</f>
        <v>#N/A</v>
      </c>
      <c r="CX54" s="138" t="e" cm="1">
        <f t="array" ref="CX54" xml:space="preserve">
IF($CV$31=FALSE,
INDEX($CV$34:$DA$50,MATCH(CV54,_xlfn.RANK.EQ($CY$34:$CY$50,$CY$34:$CY$50,0),0),1),
INDEX($CV$34:$DA$50,MATCH(CV54,_xlfn.RANK.EQ($CY$34:$CY$50,$CY$34:$CY$50,1),0),1)
)</f>
        <v>#N/A</v>
      </c>
      <c r="CY54" s="138" t="e" cm="1">
        <f t="array" ref="CY54" xml:space="preserve">
IF($CV$31=FALSE,
INDEX($CV$34:$DA$50,MATCH(CV54,_xlfn.RANK.EQ($DA$34:$DA$50,$DA$34:$DA$50,0),0),1),
INDEX($CV$34:$DA$50,MATCH(CV54,_xlfn.RANK.EQ($DA$34:$DA$50,$DA$34:$DA$50,1),0),1))</f>
        <v>#N/A</v>
      </c>
      <c r="CZ54" s="160" t="e" cm="1">
        <f t="array" ref="CZ54">INDEX($CV$34:$DA$50,MATCH(CY54,$CV$34:$CV$50,0),
COUNTA($CV$33:$DA$33))</f>
        <v>#N/A</v>
      </c>
    </row>
    <row r="55" spans="57:105" ht="18" customHeight="1" x14ac:dyDescent="0.3">
      <c r="BE55" s="130"/>
      <c r="CV55" s="138">
        <v>3</v>
      </c>
      <c r="CW55" s="138" t="e" cm="1">
        <f t="array" ref="CW55">INDEX($CV$34:$DA$50,MATCH(CV55,_xlfn.RANK.EQ($CW$34:$CW$50,$CW$34:$CW$50,0),0),1)</f>
        <v>#N/A</v>
      </c>
      <c r="CX55" s="138" t="e" cm="1">
        <f t="array" ref="CX55" xml:space="preserve">
IF($CV$31=FALSE,
INDEX($CV$34:$DA$50,MATCH(CV55,_xlfn.RANK.EQ($CY$34:$CY$50,$CY$34:$CY$50,0),0),1),
INDEX($CV$34:$DA$50,MATCH(CV55,_xlfn.RANK.EQ($CY$34:$CY$50,$CY$34:$CY$50,1),0),1)
)</f>
        <v>#N/A</v>
      </c>
      <c r="CY55" s="138" t="e" cm="1">
        <f t="array" ref="CY55" xml:space="preserve">
IF($CV$31=FALSE,
INDEX($CV$34:$DA$50,MATCH(CV55,_xlfn.RANK.EQ($DA$34:$DA$50,$DA$34:$DA$50,0),0),1),
INDEX($CV$34:$DA$50,MATCH(CV55,_xlfn.RANK.EQ($DA$34:$DA$50,$DA$34:$DA$50,1),0),1))</f>
        <v>#N/A</v>
      </c>
      <c r="CZ55" s="160" t="e" cm="1">
        <f t="array" ref="CZ55">INDEX($CV$34:$DA$50,MATCH(CY55,$CV$34:$CV$50,0),
COUNTA($CV$33:$DA$33))</f>
        <v>#N/A</v>
      </c>
    </row>
  </sheetData>
  <sheetProtection algorithmName="SHA-512" hashValue="gwG7LvNBMCUnqJcd8EwOWsV7PUMNHUT1ZulmSlLl+EXg87fn+x1JNyf1jsDbdRiYr5oL6+mZo7Vgelg0R00+fQ==" saltValue="wz10ncOeA641NjIsEC9AMQ=="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83</xdr:col>
                    <xdr:colOff>266700</xdr:colOff>
                    <xdr:row>1</xdr:row>
                    <xdr:rowOff>171450</xdr:rowOff>
                  </from>
                  <to>
                    <xdr:col>84</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84</xdr:col>
                    <xdr:colOff>409575</xdr:colOff>
                    <xdr:row>1</xdr:row>
                    <xdr:rowOff>171450</xdr:rowOff>
                  </from>
                  <to>
                    <xdr:col>85</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85</xdr:col>
                    <xdr:colOff>552450</xdr:colOff>
                    <xdr:row>1</xdr:row>
                    <xdr:rowOff>171450</xdr:rowOff>
                  </from>
                  <to>
                    <xdr:col>86</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87</xdr:col>
                    <xdr:colOff>9525</xdr:colOff>
                    <xdr:row>1</xdr:row>
                    <xdr:rowOff>171450</xdr:rowOff>
                  </from>
                  <to>
                    <xdr:col>88</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83</xdr:col>
                    <xdr:colOff>295275</xdr:colOff>
                    <xdr:row>29</xdr:row>
                    <xdr:rowOff>38100</xdr:rowOff>
                  </from>
                  <to>
                    <xdr:col>84</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158</v>
      </c>
      <c r="AS2" s="137" t="s">
        <v>159</v>
      </c>
      <c r="AT2" s="137" t="s">
        <v>33</v>
      </c>
      <c r="AU2" s="137" t="s">
        <v>22</v>
      </c>
      <c r="AV2" s="137" t="s">
        <v>160</v>
      </c>
      <c r="AW2" s="137" t="s">
        <v>161</v>
      </c>
      <c r="AX2" s="137" t="s">
        <v>162</v>
      </c>
      <c r="AY2" s="137" t="s">
        <v>22</v>
      </c>
      <c r="AZ2" s="137" t="s">
        <v>163</v>
      </c>
      <c r="BA2" s="137" t="s">
        <v>161</v>
      </c>
      <c r="BB2" s="137" t="s">
        <v>164</v>
      </c>
      <c r="BC2" s="137" t="s">
        <v>165</v>
      </c>
      <c r="BD2" s="137" t="s">
        <v>161</v>
      </c>
      <c r="BE2" s="137" t="s">
        <v>166</v>
      </c>
      <c r="BF2" s="137" t="s">
        <v>167</v>
      </c>
      <c r="BG2" s="137" t="s">
        <v>168</v>
      </c>
      <c r="BH2" s="137" t="s">
        <v>169</v>
      </c>
      <c r="BI2" s="137" t="s">
        <v>22</v>
      </c>
      <c r="BJ2" s="137" t="s">
        <v>170</v>
      </c>
      <c r="BK2" s="137" t="s">
        <v>171</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60" t="s">
        <v>939</v>
      </c>
      <c r="AB4" s="560"/>
      <c r="AC4" s="560"/>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172</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173</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H7" s="135"/>
      <c r="BI7" s="135"/>
      <c r="BJ7" s="135" t="s">
        <v>159</v>
      </c>
      <c r="BK7" s="135" t="s">
        <v>21</v>
      </c>
      <c r="BL7" s="135" t="s">
        <v>179</v>
      </c>
      <c r="BO7" s="137" t="s">
        <v>180</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939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1005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996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181</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940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42"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1006</v>
      </c>
      <c r="AZ9" s="158" t="e">
        <f>VLOOKUP(Dashboard_ThiTruong_PhanKhuc[[#This Row],[Phân khúc]],CJ:CK,2,0)</f>
        <v>#N/A</v>
      </c>
      <c r="BA9" s="158" t="e">
        <f>VLOOKUP(Dashboard_ThiTruong_PhanKhuc[[#This Row],[Phân khúc]],CJ:CM,4,0)</f>
        <v>#N/A</v>
      </c>
      <c r="BB9" s="158" t="e">
        <f>VLOOKUP(Dashboard_ThiTruong_PhanKhuc[[#This Row],[Phân khúc]],CJ:CO,6,0)</f>
        <v>#N/A</v>
      </c>
      <c r="BC9" s="442" t="e">
        <f>VLOOKUP(Dashboard_ThiTruong_PhanKhuc[[#This Row],[Phân khúc]],CJ:CP,7,0)</f>
        <v>#N/A</v>
      </c>
      <c r="BD9" s="133"/>
      <c r="BE9" s="133"/>
      <c r="BF9" s="131" t="s">
        <v>997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182</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941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42"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998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942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42"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999</v>
      </c>
      <c r="BG11" s="158" t="e">
        <f>VLOOKUP(Dashboard_ThiTruong_TinhThanh[[#This Row],[Tỉnh]],CS:CT,2,0)</f>
        <v>#N/A</v>
      </c>
      <c r="BO11" s="142" t="s">
        <v>125</v>
      </c>
      <c r="BP11" s="138"/>
      <c r="BQ11" s="138"/>
      <c r="BR11" s="138"/>
      <c r="BS11" s="138"/>
    </row>
    <row r="12" spans="2:72" ht="16.5" x14ac:dyDescent="0.3">
      <c r="B12" s="134"/>
      <c r="AR12" s="131" t="s">
        <v>943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42"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1000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944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42"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1001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945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42"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1002</v>
      </c>
      <c r="BG14" s="158" t="e">
        <f>VLOOKUP(Dashboard_ThiTruong_TinhThanh[[#This Row],[Tỉnh]],CS:CT,2,0)</f>
        <v>#N/A</v>
      </c>
      <c r="BO14" s="138" t="s">
        <v>1</v>
      </c>
      <c r="BP14" s="138" t="s">
        <v>66</v>
      </c>
      <c r="BQ14" s="138" t="s">
        <v>22</v>
      </c>
      <c r="BR14" s="138" t="s">
        <v>183</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173</v>
      </c>
      <c r="BP30" s="137" t="s">
        <v>25</v>
      </c>
      <c r="BQ30" s="137" t="s">
        <v>184</v>
      </c>
      <c r="BR30" s="137" t="s">
        <v>178</v>
      </c>
      <c r="BS30" s="137" t="s">
        <v>185</v>
      </c>
      <c r="BT30" s="137" t="s">
        <v>186</v>
      </c>
      <c r="BU30" s="137" t="s">
        <v>187</v>
      </c>
      <c r="BV30" s="137" t="s">
        <v>33</v>
      </c>
      <c r="BW30" s="137" t="s">
        <v>188</v>
      </c>
      <c r="BX30" s="137" t="s">
        <v>189</v>
      </c>
      <c r="BY30" s="137" t="s">
        <v>190</v>
      </c>
      <c r="BZ30" s="137" t="s">
        <v>174</v>
      </c>
      <c r="CA30" s="137" t="s">
        <v>191</v>
      </c>
      <c r="CB30" s="137" t="s">
        <v>192</v>
      </c>
      <c r="CC30" s="137" t="s">
        <v>193</v>
      </c>
      <c r="CD30" s="137" t="s">
        <v>164</v>
      </c>
      <c r="CE30" s="137" t="s">
        <v>194</v>
      </c>
      <c r="CF30" s="137" t="s">
        <v>33</v>
      </c>
      <c r="CG30" s="137" t="s">
        <v>195</v>
      </c>
      <c r="CH30" s="137" t="s">
        <v>169</v>
      </c>
      <c r="CJ30" s="137" t="s">
        <v>25</v>
      </c>
      <c r="CK30" s="137" t="s">
        <v>21</v>
      </c>
      <c r="CL30" s="137" t="s">
        <v>22</v>
      </c>
      <c r="CM30" s="137" t="s">
        <v>157</v>
      </c>
      <c r="CN30" s="137" t="s">
        <v>22</v>
      </c>
      <c r="CO30" s="137" t="s">
        <v>71</v>
      </c>
      <c r="CP30" s="137" t="s">
        <v>196</v>
      </c>
      <c r="CQ30" s="137" t="s">
        <v>22</v>
      </c>
      <c r="CS30" s="137" t="s">
        <v>197</v>
      </c>
      <c r="CT30" s="137" t="s">
        <v>178</v>
      </c>
      <c r="CU30" s="137" t="s">
        <v>22</v>
      </c>
      <c r="CW30" s="137" t="s">
        <v>198</v>
      </c>
      <c r="CX30" s="137" t="s">
        <v>199</v>
      </c>
      <c r="CY30" s="137" t="s">
        <v>200</v>
      </c>
    </row>
    <row r="31" spans="2:103" ht="16.5" x14ac:dyDescent="0.3">
      <c r="B31" s="134"/>
      <c r="BO31" s="137" t="str" cm="1">
        <f t="array" ref="BO31:BO33">Table_KhachHang[Mã KH]</f>
        <v>KH3</v>
      </c>
      <c r="BP31" s="137" cm="1">
        <f t="array" ref="BP31:BP33">VLOOKUP(_xlfn.ANCHORARRAY(BO31),Table_KhachHang[Mã KH]:Table_KhachHang[Phân khúc],3,0)</f>
        <v>0</v>
      </c>
      <c r="BQ31" s="137" cm="1">
        <f t="array" ref="BQ31:BQ33">VLOOKUP(_xlfn.ANCHORARRAY(BO31),Table_KhachHang[Mã KH]:Table_KhachHang[Tỉnh],8,0)</f>
        <v>0</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v>0</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0</v>
      </c>
      <c r="CM32" s="204"/>
      <c r="CO32" s="139"/>
    </row>
    <row r="33" spans="2:86" ht="16.5" x14ac:dyDescent="0.3">
      <c r="B33" s="134"/>
      <c r="BO33" s="137" t="str">
        <v>KH1</v>
      </c>
      <c r="BP33" s="137">
        <v>0</v>
      </c>
      <c r="BQ33" s="137">
        <v>0</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158</v>
      </c>
      <c r="AS2" s="137" t="s">
        <v>159</v>
      </c>
      <c r="AT2" s="137" t="s">
        <v>33</v>
      </c>
      <c r="AU2" s="137" t="s">
        <v>22</v>
      </c>
      <c r="AV2" s="137" t="s">
        <v>160</v>
      </c>
      <c r="AW2" s="137" t="s">
        <v>161</v>
      </c>
      <c r="AX2" s="137" t="s">
        <v>162</v>
      </c>
      <c r="AY2" s="137" t="s">
        <v>22</v>
      </c>
      <c r="AZ2" s="137" t="s">
        <v>163</v>
      </c>
      <c r="BA2" s="137" t="s">
        <v>161</v>
      </c>
      <c r="BB2" s="137" t="s">
        <v>201</v>
      </c>
      <c r="BC2" s="137" t="s">
        <v>165</v>
      </c>
      <c r="BD2" s="137" t="s">
        <v>161</v>
      </c>
      <c r="BE2" s="137" t="s">
        <v>17</v>
      </c>
      <c r="BF2" s="137" t="s">
        <v>202</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60" t="s">
        <v>63</v>
      </c>
      <c r="AB4" s="560"/>
      <c r="AC4" s="560"/>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J7" s="135" t="s">
        <v>25</v>
      </c>
      <c r="BK7" s="135" t="s">
        <v>21</v>
      </c>
      <c r="BL7" s="135" t="s">
        <v>179</v>
      </c>
      <c r="BN7" s="137" t="s">
        <v>203</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996</v>
      </c>
      <c r="BG8" s="203" t="e">
        <f ca="1">VLOOKUP(Dashboard_SanPham_TinhThanh[[#This Row],[Tỉnh]],_xlfn.ANCHORARRAY($CL$31):_xlfn.ANCHORARRAY($CM$31),2,0)</f>
        <v>#N/A</v>
      </c>
      <c r="BH8" s="147"/>
      <c r="BI8" s="147" cm="1">
        <f t="array" ref="BI8">_xlfn.UNIQUE(Table_KhachHang[Phân khúc])</f>
        <v>0</v>
      </c>
      <c r="BJ8" s="147" t="s">
        <v>1005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43">
        <f ca="1">VLOOKUP(Dashboard_SanPham_Nhom[[#This Row],[Phân khúc]],_xlfn.ANCHORARRAY($CC$31):_xlfn.ANCHORARRAY($CH$31),6,0)</f>
        <v>0</v>
      </c>
      <c r="BC9" s="442" t="str">
        <f ca="1">VLOOKUP(Dashboard_SanPham_Nhom[[#This Row],[Phân khúc]],_xlfn.ANCHORARRAY($CC$31):_xlfn.ANCHORARRAY($CI$31),7,0)</f>
        <v/>
      </c>
      <c r="BD9" s="133"/>
      <c r="BE9" s="133"/>
      <c r="BF9" s="131" t="s">
        <v>997</v>
      </c>
      <c r="BG9" s="158" t="e">
        <f ca="1">VLOOKUP(Dashboard_SanPham_TinhThanh[[#This Row],[Tỉnh]],_xlfn.ANCHORARRAY($CL$31):_xlfn.ANCHORARRAY($CM$31),2,0)</f>
        <v>#N/A</v>
      </c>
      <c r="BH9" s="147"/>
      <c r="BI9" s="147"/>
      <c r="BJ9" s="147" t="s">
        <v>1006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204</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43">
        <f ca="1">VLOOKUP(Dashboard_SanPham_Nhom[[#This Row],[Phân khúc]],_xlfn.ANCHORARRAY($CC$31):_xlfn.ANCHORARRAY($CH$31),6,0)</f>
        <v>0</v>
      </c>
      <c r="BC10" s="442">
        <f ca="1">VLOOKUP(Dashboard_SanPham_Nhom[[#This Row],[Phân khúc]],_xlfn.ANCHORARRAY($CC$31):_xlfn.ANCHORARRAY($CI$31),7,0)</f>
        <v>4429670.3296703296</v>
      </c>
      <c r="BF10" s="131" t="s">
        <v>998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999</v>
      </c>
      <c r="BG11" s="158" t="e">
        <f ca="1">VLOOKUP(Dashboard_SanPham_TinhThanh[[#This Row],[Tỉnh]],_xlfn.ANCHORARRAY($CL$31):_xlfn.ANCHORARRAY($CM$31),2,0)</f>
        <v>#N/A</v>
      </c>
      <c r="BN11" s="142" t="s">
        <v>125</v>
      </c>
      <c r="BO11" s="138"/>
      <c r="BP11" s="138"/>
      <c r="BQ11" s="138"/>
      <c r="BR11" s="138"/>
    </row>
    <row r="12" spans="2:71" ht="16.5" x14ac:dyDescent="0.3">
      <c r="B12" s="134"/>
      <c r="AS12" s="205"/>
      <c r="AT12" s="205"/>
      <c r="AU12" s="205"/>
      <c r="AV12" s="205"/>
      <c r="BF12" s="131" t="s">
        <v>1000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1001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1002</v>
      </c>
      <c r="BG14" s="158" t="e">
        <f ca="1">VLOOKUP(Dashboard_SanPham_TinhThanh[[#This Row],[Tỉnh]],_xlfn.ANCHORARRAY($CL$31):_xlfn.ANCHORARRAY($CM$31),2,0)</f>
        <v>#N/A</v>
      </c>
      <c r="BN14" s="138" t="s">
        <v>1</v>
      </c>
      <c r="BO14" s="138" t="s">
        <v>66</v>
      </c>
      <c r="BP14" s="138" t="s">
        <v>22</v>
      </c>
      <c r="BQ14" s="138" t="s">
        <v>205</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159</v>
      </c>
      <c r="BP30" s="137" t="s">
        <v>178</v>
      </c>
      <c r="BQ30" s="137" t="s">
        <v>206</v>
      </c>
      <c r="BR30" s="137" t="s">
        <v>30</v>
      </c>
      <c r="BS30" s="137" t="s">
        <v>33</v>
      </c>
      <c r="BT30" s="137" t="s">
        <v>189</v>
      </c>
      <c r="BU30" s="137" t="s">
        <v>190</v>
      </c>
      <c r="BV30" s="137" t="s">
        <v>174</v>
      </c>
      <c r="BW30" s="137" t="s">
        <v>207</v>
      </c>
      <c r="BX30" s="137" t="s">
        <v>192</v>
      </c>
      <c r="BY30" s="137" t="s">
        <v>208</v>
      </c>
      <c r="BZ30" s="137" t="s">
        <v>209</v>
      </c>
      <c r="CA30" s="137" t="s">
        <v>210</v>
      </c>
      <c r="CC30" s="137" t="s">
        <v>25</v>
      </c>
      <c r="CD30" s="137" t="s">
        <v>21</v>
      </c>
      <c r="CE30" s="137" t="s">
        <v>22</v>
      </c>
      <c r="CF30" s="137" t="s">
        <v>157</v>
      </c>
      <c r="CG30" s="137" t="s">
        <v>22</v>
      </c>
      <c r="CH30" s="137" t="s">
        <v>71</v>
      </c>
      <c r="CI30" s="137" t="s">
        <v>196</v>
      </c>
      <c r="CJ30" s="137" t="s">
        <v>22</v>
      </c>
      <c r="CL30" s="137" t="s">
        <v>197</v>
      </c>
      <c r="CM30" s="137" t="s">
        <v>178</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62" t="s">
        <v>211</v>
      </c>
      <c r="AA2" s="562"/>
      <c r="AB2" s="562"/>
      <c r="AD2" s="562" t="s">
        <v>146</v>
      </c>
      <c r="AE2" s="562"/>
      <c r="AF2" s="562"/>
    </row>
    <row r="3" spans="1:96" ht="16.5" x14ac:dyDescent="0.3">
      <c r="B3" s="134"/>
      <c r="C3" s="134"/>
      <c r="Z3" s="561"/>
      <c r="AA3" s="561"/>
      <c r="AB3" s="561"/>
      <c r="AD3" s="561"/>
      <c r="AE3" s="561"/>
      <c r="AF3" s="561"/>
    </row>
    <row r="4" spans="1:96" ht="16.5" x14ac:dyDescent="0.3">
      <c r="B4" s="134"/>
      <c r="C4" s="134"/>
      <c r="AP4" s="132" t="s">
        <v>212</v>
      </c>
      <c r="AQ4" s="132" t="s">
        <v>33</v>
      </c>
      <c r="AR4" s="132" t="s">
        <v>213</v>
      </c>
      <c r="AS4" s="132" t="s">
        <v>214</v>
      </c>
      <c r="AT4" s="132" t="s">
        <v>215</v>
      </c>
      <c r="AU4" s="132" t="s">
        <v>216</v>
      </c>
      <c r="AV4" s="132" t="s">
        <v>217</v>
      </c>
      <c r="AY4" s="132" t="s">
        <v>35</v>
      </c>
      <c r="AZ4" s="132" t="s">
        <v>33</v>
      </c>
      <c r="BA4" s="132" t="s">
        <v>213</v>
      </c>
      <c r="BB4" s="132" t="s">
        <v>214</v>
      </c>
      <c r="BC4" s="132" t="s">
        <v>215</v>
      </c>
      <c r="BD4" s="132" t="s">
        <v>216</v>
      </c>
      <c r="BE4" s="132" t="s">
        <v>217</v>
      </c>
      <c r="BH4" s="132" t="s">
        <v>25</v>
      </c>
      <c r="BI4" s="132" t="s">
        <v>218</v>
      </c>
      <c r="BJ4" s="132" t="s">
        <v>219</v>
      </c>
      <c r="BM4" s="132" t="s">
        <v>220</v>
      </c>
      <c r="BN4" s="132" t="s">
        <v>219</v>
      </c>
      <c r="BO4" s="132" t="s">
        <v>218</v>
      </c>
      <c r="BR4" s="138" t="s">
        <v>221</v>
      </c>
      <c r="BS4" s="138" t="s">
        <v>222</v>
      </c>
      <c r="BT4" s="138" t="s">
        <v>213</v>
      </c>
      <c r="BU4" s="138" t="s">
        <v>223</v>
      </c>
      <c r="BV4" s="138" t="s">
        <v>224</v>
      </c>
      <c r="BW4" s="138" t="s">
        <v>225</v>
      </c>
      <c r="BX4" s="138" t="s">
        <v>213</v>
      </c>
      <c r="BY4" s="138" t="s">
        <v>223</v>
      </c>
      <c r="CD4" s="138" t="s">
        <v>38</v>
      </c>
      <c r="CE4" s="138" t="s">
        <v>33</v>
      </c>
      <c r="CF4" s="138" t="s">
        <v>22</v>
      </c>
      <c r="CG4" s="138" t="s">
        <v>134</v>
      </c>
      <c r="CH4" s="138" t="s">
        <v>213</v>
      </c>
      <c r="CI4" s="138" t="s">
        <v>226</v>
      </c>
      <c r="CJ4" s="138" t="s">
        <v>22</v>
      </c>
      <c r="CL4" s="138" t="s">
        <v>37</v>
      </c>
      <c r="CM4" s="138" t="s">
        <v>33</v>
      </c>
      <c r="CN4" s="138" t="s">
        <v>22</v>
      </c>
      <c r="CO4" s="138" t="s">
        <v>227</v>
      </c>
      <c r="CP4" s="138" t="s">
        <v>213</v>
      </c>
      <c r="CQ4" s="138" t="s">
        <v>226</v>
      </c>
      <c r="CR4" s="138" t="s">
        <v>22</v>
      </c>
    </row>
    <row r="5" spans="1:96" ht="16.5" x14ac:dyDescent="0.3">
      <c r="A5" s="134"/>
      <c r="B5" s="134"/>
      <c r="C5" s="134"/>
      <c r="AO5" s="132" t="str" cm="1">
        <f t="array" ref="AO5">_xlfn.UNIQUE(Table_Kenh[Mã Kênh])</f>
        <v>A</v>
      </c>
      <c r="AP5" s="132" t="s">
        <v>949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3" t="str">
        <f>IF(Dashboard_KPI_Kenh[[#This Row],[Tỷ lệ KPI]]&gt;1,Dashboard_KPI_Kenh[[#This Row],[Tỷ lệ KPI]],"")</f>
        <v/>
      </c>
      <c r="AX5" s="132" cm="1">
        <f t="array" ref="AX5">_xlfn.UNIQUE(Table_NhanVien[Mã NV])</f>
        <v>0</v>
      </c>
      <c r="AY5" s="132" t="s">
        <v>946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3" t="str">
        <f>IF(Dashboard_KPI_NhanVien[[#This Row],[Tỷ lệ KPI]]&gt;1,Dashboard_KPI_NhanVien[[#This Row],[Tỷ lệ KPI]],"")</f>
        <v/>
      </c>
      <c r="BG5" s="132" cm="1">
        <f t="array" ref="BG5">_xlfn.UNIQUE(Table_KhachHang[Phân khúc])</f>
        <v>0</v>
      </c>
      <c r="BH5" s="132" t="s">
        <v>1005</v>
      </c>
      <c r="BI5" s="343"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3"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3"/>
      <c r="BL5" s="343" cm="1">
        <f t="array" ref="BL5">_xlfn.UNIQUE(Table_SKU[Nhóm 1])</f>
        <v>0</v>
      </c>
      <c r="BM5" s="343" t="s">
        <v>29</v>
      </c>
      <c r="BN5" s="343"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3"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950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4" t="str">
        <f>IFERROR(Dashboard_KPI_Kenh[[#This Row],[Doanh thu]]/Dashboard_KPI_Kenh[[#This Row],[KPI]],"")</f>
        <v/>
      </c>
      <c r="AV6" s="445"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4" t="str">
        <f>IFERROR(Dashboard_KPI_NhanVien[[#This Row],[Doanh thu]]/Dashboard_KPI_NhanVien[[#This Row],[KPI]],"")</f>
        <v/>
      </c>
      <c r="BE6" s="445" t="str">
        <f>IF(Dashboard_KPI_NhanVien[[#This Row],[Tỷ lệ KPI]]&gt;1,Dashboard_KPI_NhanVien[[#This Row],[Tỷ lệ KPI]],"")</f>
        <v/>
      </c>
      <c r="BH6" s="132" t="s">
        <v>1006</v>
      </c>
      <c r="BI6" s="445"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5"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3"/>
      <c r="BL6" s="343"/>
      <c r="BM6" s="132" t="s">
        <v>58</v>
      </c>
      <c r="BN6" s="445"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5"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4" t="str">
        <f>IFERROR(Dashboard_KPI_Kenh[[#This Row],[Doanh thu]]/Dashboard_KPI_Kenh[[#This Row],[KPI]],"")</f>
        <v/>
      </c>
      <c r="AV7" s="445"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4" t="str">
        <f>IFERROR(Dashboard_KPI_NhanVien[[#This Row],[Doanh thu]]/Dashboard_KPI_NhanVien[[#This Row],[KPI]],"")</f>
        <v/>
      </c>
      <c r="BE7" s="445" t="str">
        <f>IF(Dashboard_KPI_NhanVien[[#This Row],[Tỷ lệ KPI]]&gt;1,Dashboard_KPI_NhanVien[[#This Row],[Tỷ lệ KPI]],"")</f>
        <v/>
      </c>
      <c r="BM7" s="132" t="s">
        <v>62</v>
      </c>
      <c r="BN7" s="445"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5"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4" t="str">
        <f>IFERROR(Dashboard_KPI_Kenh[[#This Row],[Doanh thu]]/Dashboard_KPI_Kenh[[#This Row],[KPI]],"")</f>
        <v/>
      </c>
      <c r="AV8" s="445" t="str">
        <f>IF(Dashboard_KPI_Kenh[[#This Row],[Tỷ lệ KPI]]&gt;1,Dashboard_KPI_Kenh[[#This Row],[Tỷ lệ KPI]],"")</f>
        <v/>
      </c>
      <c r="AY8" s="132" t="s">
        <v>947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4" t="str">
        <f>IFERROR(Dashboard_KPI_NhanVien[[#This Row],[Doanh thu]]/Dashboard_KPI_NhanVien[[#This Row],[KPI]],"")</f>
        <v/>
      </c>
      <c r="BE8" s="445"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951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4" t="str">
        <f>IFERROR(Dashboard_KPI_Kenh[[#This Row],[Doanh thu]]/Dashboard_KPI_Kenh[[#This Row],[KPI]],"")</f>
        <v/>
      </c>
      <c r="AV9" s="445" t="str">
        <f>IF(Dashboard_KPI_Kenh[[#This Row],[Tỷ lệ KPI]]&gt;1,Dashboard_KPI_Kenh[[#This Row],[Tỷ lệ KPI]],"")</f>
        <v/>
      </c>
      <c r="AY9" s="132" t="s">
        <v>948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4" t="str">
        <f>IFERROR(Dashboard_KPI_NhanVien[[#This Row],[Doanh thu]]/Dashboard_KPI_NhanVien[[#This Row],[KPI]],"")</f>
        <v/>
      </c>
      <c r="BE9" s="445"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952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4" t="str">
        <f>IFERROR(Dashboard_KPI_Kenh[[#This Row],[Doanh thu]]/Dashboard_KPI_Kenh[[#This Row],[KPI]],"")</f>
        <v/>
      </c>
      <c r="AV10" s="445"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228</v>
      </c>
      <c r="BS20" s="138" t="s">
        <v>229</v>
      </c>
      <c r="BT20" s="138" t="s">
        <v>230</v>
      </c>
      <c r="BU20" s="138" t="s">
        <v>231</v>
      </c>
      <c r="BV20" s="138" t="s">
        <v>232</v>
      </c>
      <c r="BW20" s="138" t="s">
        <v>233</v>
      </c>
      <c r="BX20" s="138" t="s">
        <v>234</v>
      </c>
      <c r="BY20" s="138" t="s">
        <v>22</v>
      </c>
      <c r="BZ20" s="138" t="s">
        <v>235</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63" t="s">
        <v>938</v>
      </c>
      <c r="AA3" s="563"/>
      <c r="AB3" s="563"/>
    </row>
    <row r="4" spans="26:66" ht="18" customHeight="1" x14ac:dyDescent="0.3">
      <c r="BI4" s="138" t="s">
        <v>236</v>
      </c>
      <c r="BL4" s="138" t="s">
        <v>47</v>
      </c>
    </row>
    <row r="5" spans="26:66" ht="18" customHeight="1" x14ac:dyDescent="0.3">
      <c r="AM5" s="132" t="s">
        <v>237</v>
      </c>
      <c r="AN5" s="132" t="s">
        <v>238</v>
      </c>
      <c r="AO5" s="132" t="s">
        <v>239</v>
      </c>
      <c r="AP5" s="132" t="s">
        <v>240</v>
      </c>
      <c r="AQ5" s="132" t="s">
        <v>187</v>
      </c>
      <c r="AR5" s="132" t="s">
        <v>241</v>
      </c>
      <c r="AS5" s="132" t="s">
        <v>242</v>
      </c>
      <c r="AT5" s="132" t="s">
        <v>243</v>
      </c>
      <c r="AU5" s="132" t="s">
        <v>244</v>
      </c>
      <c r="AV5" s="132" t="s">
        <v>245</v>
      </c>
      <c r="AY5" s="132" t="s">
        <v>42</v>
      </c>
      <c r="AZ5" s="132" t="s">
        <v>21</v>
      </c>
      <c r="BA5" s="132" t="s">
        <v>179</v>
      </c>
      <c r="BD5" s="132" t="s">
        <v>47</v>
      </c>
      <c r="BE5" s="132" t="s">
        <v>21</v>
      </c>
      <c r="BF5" s="132" t="s">
        <v>179</v>
      </c>
      <c r="BH5" s="138" t="s">
        <v>1</v>
      </c>
      <c r="BI5" s="138" t="s">
        <v>246</v>
      </c>
      <c r="BJ5" s="138" t="s">
        <v>247</v>
      </c>
      <c r="BK5" s="138" t="s">
        <v>157</v>
      </c>
      <c r="BL5" s="138" t="s">
        <v>246</v>
      </c>
      <c r="BM5" s="138" t="s">
        <v>247</v>
      </c>
      <c r="BN5" s="138" t="s">
        <v>157</v>
      </c>
    </row>
    <row r="6" spans="26:66" ht="18" customHeight="1" x14ac:dyDescent="0.3">
      <c r="AL6" s="132" t="str" cm="1">
        <f t="array" ref="AL6">_xlfn.UNIQUE(Table_ChuongTrinh[Mã Chương trình])</f>
        <v>A</v>
      </c>
      <c r="AM6" s="132" t="s">
        <v>938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939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3"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3"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1003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940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995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941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1004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942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943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944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945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248</v>
      </c>
      <c r="BI23" s="138" t="s">
        <v>180</v>
      </c>
      <c r="BJ23" s="138" t="s">
        <v>249</v>
      </c>
      <c r="BK23" s="138" t="s">
        <v>250</v>
      </c>
      <c r="BL23" s="138" t="s">
        <v>238</v>
      </c>
      <c r="BM23" s="138" t="s">
        <v>22</v>
      </c>
      <c r="BN23" s="138" t="s">
        <v>251</v>
      </c>
      <c r="BO23" s="138" t="s">
        <v>252</v>
      </c>
      <c r="BP23" s="138" t="s">
        <v>253</v>
      </c>
      <c r="BQ23" s="138" t="s">
        <v>254</v>
      </c>
      <c r="BR23" s="138" t="s">
        <v>255</v>
      </c>
      <c r="BS23" s="138" t="s">
        <v>256</v>
      </c>
      <c r="BT23" s="138" t="s">
        <v>257</v>
      </c>
      <c r="BU23" s="138" t="s">
        <v>134</v>
      </c>
      <c r="BV23" s="138" t="s">
        <v>258</v>
      </c>
      <c r="BW23" s="138" t="s">
        <v>259</v>
      </c>
      <c r="BX23" s="138" t="s">
        <v>260</v>
      </c>
      <c r="BY23" s="138" t="s">
        <v>22</v>
      </c>
      <c r="BZ23" s="138" t="s">
        <v>261</v>
      </c>
      <c r="CA23" s="138" t="s">
        <v>262</v>
      </c>
      <c r="CB23" s="138" t="s">
        <v>263</v>
      </c>
      <c r="CC23" s="138" t="s">
        <v>244</v>
      </c>
      <c r="CD23" s="138" t="s">
        <v>263</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1"/>
  <sheetViews>
    <sheetView showGridLines="0" topLeftCell="A169" workbookViewId="0">
      <selection activeCell="D204" sqref="D204"/>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264</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4"/>
      <c r="X1" s="474"/>
    </row>
    <row r="2" spans="1:24" ht="18" customHeight="1" x14ac:dyDescent="0.3">
      <c r="B2" s="27" t="s">
        <v>266</v>
      </c>
      <c r="C2" s="206"/>
      <c r="D2" s="473">
        <f>DATE(DiemHoaVon_NamKeHoach,COUNTA($D$54:D54),1)</f>
        <v>1</v>
      </c>
      <c r="E2" s="473">
        <f>DATE(DiemHoaVon_NamKeHoach,COUNTA($D$54:E54),1)</f>
        <v>32</v>
      </c>
      <c r="F2" s="473">
        <f>DATE(DiemHoaVon_NamKeHoach,COUNTA($D$54:F54),1)</f>
        <v>61</v>
      </c>
      <c r="G2" s="473">
        <f>DATE(DiemHoaVon_NamKeHoach,COUNTA($D$54:G54),1)</f>
        <v>92</v>
      </c>
      <c r="H2" s="473">
        <f>DATE(DiemHoaVon_NamKeHoach,COUNTA($D$54:H54),1)</f>
        <v>122</v>
      </c>
      <c r="I2" s="473">
        <f>DATE(DiemHoaVon_NamKeHoach,COUNTA($D$54:I54),1)</f>
        <v>153</v>
      </c>
      <c r="J2" s="473">
        <f>DATE(DiemHoaVon_NamKeHoach,COUNTA($D$54:J54),1)</f>
        <v>183</v>
      </c>
      <c r="K2" s="473">
        <f>DATE(DiemHoaVon_NamKeHoach,COUNTA($D$54:K54),1)</f>
        <v>214</v>
      </c>
      <c r="L2" s="473">
        <f>DATE(DiemHoaVon_NamKeHoach,COUNTA($D$54:L54),1)</f>
        <v>245</v>
      </c>
      <c r="M2" s="473">
        <f>DATE(DiemHoaVon_NamKeHoach,COUNTA($D$54:M54),1)</f>
        <v>275</v>
      </c>
      <c r="N2" s="473">
        <f>DATE(DiemHoaVon_NamKeHoach,COUNTA($D$54:N54),1)</f>
        <v>306</v>
      </c>
      <c r="O2" s="473">
        <f>DATE(DiemHoaVon_NamKeHoach,COUNTA($D$54:O54),1)</f>
        <v>336</v>
      </c>
      <c r="R2" s="41" t="s">
        <v>1097</v>
      </c>
      <c r="S2" s="476"/>
    </row>
    <row r="3" spans="1:24" ht="18" customHeight="1" x14ac:dyDescent="0.3">
      <c r="B3" s="27"/>
      <c r="D3" s="473"/>
      <c r="E3" s="473"/>
      <c r="F3" s="473"/>
      <c r="G3" s="473"/>
      <c r="H3" s="473"/>
      <c r="I3" s="473"/>
      <c r="J3" s="473"/>
      <c r="K3" s="473"/>
      <c r="L3" s="473"/>
      <c r="M3" s="473"/>
      <c r="N3" s="473"/>
      <c r="O3" s="473"/>
      <c r="R3" s="41" t="s">
        <v>1096</v>
      </c>
      <c r="S3" s="476"/>
    </row>
    <row r="4" spans="1:24" ht="18" customHeight="1" x14ac:dyDescent="0.3">
      <c r="B4" s="27" t="s">
        <v>265</v>
      </c>
      <c r="C4" s="83"/>
      <c r="D4" s="473"/>
      <c r="E4" s="46"/>
      <c r="F4" s="473"/>
      <c r="G4" s="473"/>
      <c r="H4" s="473"/>
      <c r="I4" s="473"/>
      <c r="J4" s="473"/>
      <c r="K4" s="473"/>
      <c r="L4" s="473"/>
      <c r="M4" s="473"/>
      <c r="N4" s="473"/>
      <c r="O4" s="473"/>
      <c r="P4" s="84"/>
      <c r="R4" s="41" t="s">
        <v>1043</v>
      </c>
      <c r="S4" s="425" t="e">
        <f>NPV(S2,S47:T47)</f>
        <v>#DIV/0!</v>
      </c>
      <c r="T4" s="425" cm="1">
        <f t="array" ref="T4">IF(ISBLANK(T1),0,INDEX($R$1:T4,COUNTA($R$1:$R$4),COUNTA($R$1:T1)-1)/(1+$S$2)^(T1-$S$1))</f>
        <v>0</v>
      </c>
    </row>
    <row r="5" spans="1:24" ht="18" customHeight="1" x14ac:dyDescent="0.3">
      <c r="A5" s="473"/>
      <c r="B5" s="473"/>
      <c r="C5" s="473"/>
      <c r="D5" s="473"/>
      <c r="E5" s="46"/>
      <c r="F5" s="473"/>
      <c r="G5" s="473"/>
      <c r="H5" s="473"/>
      <c r="I5" s="473"/>
      <c r="J5" s="473"/>
      <c r="K5" s="473"/>
      <c r="L5" s="473"/>
      <c r="M5" s="473"/>
      <c r="N5" s="473"/>
      <c r="O5" s="473"/>
      <c r="P5" s="84"/>
      <c r="R5" s="41" t="s">
        <v>1044</v>
      </c>
      <c r="S5" s="506" t="e">
        <f>IRR(S47:T47)</f>
        <v>#VALUE!</v>
      </c>
    </row>
    <row r="6" spans="1:24" s="12" customFormat="1" ht="18" customHeight="1" x14ac:dyDescent="0.3">
      <c r="B6" s="4" t="s">
        <v>884</v>
      </c>
      <c r="C6" s="4" t="s">
        <v>2</v>
      </c>
      <c r="D6" s="16" t="s">
        <v>269</v>
      </c>
      <c r="E6" s="16" t="s">
        <v>270</v>
      </c>
      <c r="F6" s="16" t="s">
        <v>271</v>
      </c>
      <c r="G6" s="16" t="s">
        <v>272</v>
      </c>
      <c r="H6" s="16" t="s">
        <v>273</v>
      </c>
      <c r="I6" s="16" t="s">
        <v>274</v>
      </c>
      <c r="J6" s="16" t="s">
        <v>275</v>
      </c>
      <c r="K6" s="16" t="s">
        <v>276</v>
      </c>
      <c r="L6" s="16" t="s">
        <v>277</v>
      </c>
      <c r="M6" s="16" t="s">
        <v>278</v>
      </c>
      <c r="N6" s="16" t="s">
        <v>279</v>
      </c>
      <c r="O6" s="16" t="s">
        <v>280</v>
      </c>
      <c r="P6" s="4" t="s">
        <v>883</v>
      </c>
      <c r="R6" s="4" t="s">
        <v>884</v>
      </c>
      <c r="S6" s="4" t="s">
        <v>901</v>
      </c>
      <c r="T6" s="4" t="s">
        <v>883</v>
      </c>
      <c r="V6" s="4" t="s">
        <v>884</v>
      </c>
      <c r="W6" s="4" t="s">
        <v>1</v>
      </c>
      <c r="X6" s="4" t="s">
        <v>883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5"/>
      <c r="R7" s="74" t="s">
        <v>73</v>
      </c>
      <c r="S7" s="105"/>
      <c r="T7" s="105"/>
      <c r="V7" s="74" t="s">
        <v>73</v>
      </c>
      <c r="W7" s="105"/>
      <c r="X7" s="105"/>
    </row>
    <row r="8" spans="1:24" ht="18" customHeight="1" outlineLevel="1" x14ac:dyDescent="0.3">
      <c r="B8" s="87" t="s">
        <v>282</v>
      </c>
      <c r="C8" s="104" t="e">
        <f>(-C23/(C21/C7))/12</f>
        <v>#N/A</v>
      </c>
      <c r="D8" s="104" t="e">
        <f t="shared" ref="D8:O8" si="1">(-D23/(D21/D7))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81"/>
      <c r="R8" s="87" t="s">
        <v>282</v>
      </c>
      <c r="S8" s="87"/>
      <c r="T8" s="104"/>
      <c r="V8" s="87" t="s">
        <v>282</v>
      </c>
      <c r="W8" s="104"/>
      <c r="X8" s="104"/>
    </row>
    <row r="9" spans="1:24" s="88" customFormat="1" ht="18" customHeight="1" outlineLevel="1" x14ac:dyDescent="0.3">
      <c r="A9" s="69"/>
      <c r="B9" s="87" t="s">
        <v>283</v>
      </c>
      <c r="C9" s="104" t="e">
        <f>(-C23/(C21/C7))/365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81"/>
      <c r="R9" s="87" t="s">
        <v>283</v>
      </c>
      <c r="S9" s="87"/>
      <c r="T9" s="104"/>
      <c r="V9" s="87" t="s">
        <v>283</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33</v>
      </c>
      <c r="C11" s="103" t="e">
        <f>SUM(Table_KeHoach_TuDong[[#This Row],[Tháng 1]:[Tháng 12]])</f>
        <v>#N/A</v>
      </c>
      <c r="D11" s="103" t="e">
        <f>+Table_KeHoach_DoanhThu[[#Totals],[Tháng 1]]</f>
        <v>#N/A</v>
      </c>
      <c r="E11" s="103" t="e">
        <f>+Table_KeHoach_DoanhThu[[#Totals],[Tháng 2]]</f>
        <v>#N/A</v>
      </c>
      <c r="F11" s="103" t="e">
        <f>+Table_KeHoach_DoanhThu[[#Totals],[Tháng 3]]</f>
        <v>#N/A</v>
      </c>
      <c r="G11" s="103" t="e">
        <f>+Table_KeHoach_DoanhThu[[#Totals],[Tháng 4]]</f>
        <v>#N/A</v>
      </c>
      <c r="H11" s="103" t="e">
        <f>+Table_KeHoach_DoanhThu[[#Totals],[Tháng 5]]</f>
        <v>#N/A</v>
      </c>
      <c r="I11" s="103" t="e">
        <f>+Table_KeHoach_DoanhThu[[#Totals],[Tháng 6]]</f>
        <v>#N/A</v>
      </c>
      <c r="J11" s="103" t="e">
        <f>+Table_KeHoach_DoanhThu[[#Totals],[Tháng 7]]</f>
        <v>#N/A</v>
      </c>
      <c r="K11" s="103" t="e">
        <f>+Table_KeHoach_DoanhThu[[#Totals],[Tháng 8]]</f>
        <v>#N/A</v>
      </c>
      <c r="L11" s="103" t="e">
        <f>+Table_KeHoach_DoanhThu[[#Totals],[Tháng 9]]</f>
        <v>#N/A</v>
      </c>
      <c r="M11" s="103" t="e">
        <f>+Table_KeHoach_DoanhThu[[#Totals],[Tháng 10]]</f>
        <v>#N/A</v>
      </c>
      <c r="N11" s="103" t="e">
        <f>+Table_KeHoach_DoanhThu[[#Totals],[Tháng 11]]</f>
        <v>#N/A</v>
      </c>
      <c r="O11" s="103" t="e">
        <f>+Table_KeHoach_DoanhThu[[#Totals],[Tháng 12]]</f>
        <v>#N/A</v>
      </c>
      <c r="P11" s="435"/>
      <c r="R11" s="74" t="s">
        <v>33</v>
      </c>
      <c r="S11" s="74"/>
      <c r="T11" s="330"/>
      <c r="V11" s="74" t="s">
        <v>33</v>
      </c>
      <c r="W11" s="103"/>
      <c r="X11" s="103"/>
    </row>
    <row r="12" spans="1:24" ht="18" customHeight="1" outlineLevel="1" x14ac:dyDescent="0.3">
      <c r="B12" s="99" t="s">
        <v>284</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284</v>
      </c>
      <c r="S12" s="99"/>
      <c r="T12" s="109"/>
      <c r="V12" s="99" t="s">
        <v>284</v>
      </c>
      <c r="W12" s="109"/>
      <c r="X12" s="109"/>
    </row>
    <row r="13" spans="1:24" s="100" customFormat="1" ht="18" customHeight="1" outlineLevel="1" x14ac:dyDescent="0.3">
      <c r="B13" s="54" t="s">
        <v>77</v>
      </c>
      <c r="C13" s="102" t="e">
        <f>SUM(Table_KeHoach_TuDong[[#This Row],[Tháng 1]:[Tháng 12]])</f>
        <v>#N/A</v>
      </c>
      <c r="D13" s="102" t="e">
        <f t="shared" ref="D13:O13" si="5">SUM(D14:D20)</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5"/>
      <c r="V13" s="54" t="s">
        <v>77</v>
      </c>
      <c r="W13" s="102"/>
      <c r="X13" s="102"/>
    </row>
    <row r="14" spans="1:24" ht="18" customHeight="1" outlineLevel="2" x14ac:dyDescent="0.3">
      <c r="B14" s="73" t="s">
        <v>285</v>
      </c>
      <c r="C14" s="107">
        <f>SUM(Table_KeHoach_TuDong[[#This Row],[Tháng 1]:[Tháng 12]])</f>
        <v>0</v>
      </c>
      <c r="D14" s="107">
        <f>D70</f>
        <v>0</v>
      </c>
      <c r="E14" s="107">
        <f t="shared" ref="E14:O14" si="6">E70</f>
        <v>0</v>
      </c>
      <c r="F14" s="107">
        <f t="shared" si="6"/>
        <v>0</v>
      </c>
      <c r="G14" s="107">
        <f t="shared" si="6"/>
        <v>0</v>
      </c>
      <c r="H14" s="107">
        <f t="shared" si="6"/>
        <v>0</v>
      </c>
      <c r="I14" s="107">
        <f t="shared" si="6"/>
        <v>0</v>
      </c>
      <c r="J14" s="107">
        <f t="shared" si="6"/>
        <v>0</v>
      </c>
      <c r="K14" s="107">
        <f t="shared" si="6"/>
        <v>0</v>
      </c>
      <c r="L14" s="107">
        <f t="shared" si="6"/>
        <v>0</v>
      </c>
      <c r="M14" s="107">
        <f t="shared" si="6"/>
        <v>0</v>
      </c>
      <c r="N14" s="107">
        <f t="shared" si="6"/>
        <v>0</v>
      </c>
      <c r="O14" s="107">
        <f t="shared" si="6"/>
        <v>0</v>
      </c>
      <c r="P14" s="208"/>
      <c r="R14" s="73" t="s">
        <v>285</v>
      </c>
      <c r="S14" s="73"/>
      <c r="T14" s="331"/>
      <c r="V14" s="73" t="s">
        <v>285</v>
      </c>
      <c r="W14" s="107"/>
      <c r="X14" s="107"/>
    </row>
    <row r="15" spans="1:24" s="41" customFormat="1" ht="18" customHeight="1" outlineLevel="2" x14ac:dyDescent="0.3">
      <c r="B15" s="73" t="s">
        <v>286</v>
      </c>
      <c r="C15" s="107">
        <f>SUM(Table_KeHoach_TuDong[[#This Row],[Tháng 1]:[Tháng 12]])</f>
        <v>0</v>
      </c>
      <c r="D15" s="107">
        <f>Table_KeHoach_ChiPhiSKU[[#Totals],[Tháng 1]]+Table_KeHoach_ChiPhiVatTuSX[[#Totals],[Tháng 1]]</f>
        <v>0</v>
      </c>
      <c r="E15" s="107">
        <f>Table_KeHoach_ChiPhiSKU[[#Totals],[Tháng 2]]+Table_KeHoach_ChiPhiVatTuSX[[#Totals],[Tháng 2]]</f>
        <v>0</v>
      </c>
      <c r="F15" s="107">
        <f>Table_KeHoach_ChiPhiSKU[[#Totals],[Tháng 3]]+Table_KeHoach_ChiPhiVatTuSX[[#Totals],[Tháng 3]]</f>
        <v>0</v>
      </c>
      <c r="G15" s="107">
        <f>Table_KeHoach_ChiPhiSKU[[#Totals],[Tháng 4]]+Table_KeHoach_ChiPhiVatTuSX[[#Totals],[Tháng 4]]</f>
        <v>0</v>
      </c>
      <c r="H15" s="107">
        <f>Table_KeHoach_ChiPhiSKU[[#Totals],[Tháng 5]]+Table_KeHoach_ChiPhiVatTuSX[[#Totals],[Tháng 5]]</f>
        <v>0</v>
      </c>
      <c r="I15" s="107">
        <f>Table_KeHoach_ChiPhiSKU[[#Totals],[Tháng 6]]+Table_KeHoach_ChiPhiVatTuSX[[#Totals],[Tháng 6]]</f>
        <v>0</v>
      </c>
      <c r="J15" s="107">
        <f>Table_KeHoach_ChiPhiSKU[[#Totals],[Tháng 7]]+Table_KeHoach_ChiPhiVatTuSX[[#Totals],[Tháng 7]]</f>
        <v>0</v>
      </c>
      <c r="K15" s="107">
        <f>Table_KeHoach_ChiPhiSKU[[#Totals],[Tháng 8]]+Table_KeHoach_ChiPhiVatTuSX[[#Totals],[Tháng 8]]</f>
        <v>0</v>
      </c>
      <c r="L15" s="107">
        <f>Table_KeHoach_ChiPhiSKU[[#Totals],[Tháng 9]]+Table_KeHoach_ChiPhiVatTuSX[[#Totals],[Tháng 9]]</f>
        <v>0</v>
      </c>
      <c r="M15" s="107">
        <f>Table_KeHoach_ChiPhiSKU[[#Totals],[Tháng 10]]+Table_KeHoach_ChiPhiVatTuSX[[#Totals],[Tháng 10]]</f>
        <v>0</v>
      </c>
      <c r="N15" s="107">
        <f>Table_KeHoach_ChiPhiSKU[[#Totals],[Tháng 11]]+Table_KeHoach_ChiPhiVatTuSX[[#Totals],[Tháng 11]]</f>
        <v>0</v>
      </c>
      <c r="O15" s="107">
        <f>Table_KeHoach_ChiPhiSKU[[#Totals],[Tháng 12]]+Table_KeHoach_ChiPhiVatTuSX[[#Totals],[Tháng 12]]</f>
        <v>0</v>
      </c>
      <c r="P15" s="207"/>
      <c r="R15" s="73" t="s">
        <v>286</v>
      </c>
      <c r="S15" s="73"/>
      <c r="T15" s="331"/>
      <c r="V15" s="73" t="s">
        <v>286</v>
      </c>
      <c r="W15" s="107"/>
      <c r="X15" s="107"/>
    </row>
    <row r="16" spans="1:24" ht="18" customHeight="1" outlineLevel="2" x14ac:dyDescent="0.3">
      <c r="B16" s="73" t="s">
        <v>287</v>
      </c>
      <c r="C16" s="107">
        <f>SUM(Table_KeHoach_TuDong[[#This Row],[Tháng 1]:[Tháng 12]])</f>
        <v>0</v>
      </c>
      <c r="D16" s="108">
        <f>Table_KeHoach_ChiPhiTienIchSX[[#Totals],[Tháng 1]]</f>
        <v>0</v>
      </c>
      <c r="E16" s="108">
        <f>Table_KeHoach_ChiPhiTienIchSX[[#Totals],[Tháng 2]]</f>
        <v>0</v>
      </c>
      <c r="F16" s="108">
        <f>Table_KeHoach_ChiPhiTienIchSX[[#Totals],[Tháng 3]]</f>
        <v>0</v>
      </c>
      <c r="G16" s="108">
        <f>Table_KeHoach_ChiPhiTienIchSX[[#Totals],[Tháng 4]]</f>
        <v>0</v>
      </c>
      <c r="H16" s="108">
        <f>Table_KeHoach_ChiPhiTienIchSX[[#Totals],[Tháng 5]]</f>
        <v>0</v>
      </c>
      <c r="I16" s="108">
        <f>Table_KeHoach_ChiPhiTienIchSX[[#Totals],[Tháng 6]]</f>
        <v>0</v>
      </c>
      <c r="J16" s="108">
        <f>Table_KeHoach_ChiPhiTienIchSX[[#Totals],[Tháng 7]]</f>
        <v>0</v>
      </c>
      <c r="K16" s="108">
        <f>Table_KeHoach_ChiPhiTienIchSX[[#Totals],[Tháng 8]]</f>
        <v>0</v>
      </c>
      <c r="L16" s="108">
        <f>Table_KeHoach_ChiPhiTienIchSX[[#Totals],[Tháng 9]]</f>
        <v>0</v>
      </c>
      <c r="M16" s="108">
        <f>Table_KeHoach_ChiPhiTienIchSX[[#Totals],[Tháng 10]]</f>
        <v>0</v>
      </c>
      <c r="N16" s="108">
        <f>Table_KeHoach_ChiPhiTienIchSX[[#Totals],[Tháng 11]]</f>
        <v>0</v>
      </c>
      <c r="O16" s="108">
        <f>Table_KeHoach_ChiPhiTienIchSX[[#Totals],[Tháng 12]]</f>
        <v>0</v>
      </c>
      <c r="P16" s="207"/>
      <c r="R16" s="73" t="s">
        <v>287</v>
      </c>
      <c r="S16" s="73"/>
      <c r="T16" s="331"/>
      <c r="V16" s="73" t="s">
        <v>287</v>
      </c>
      <c r="W16" s="108"/>
      <c r="X16" s="108"/>
    </row>
    <row r="17" spans="2:24" ht="18" customHeight="1" outlineLevel="2" x14ac:dyDescent="0.3">
      <c r="B17" s="73" t="s">
        <v>288</v>
      </c>
      <c r="C17" s="107" t="e">
        <f>SUM(Table_KeHoach_TuDong[[#This Row],[Tháng 1]:[Tháng 12]])</f>
        <v>#N/A</v>
      </c>
      <c r="D17" s="107" t="e">
        <f>Table_KeHoach_ChiPhiHoaHong[[#Totals],[Tháng 1]]</f>
        <v>#N/A</v>
      </c>
      <c r="E17" s="107" t="e">
        <f>Table_KeHoach_ChiPhiHoaHong[[#Totals],[Tháng 2]]</f>
        <v>#N/A</v>
      </c>
      <c r="F17" s="107" t="e">
        <f>Table_KeHoach_ChiPhiHoaHong[[#Totals],[Tháng 3]]</f>
        <v>#N/A</v>
      </c>
      <c r="G17" s="107" t="e">
        <f>Table_KeHoach_ChiPhiHoaHong[[#Totals],[Tháng 4]]</f>
        <v>#N/A</v>
      </c>
      <c r="H17" s="107" t="e">
        <f>Table_KeHoach_ChiPhiHoaHong[[#Totals],[Tháng 5]]</f>
        <v>#N/A</v>
      </c>
      <c r="I17" s="107" t="e">
        <f>Table_KeHoach_ChiPhiHoaHong[[#Totals],[Tháng 6]]</f>
        <v>#N/A</v>
      </c>
      <c r="J17" s="107" t="e">
        <f>Table_KeHoach_ChiPhiHoaHong[[#Totals],[Tháng 7]]</f>
        <v>#N/A</v>
      </c>
      <c r="K17" s="107" t="e">
        <f>Table_KeHoach_ChiPhiHoaHong[[#Totals],[Tháng 8]]</f>
        <v>#N/A</v>
      </c>
      <c r="L17" s="107" t="e">
        <f>Table_KeHoach_ChiPhiHoaHong[[#Totals],[Tháng 9]]</f>
        <v>#N/A</v>
      </c>
      <c r="M17" s="107" t="e">
        <f>Table_KeHoach_ChiPhiHoaHong[[#Totals],[Tháng 10]]</f>
        <v>#N/A</v>
      </c>
      <c r="N17" s="107" t="e">
        <f>Table_KeHoach_ChiPhiHoaHong[[#Totals],[Tháng 11]]</f>
        <v>#N/A</v>
      </c>
      <c r="O17" s="107" t="e">
        <f>Table_KeHoach_ChiPhiHoaHong[[#Totals],[Tháng 12]]</f>
        <v>#N/A</v>
      </c>
      <c r="P17" s="208"/>
      <c r="R17" s="73" t="s">
        <v>288</v>
      </c>
      <c r="S17" s="73"/>
      <c r="T17" s="331"/>
      <c r="V17" s="73" t="s">
        <v>288</v>
      </c>
      <c r="W17" s="107"/>
      <c r="X17" s="107"/>
    </row>
    <row r="18" spans="2:24" s="41" customFormat="1" ht="18" customHeight="1" outlineLevel="2" x14ac:dyDescent="0.3">
      <c r="B18" s="73" t="s">
        <v>289</v>
      </c>
      <c r="C18" s="107">
        <f>SUM(Table_KeHoach_TuDong[[#This Row],[Tháng 1]:[Tháng 12]])</f>
        <v>0</v>
      </c>
      <c r="D18" s="108">
        <f>Table_KeHoach_ThuongNhanSu[[#Totals],[Tháng 1]]</f>
        <v>0</v>
      </c>
      <c r="E18" s="108">
        <f>Table_KeHoach_ThuongNhanSu[[#Totals],[Tháng 2]]</f>
        <v>0</v>
      </c>
      <c r="F18" s="108">
        <f>Table_KeHoach_ThuongNhanSu[[#Totals],[Tháng 3]]</f>
        <v>0</v>
      </c>
      <c r="G18" s="108">
        <f>Table_KeHoach_ThuongNhanSu[[#Totals],[Tháng 4]]</f>
        <v>0</v>
      </c>
      <c r="H18" s="108">
        <f>Table_KeHoach_ThuongNhanSu[[#Totals],[Tháng 5]]</f>
        <v>0</v>
      </c>
      <c r="I18" s="108">
        <f>Table_KeHoach_ThuongNhanSu[[#Totals],[Tháng 6]]</f>
        <v>0</v>
      </c>
      <c r="J18" s="108">
        <f>Table_KeHoach_ThuongNhanSu[[#Totals],[Tháng 7]]</f>
        <v>0</v>
      </c>
      <c r="K18" s="108">
        <f>Table_KeHoach_ThuongNhanSu[[#Totals],[Tháng 8]]</f>
        <v>0</v>
      </c>
      <c r="L18" s="108">
        <f>Table_KeHoach_ThuongNhanSu[[#Totals],[Tháng 9]]</f>
        <v>0</v>
      </c>
      <c r="M18" s="108">
        <f>Table_KeHoach_ThuongNhanSu[[#Totals],[Tháng 10]]</f>
        <v>0</v>
      </c>
      <c r="N18" s="108">
        <f>Table_KeHoach_ThuongNhanSu[[#Totals],[Tháng 11]]</f>
        <v>0</v>
      </c>
      <c r="O18" s="108">
        <f>Table_KeHoach_ThuongNhanSu[[#Totals],[Tháng 12]]</f>
        <v>0</v>
      </c>
      <c r="P18" s="207"/>
      <c r="R18" s="73" t="s">
        <v>289</v>
      </c>
      <c r="S18" s="73"/>
      <c r="T18" s="331"/>
      <c r="V18" s="73" t="s">
        <v>289</v>
      </c>
      <c r="W18" s="108"/>
      <c r="X18" s="108"/>
    </row>
    <row r="19" spans="2:24" ht="18" customHeight="1" outlineLevel="2" x14ac:dyDescent="0.3">
      <c r="B19" s="73" t="s">
        <v>290</v>
      </c>
      <c r="C19" s="107" t="e">
        <f>SUM(Table_KeHoach_TuDong[[#This Row],[Tháng 1]:[Tháng 12]])</f>
        <v>#N/A</v>
      </c>
      <c r="D19" s="108" t="e">
        <f>Table_KeHoach_ChiPhiThanhToan[[#Totals],[Tháng 1]]</f>
        <v>#N/A</v>
      </c>
      <c r="E19" s="108" t="e">
        <f>Table_KeHoach_ChiPhiThanhToan[[#Totals],[Tháng 2]]</f>
        <v>#N/A</v>
      </c>
      <c r="F19" s="108" t="e">
        <f>Table_KeHoach_ChiPhiThanhToan[[#Totals],[Tháng 3]]</f>
        <v>#N/A</v>
      </c>
      <c r="G19" s="108" t="e">
        <f>Table_KeHoach_ChiPhiThanhToan[[#Totals],[Tháng 4]]</f>
        <v>#N/A</v>
      </c>
      <c r="H19" s="108" t="e">
        <f>Table_KeHoach_ChiPhiThanhToan[[#Totals],[Tháng 5]]</f>
        <v>#N/A</v>
      </c>
      <c r="I19" s="108" t="e">
        <f>Table_KeHoach_ChiPhiThanhToan[[#Totals],[Tháng 6]]</f>
        <v>#N/A</v>
      </c>
      <c r="J19" s="108" t="e">
        <f>Table_KeHoach_ChiPhiThanhToan[[#Totals],[Tháng 7]]</f>
        <v>#N/A</v>
      </c>
      <c r="K19" s="108" t="e">
        <f>Table_KeHoach_ChiPhiThanhToan[[#Totals],[Tháng 8]]</f>
        <v>#N/A</v>
      </c>
      <c r="L19" s="108" t="e">
        <f>Table_KeHoach_ChiPhiThanhToan[[#Totals],[Tháng 9]]</f>
        <v>#N/A</v>
      </c>
      <c r="M19" s="108" t="e">
        <f>Table_KeHoach_ChiPhiThanhToan[[#Totals],[Tháng 10]]</f>
        <v>#N/A</v>
      </c>
      <c r="N19" s="108" t="e">
        <f>Table_KeHoach_ChiPhiThanhToan[[#Totals],[Tháng 11]]</f>
        <v>#N/A</v>
      </c>
      <c r="O19" s="108" t="e">
        <f>Table_KeHoach_ChiPhiThanhToan[[#Totals],[Tháng 12]]</f>
        <v>#N/A</v>
      </c>
      <c r="P19" s="207"/>
      <c r="R19" s="73" t="s">
        <v>290</v>
      </c>
      <c r="S19" s="73"/>
      <c r="T19" s="331"/>
      <c r="V19" s="73" t="s">
        <v>290</v>
      </c>
      <c r="W19" s="108"/>
      <c r="X19" s="108"/>
    </row>
    <row r="20" spans="2:24" ht="18" customHeight="1" outlineLevel="2" x14ac:dyDescent="0.3">
      <c r="B20" s="73" t="s">
        <v>291</v>
      </c>
      <c r="C20" s="107" t="e">
        <f>SUM(Table_KeHoach_TuDong[[#This Row],[Tháng 1]:[Tháng 12]])</f>
        <v>#N/A</v>
      </c>
      <c r="D20" s="107" t="e">
        <f>D122</f>
        <v>#N/A</v>
      </c>
      <c r="E20" s="107" t="e">
        <f t="shared" ref="E20:O20" si="7">E122</f>
        <v>#N/A</v>
      </c>
      <c r="F20" s="107" t="e">
        <f t="shared" si="7"/>
        <v>#N/A</v>
      </c>
      <c r="G20" s="107" t="e">
        <f t="shared" si="7"/>
        <v>#N/A</v>
      </c>
      <c r="H20" s="107" t="e">
        <f t="shared" si="7"/>
        <v>#N/A</v>
      </c>
      <c r="I20" s="107" t="e">
        <f t="shared" si="7"/>
        <v>#N/A</v>
      </c>
      <c r="J20" s="107" t="e">
        <f t="shared" si="7"/>
        <v>#N/A</v>
      </c>
      <c r="K20" s="107" t="e">
        <f t="shared" si="7"/>
        <v>#N/A</v>
      </c>
      <c r="L20" s="107" t="e">
        <f t="shared" si="7"/>
        <v>#N/A</v>
      </c>
      <c r="M20" s="107" t="e">
        <f t="shared" si="7"/>
        <v>#N/A</v>
      </c>
      <c r="N20" s="107" t="e">
        <f t="shared" si="7"/>
        <v>#N/A</v>
      </c>
      <c r="O20" s="107" t="e">
        <f t="shared" si="7"/>
        <v>#N/A</v>
      </c>
      <c r="P20" s="207"/>
      <c r="R20" s="73" t="s">
        <v>291</v>
      </c>
      <c r="S20" s="73"/>
      <c r="T20" s="331"/>
      <c r="V20" s="73" t="s">
        <v>291</v>
      </c>
      <c r="W20" s="107"/>
      <c r="X20" s="107"/>
    </row>
    <row r="21" spans="2:24" ht="18" customHeight="1" outlineLevel="1" x14ac:dyDescent="0.3">
      <c r="B21" s="74" t="s">
        <v>85</v>
      </c>
      <c r="C21" s="103" t="e">
        <f>SUM(Table_KeHoach_TuDong[[#This Row],[Tháng 1]:[Tháng 12]])</f>
        <v>#N/A</v>
      </c>
      <c r="D21" s="103" t="e">
        <f t="shared" ref="D21:O21" si="8">+D11+D13</f>
        <v>#N/A</v>
      </c>
      <c r="E21" s="103" t="e">
        <f t="shared" si="8"/>
        <v>#N/A</v>
      </c>
      <c r="F21" s="103" t="e">
        <f t="shared" si="8"/>
        <v>#N/A</v>
      </c>
      <c r="G21" s="103" t="e">
        <f t="shared" si="8"/>
        <v>#N/A</v>
      </c>
      <c r="H21" s="103" t="e">
        <f t="shared" si="8"/>
        <v>#N/A</v>
      </c>
      <c r="I21" s="103" t="e">
        <f t="shared" si="8"/>
        <v>#N/A</v>
      </c>
      <c r="J21" s="103" t="e">
        <f t="shared" si="8"/>
        <v>#N/A</v>
      </c>
      <c r="K21" s="103" t="e">
        <f t="shared" si="8"/>
        <v>#N/A</v>
      </c>
      <c r="L21" s="103" t="e">
        <f t="shared" si="8"/>
        <v>#N/A</v>
      </c>
      <c r="M21" s="103" t="e">
        <f t="shared" si="8"/>
        <v>#N/A</v>
      </c>
      <c r="N21" s="103" t="e">
        <f t="shared" si="8"/>
        <v>#N/A</v>
      </c>
      <c r="O21" s="103" t="e">
        <f t="shared" si="8"/>
        <v>#N/A</v>
      </c>
      <c r="P21" s="207"/>
      <c r="R21" s="74" t="s">
        <v>85</v>
      </c>
      <c r="S21" s="74"/>
      <c r="T21" s="330"/>
      <c r="V21" s="74" t="s">
        <v>85</v>
      </c>
      <c r="W21" s="103"/>
      <c r="X21" s="103"/>
    </row>
    <row r="22" spans="2:24" s="53" customFormat="1" ht="18" customHeight="1" outlineLevel="1" x14ac:dyDescent="0.3">
      <c r="B22" s="99" t="s">
        <v>292</v>
      </c>
      <c r="C22" s="109">
        <f t="shared" ref="C22:O22" si="9">IFERROR(C23/(C23+C13),0)</f>
        <v>0</v>
      </c>
      <c r="D22" s="109">
        <f t="shared" si="9"/>
        <v>0</v>
      </c>
      <c r="E22" s="109">
        <f t="shared" si="9"/>
        <v>0</v>
      </c>
      <c r="F22" s="109">
        <f t="shared" si="9"/>
        <v>0</v>
      </c>
      <c r="G22" s="109">
        <f t="shared" si="9"/>
        <v>0</v>
      </c>
      <c r="H22" s="109">
        <f t="shared" si="9"/>
        <v>0</v>
      </c>
      <c r="I22" s="109">
        <f t="shared" si="9"/>
        <v>0</v>
      </c>
      <c r="J22" s="109">
        <f t="shared" si="9"/>
        <v>0</v>
      </c>
      <c r="K22" s="109">
        <f t="shared" si="9"/>
        <v>0</v>
      </c>
      <c r="L22" s="109">
        <f t="shared" si="9"/>
        <v>0</v>
      </c>
      <c r="M22" s="109">
        <f t="shared" si="9"/>
        <v>0</v>
      </c>
      <c r="N22" s="109">
        <f t="shared" si="9"/>
        <v>0</v>
      </c>
      <c r="O22" s="109">
        <f t="shared" si="9"/>
        <v>0</v>
      </c>
      <c r="P22" s="207"/>
      <c r="R22" s="99" t="s">
        <v>292</v>
      </c>
      <c r="S22" s="99"/>
      <c r="T22" s="109"/>
      <c r="V22" s="99" t="s">
        <v>292</v>
      </c>
      <c r="W22" s="109"/>
      <c r="X22" s="109"/>
    </row>
    <row r="23" spans="2:24" s="53" customFormat="1" ht="18" customHeight="1" outlineLevel="1" x14ac:dyDescent="0.3">
      <c r="B23" s="54" t="s">
        <v>87</v>
      </c>
      <c r="C23" s="102" t="e">
        <f>SUM(Table_KeHoach_TuDong[[#This Row],[Tháng 1]:[Tháng 12]])</f>
        <v>#N/A</v>
      </c>
      <c r="D23" s="102" t="e">
        <f t="shared" ref="D23:O23" si="10">+SUM(D24:D32)</f>
        <v>#N/A</v>
      </c>
      <c r="E23" s="102" t="e">
        <f t="shared" si="10"/>
        <v>#N/A</v>
      </c>
      <c r="F23" s="102" t="e">
        <f t="shared" si="10"/>
        <v>#N/A</v>
      </c>
      <c r="G23" s="102" t="e">
        <f t="shared" si="10"/>
        <v>#N/A</v>
      </c>
      <c r="H23" s="102" t="e">
        <f t="shared" si="10"/>
        <v>#N/A</v>
      </c>
      <c r="I23" s="102" t="e">
        <f t="shared" si="10"/>
        <v>#N/A</v>
      </c>
      <c r="J23" s="102" t="e">
        <f t="shared" si="10"/>
        <v>#N/A</v>
      </c>
      <c r="K23" s="102" t="e">
        <f t="shared" si="10"/>
        <v>#N/A</v>
      </c>
      <c r="L23" s="102" t="e">
        <f t="shared" si="10"/>
        <v>#N/A</v>
      </c>
      <c r="M23" s="102" t="e">
        <f t="shared" si="10"/>
        <v>#N/A</v>
      </c>
      <c r="N23" s="102" t="e">
        <f t="shared" si="10"/>
        <v>#N/A</v>
      </c>
      <c r="O23" s="102" t="e">
        <f t="shared" si="10"/>
        <v>#N/A</v>
      </c>
      <c r="P23" s="207"/>
      <c r="R23" s="54" t="s">
        <v>87</v>
      </c>
      <c r="S23" s="54"/>
      <c r="T23" s="325"/>
      <c r="V23" s="54" t="s">
        <v>87</v>
      </c>
      <c r="W23" s="102"/>
      <c r="X23" s="102"/>
    </row>
    <row r="24" spans="2:24" s="100" customFormat="1" ht="18" customHeight="1" outlineLevel="2" x14ac:dyDescent="0.3">
      <c r="B24" s="73" t="s">
        <v>293</v>
      </c>
      <c r="C24" s="107" t="e">
        <f>SUM(Table_KeHoach_TuDong[[#This Row],[Tháng 1]:[Tháng 12]])</f>
        <v>#N/A</v>
      </c>
      <c r="D24" s="107" t="e">
        <f>Table_KeHoach_LuongGross[[#Totals],[Tháng 1]]</f>
        <v>#N/A</v>
      </c>
      <c r="E24" s="107" t="e">
        <f>Table_KeHoach_LuongGross[[#Totals],[Tháng 2]]</f>
        <v>#N/A</v>
      </c>
      <c r="F24" s="107" t="e">
        <f>Table_KeHoach_LuongGross[[#Totals],[Tháng 3]]</f>
        <v>#N/A</v>
      </c>
      <c r="G24" s="107" t="e">
        <f>Table_KeHoach_LuongGross[[#Totals],[Tháng 4]]</f>
        <v>#N/A</v>
      </c>
      <c r="H24" s="107" t="e">
        <f>Table_KeHoach_LuongGross[[#Totals],[Tháng 5]]</f>
        <v>#N/A</v>
      </c>
      <c r="I24" s="107" t="e">
        <f>Table_KeHoach_LuongGross[[#Totals],[Tháng 6]]</f>
        <v>#N/A</v>
      </c>
      <c r="J24" s="107" t="e">
        <f>Table_KeHoach_LuongGross[[#Totals],[Tháng 7]]</f>
        <v>#N/A</v>
      </c>
      <c r="K24" s="107" t="e">
        <f>Table_KeHoach_LuongGross[[#Totals],[Tháng 8]]</f>
        <v>#N/A</v>
      </c>
      <c r="L24" s="107" t="e">
        <f>Table_KeHoach_LuongGross[[#Totals],[Tháng 9]]</f>
        <v>#N/A</v>
      </c>
      <c r="M24" s="107" t="e">
        <f>Table_KeHoach_LuongGross[[#Totals],[Tháng 10]]</f>
        <v>#N/A</v>
      </c>
      <c r="N24" s="107" t="e">
        <f>Table_KeHoach_LuongGross[[#Totals],[Tháng 11]]</f>
        <v>#N/A</v>
      </c>
      <c r="O24" s="107" t="e">
        <f>Table_KeHoach_LuongGross[[#Totals],[Tháng 12]]</f>
        <v>#N/A</v>
      </c>
      <c r="P24" s="207"/>
      <c r="R24" s="73" t="s">
        <v>293</v>
      </c>
      <c r="S24" s="73"/>
      <c r="T24" s="331"/>
      <c r="V24" s="73" t="s">
        <v>293</v>
      </c>
      <c r="W24" s="107"/>
      <c r="X24" s="107"/>
    </row>
    <row r="25" spans="2:24" s="53" customFormat="1" ht="18" customHeight="1" outlineLevel="2" x14ac:dyDescent="0.3">
      <c r="B25" s="73" t="s">
        <v>294</v>
      </c>
      <c r="C25" s="107">
        <f>SUM(Table_KeHoach_TuDong[[#This Row],[Tháng 1]:[Tháng 12]])</f>
        <v>0</v>
      </c>
      <c r="D25" s="107">
        <f>Table_KeHoach_ChiPhiVatTuVP[[#Totals],[Tháng 1]]</f>
        <v>0</v>
      </c>
      <c r="E25" s="107">
        <f>Table_KeHoach_ChiPhiVatTuVP[[#Totals],[Tháng 2]]</f>
        <v>0</v>
      </c>
      <c r="F25" s="107">
        <f>Table_KeHoach_ChiPhiVatTuVP[[#Totals],[Tháng 3]]</f>
        <v>0</v>
      </c>
      <c r="G25" s="107">
        <f>Table_KeHoach_ChiPhiVatTuVP[[#Totals],[Tháng 4]]</f>
        <v>0</v>
      </c>
      <c r="H25" s="107">
        <f>Table_KeHoach_ChiPhiVatTuVP[[#Totals],[Tháng 5]]</f>
        <v>0</v>
      </c>
      <c r="I25" s="107">
        <f>Table_KeHoach_ChiPhiVatTuVP[[#Totals],[Tháng 6]]</f>
        <v>0</v>
      </c>
      <c r="J25" s="107">
        <f>Table_KeHoach_ChiPhiVatTuVP[[#Totals],[Tháng 7]]</f>
        <v>0</v>
      </c>
      <c r="K25" s="107">
        <f>Table_KeHoach_ChiPhiVatTuVP[[#Totals],[Tháng 8]]</f>
        <v>0</v>
      </c>
      <c r="L25" s="107">
        <f>Table_KeHoach_ChiPhiVatTuVP[[#Totals],[Tháng 9]]</f>
        <v>0</v>
      </c>
      <c r="M25" s="107">
        <f>Table_KeHoach_ChiPhiVatTuVP[[#Totals],[Tháng 10]]</f>
        <v>0</v>
      </c>
      <c r="N25" s="107">
        <f>Table_KeHoach_ChiPhiVatTuVP[[#Totals],[Tháng 11]]</f>
        <v>0</v>
      </c>
      <c r="O25" s="107">
        <f>Table_KeHoach_ChiPhiVatTuVP[[#Totals],[Tháng 12]]</f>
        <v>0</v>
      </c>
      <c r="P25" s="207"/>
      <c r="R25" s="73" t="s">
        <v>294</v>
      </c>
      <c r="S25" s="73"/>
      <c r="T25" s="331"/>
      <c r="V25" s="73" t="s">
        <v>294</v>
      </c>
      <c r="W25" s="107"/>
      <c r="X25" s="107"/>
    </row>
    <row r="26" spans="2:24" ht="18" customHeight="1" outlineLevel="2" x14ac:dyDescent="0.3">
      <c r="B26" s="73" t="s">
        <v>355</v>
      </c>
      <c r="C26" s="107">
        <f>SUM(Table_KeHoach_TuDong[[#This Row],[Tháng 1]:[Tháng 12]])</f>
        <v>0</v>
      </c>
      <c r="D26" s="434">
        <f t="shared" ref="D26:O26" si="11">+D140</f>
        <v>0</v>
      </c>
      <c r="E26" s="434">
        <f t="shared" si="11"/>
        <v>0</v>
      </c>
      <c r="F26" s="434">
        <f t="shared" si="11"/>
        <v>0</v>
      </c>
      <c r="G26" s="434">
        <f t="shared" si="11"/>
        <v>0</v>
      </c>
      <c r="H26" s="434">
        <f t="shared" si="11"/>
        <v>0</v>
      </c>
      <c r="I26" s="434">
        <f t="shared" si="11"/>
        <v>0</v>
      </c>
      <c r="J26" s="434">
        <f t="shared" si="11"/>
        <v>0</v>
      </c>
      <c r="K26" s="434">
        <f t="shared" si="11"/>
        <v>0</v>
      </c>
      <c r="L26" s="434">
        <f t="shared" si="11"/>
        <v>0</v>
      </c>
      <c r="M26" s="434">
        <f t="shared" si="11"/>
        <v>0</v>
      </c>
      <c r="N26" s="434">
        <f t="shared" si="11"/>
        <v>0</v>
      </c>
      <c r="O26" s="434">
        <f t="shared" si="11"/>
        <v>0</v>
      </c>
      <c r="P26" s="435"/>
      <c r="R26" s="73" t="s">
        <v>355</v>
      </c>
      <c r="S26" s="73"/>
      <c r="T26" s="331"/>
      <c r="V26" s="73" t="s">
        <v>355</v>
      </c>
      <c r="W26" s="434"/>
      <c r="X26" s="434"/>
    </row>
    <row r="27" spans="2:24" ht="18" customHeight="1" outlineLevel="2" x14ac:dyDescent="0.3">
      <c r="B27" s="73" t="s">
        <v>295</v>
      </c>
      <c r="C27" s="107">
        <f>SUM(Table_KeHoach_TuDong[[#This Row],[Tháng 1]:[Tháng 12]])</f>
        <v>0</v>
      </c>
      <c r="D27" s="107">
        <f t="shared" ref="D27:O27" si="12">+SUM(D141:D142)</f>
        <v>0</v>
      </c>
      <c r="E27" s="107">
        <f t="shared" si="12"/>
        <v>0</v>
      </c>
      <c r="F27" s="107">
        <f t="shared" si="12"/>
        <v>0</v>
      </c>
      <c r="G27" s="107">
        <f t="shared" si="12"/>
        <v>0</v>
      </c>
      <c r="H27" s="107">
        <f t="shared" si="12"/>
        <v>0</v>
      </c>
      <c r="I27" s="107">
        <f t="shared" si="12"/>
        <v>0</v>
      </c>
      <c r="J27" s="107">
        <f t="shared" si="12"/>
        <v>0</v>
      </c>
      <c r="K27" s="107">
        <f t="shared" si="12"/>
        <v>0</v>
      </c>
      <c r="L27" s="107">
        <f t="shared" si="12"/>
        <v>0</v>
      </c>
      <c r="M27" s="107">
        <f t="shared" si="12"/>
        <v>0</v>
      </c>
      <c r="N27" s="107">
        <f t="shared" si="12"/>
        <v>0</v>
      </c>
      <c r="O27" s="107">
        <f t="shared" si="12"/>
        <v>0</v>
      </c>
      <c r="P27" s="207"/>
      <c r="R27" s="73" t="s">
        <v>295</v>
      </c>
      <c r="S27" s="73"/>
      <c r="T27" s="331"/>
      <c r="V27" s="73" t="s">
        <v>295</v>
      </c>
      <c r="W27" s="107"/>
      <c r="X27" s="107"/>
    </row>
    <row r="28" spans="2:24" ht="18" customHeight="1" outlineLevel="2" x14ac:dyDescent="0.3">
      <c r="B28" s="73" t="s">
        <v>296</v>
      </c>
      <c r="C28" s="107">
        <f>SUM(Table_KeHoach_TuDong[[#This Row],[Tháng 1]:[Tháng 12]])</f>
        <v>0</v>
      </c>
      <c r="D28" s="107">
        <f>Table_KeHoach_ChiPhiKhac[[#Totals],[Tháng 1]]</f>
        <v>0</v>
      </c>
      <c r="E28" s="107">
        <f>Table_KeHoach_ChiPhiKhac[[#Totals],[Tháng 2]]</f>
        <v>0</v>
      </c>
      <c r="F28" s="107">
        <f>Table_KeHoach_ChiPhiKhac[[#Totals],[Tháng 3]]</f>
        <v>0</v>
      </c>
      <c r="G28" s="107">
        <f>Table_KeHoach_ChiPhiKhac[[#Totals],[Tháng 4]]</f>
        <v>0</v>
      </c>
      <c r="H28" s="107">
        <f>Table_KeHoach_ChiPhiKhac[[#Totals],[Tháng 5]]</f>
        <v>0</v>
      </c>
      <c r="I28" s="107">
        <f>Table_KeHoach_ChiPhiKhac[[#Totals],[Tháng 6]]</f>
        <v>0</v>
      </c>
      <c r="J28" s="107">
        <f>Table_KeHoach_ChiPhiKhac[[#Totals],[Tháng 7]]</f>
        <v>0</v>
      </c>
      <c r="K28" s="107">
        <f>Table_KeHoach_ChiPhiKhac[[#Totals],[Tháng 8]]</f>
        <v>0</v>
      </c>
      <c r="L28" s="107">
        <f>Table_KeHoach_ChiPhiKhac[[#Totals],[Tháng 9]]</f>
        <v>0</v>
      </c>
      <c r="M28" s="107">
        <f>Table_KeHoach_ChiPhiKhac[[#Totals],[Tháng 10]]</f>
        <v>0</v>
      </c>
      <c r="N28" s="107">
        <f>Table_KeHoach_ChiPhiKhac[[#Totals],[Tháng 11]]</f>
        <v>0</v>
      </c>
      <c r="O28" s="107">
        <f>Table_KeHoach_ChiPhiKhac[[#Totals],[Tháng 12]]</f>
        <v>0</v>
      </c>
      <c r="P28" s="208"/>
      <c r="R28" s="73" t="s">
        <v>296</v>
      </c>
      <c r="S28" s="73"/>
      <c r="T28" s="331"/>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31"/>
      <c r="V29" s="73" t="s">
        <v>297</v>
      </c>
      <c r="W29" s="107"/>
      <c r="X29" s="107"/>
    </row>
    <row r="30" spans="2:24" ht="18" customHeight="1" outlineLevel="2" x14ac:dyDescent="0.3">
      <c r="B30" s="73" t="s">
        <v>298</v>
      </c>
      <c r="C30" s="107">
        <f>SUM(Table_KeHoach_TuDong[[#This Row],[Tháng 1]:[Tháng 12]])</f>
        <v>0</v>
      </c>
      <c r="D30" s="107">
        <f>+D154</f>
        <v>0</v>
      </c>
      <c r="E30" s="107">
        <f t="shared" ref="E30:O30" si="14">+E154</f>
        <v>0</v>
      </c>
      <c r="F30" s="107">
        <f t="shared" si="14"/>
        <v>0</v>
      </c>
      <c r="G30" s="107">
        <f t="shared" si="14"/>
        <v>0</v>
      </c>
      <c r="H30" s="107">
        <f t="shared" si="14"/>
        <v>0</v>
      </c>
      <c r="I30" s="107">
        <f t="shared" si="14"/>
        <v>0</v>
      </c>
      <c r="J30" s="107">
        <f t="shared" si="14"/>
        <v>0</v>
      </c>
      <c r="K30" s="107">
        <f t="shared" si="14"/>
        <v>0</v>
      </c>
      <c r="L30" s="107">
        <f t="shared" si="14"/>
        <v>0</v>
      </c>
      <c r="M30" s="107">
        <f t="shared" si="14"/>
        <v>0</v>
      </c>
      <c r="N30" s="107">
        <f t="shared" si="14"/>
        <v>0</v>
      </c>
      <c r="O30" s="107">
        <f t="shared" si="14"/>
        <v>0</v>
      </c>
      <c r="P30" s="207"/>
      <c r="R30" s="73" t="s">
        <v>298</v>
      </c>
      <c r="S30" s="73"/>
      <c r="T30" s="331"/>
      <c r="V30" s="73" t="s">
        <v>298</v>
      </c>
      <c r="W30" s="107"/>
      <c r="X30" s="107"/>
    </row>
    <row r="31" spans="2:24" ht="18" customHeight="1" outlineLevel="2" x14ac:dyDescent="0.3">
      <c r="B31" s="73" t="s">
        <v>300</v>
      </c>
      <c r="C31" s="107" t="e">
        <f>SUM(Table_KeHoach_TuDong[[#This Row],[Tháng 1]:[Tháng 12]])</f>
        <v>#N/A</v>
      </c>
      <c r="D31" s="107" t="e">
        <f>+Table_KeHoach_ThuePhi[[#Totals],[Tháng 1]]</f>
        <v>#N/A</v>
      </c>
      <c r="E31" s="107" t="e">
        <f>+Table_KeHoach_ThuePhi[[#Totals],[Tháng 2]]</f>
        <v>#N/A</v>
      </c>
      <c r="F31" s="107" t="e">
        <f>+Table_KeHoach_ThuePhi[[#Totals],[Tháng 3]]</f>
        <v>#N/A</v>
      </c>
      <c r="G31" s="107" t="e">
        <f>+Table_KeHoach_ThuePhi[[#Totals],[Tháng 4]]</f>
        <v>#N/A</v>
      </c>
      <c r="H31" s="107" t="e">
        <f>+Table_KeHoach_ThuePhi[[#Totals],[Tháng 5]]</f>
        <v>#N/A</v>
      </c>
      <c r="I31" s="107" t="e">
        <f>+Table_KeHoach_ThuePhi[[#Totals],[Tháng 6]]</f>
        <v>#N/A</v>
      </c>
      <c r="J31" s="107" t="e">
        <f>+Table_KeHoach_ThuePhi[[#Totals],[Tháng 7]]</f>
        <v>#N/A</v>
      </c>
      <c r="K31" s="107" t="e">
        <f>+Table_KeHoach_ThuePhi[[#Totals],[Tháng 8]]</f>
        <v>#N/A</v>
      </c>
      <c r="L31" s="107" t="e">
        <f>+Table_KeHoach_ThuePhi[[#Totals],[Tháng 9]]</f>
        <v>#N/A</v>
      </c>
      <c r="M31" s="107" t="e">
        <f>+Table_KeHoach_ThuePhi[[#Totals],[Tháng 10]]</f>
        <v>#N/A</v>
      </c>
      <c r="N31" s="107" t="e">
        <f>+Table_KeHoach_ThuePhi[[#Totals],[Tháng 11]]</f>
        <v>#N/A</v>
      </c>
      <c r="O31" s="107" t="e">
        <f>+Table_KeHoach_ThuePhi[[#Totals],[Tháng 12]]</f>
        <v>#N/A</v>
      </c>
      <c r="P31" s="207"/>
      <c r="R31" s="73" t="s">
        <v>300</v>
      </c>
      <c r="S31" s="73"/>
      <c r="T31" s="331"/>
      <c r="V31" s="73" t="s">
        <v>300</v>
      </c>
      <c r="W31" s="107"/>
      <c r="X31" s="107"/>
    </row>
    <row r="32" spans="2:24" ht="18" customHeight="1" outlineLevel="2" x14ac:dyDescent="0.3">
      <c r="B32" s="73" t="s">
        <v>299</v>
      </c>
      <c r="C32" s="107">
        <f>SUM(Table_KeHoach_TuDong[[#This Row],[Tháng 1]:[Tháng 12]])</f>
        <v>0</v>
      </c>
      <c r="D32" s="107">
        <f>+Table_KeHoach_CPKhac[[#Totals],[Tháng 1]]</f>
        <v>0</v>
      </c>
      <c r="E32" s="107">
        <f>+Table_KeHoach_CPKhac[[#Totals],[Tháng 2]]</f>
        <v>0</v>
      </c>
      <c r="F32" s="107">
        <f>+Table_KeHoach_CPKhac[[#Totals],[Tháng 3]]</f>
        <v>0</v>
      </c>
      <c r="G32" s="107">
        <f>+Table_KeHoach_CPKhac[[#Totals],[Tháng 4]]</f>
        <v>0</v>
      </c>
      <c r="H32" s="107">
        <f>+Table_KeHoach_CPKhac[[#Totals],[Tháng 5]]</f>
        <v>0</v>
      </c>
      <c r="I32" s="107">
        <f>+Table_KeHoach_CPKhac[[#Totals],[Tháng 6]]</f>
        <v>0</v>
      </c>
      <c r="J32" s="107">
        <f>+Table_KeHoach_CPKhac[[#Totals],[Tháng 7]]</f>
        <v>0</v>
      </c>
      <c r="K32" s="107">
        <f>+Table_KeHoach_CPKhac[[#Totals],[Tháng 8]]</f>
        <v>0</v>
      </c>
      <c r="L32" s="107">
        <f>+Table_KeHoach_CPKhac[[#Totals],[Tháng 9]]</f>
        <v>0</v>
      </c>
      <c r="M32" s="107">
        <f>+Table_KeHoach_CPKhac[[#Totals],[Tháng 10]]</f>
        <v>0</v>
      </c>
      <c r="N32" s="107">
        <f>+Table_KeHoach_CPKhac[[#Totals],[Tháng 11]]</f>
        <v>0</v>
      </c>
      <c r="O32" s="107">
        <f>+Table_KeHoach_CPKhac[[#Totals],[Tháng 12]]</f>
        <v>0</v>
      </c>
      <c r="P32" s="207"/>
      <c r="R32" s="73" t="s">
        <v>299</v>
      </c>
      <c r="S32" s="73"/>
      <c r="T32" s="331"/>
      <c r="V32" s="73" t="s">
        <v>299</v>
      </c>
      <c r="W32" s="107"/>
      <c r="X32" s="107"/>
    </row>
    <row r="33" spans="2:24" ht="18" customHeight="1" outlineLevel="1" x14ac:dyDescent="0.3">
      <c r="B33" s="87" t="s">
        <v>301</v>
      </c>
      <c r="C33" s="104" t="e">
        <f t="shared" ref="C33:O33" si="15">+C21+C23</f>
        <v>#N/A</v>
      </c>
      <c r="D33" s="104" t="e">
        <f t="shared" si="15"/>
        <v>#N/A</v>
      </c>
      <c r="E33" s="104" t="e">
        <f t="shared" si="15"/>
        <v>#N/A</v>
      </c>
      <c r="F33" s="104" t="e">
        <f t="shared" si="15"/>
        <v>#N/A</v>
      </c>
      <c r="G33" s="104" t="e">
        <f t="shared" si="15"/>
        <v>#N/A</v>
      </c>
      <c r="H33" s="104" t="e">
        <f t="shared" si="15"/>
        <v>#N/A</v>
      </c>
      <c r="I33" s="104" t="e">
        <f t="shared" si="15"/>
        <v>#N/A</v>
      </c>
      <c r="J33" s="104" t="e">
        <f t="shared" si="15"/>
        <v>#N/A</v>
      </c>
      <c r="K33" s="104" t="e">
        <f t="shared" si="15"/>
        <v>#N/A</v>
      </c>
      <c r="L33" s="104" t="e">
        <f t="shared" si="15"/>
        <v>#N/A</v>
      </c>
      <c r="M33" s="104" t="e">
        <f t="shared" si="15"/>
        <v>#N/A</v>
      </c>
      <c r="N33" s="104" t="e">
        <f t="shared" si="15"/>
        <v>#N/A</v>
      </c>
      <c r="O33" s="104" t="e">
        <f t="shared" si="15"/>
        <v>#N/A</v>
      </c>
      <c r="P33" s="207"/>
      <c r="R33" s="87" t="s">
        <v>301</v>
      </c>
      <c r="S33" s="87"/>
      <c r="T33" s="334"/>
      <c r="V33" s="87" t="s">
        <v>301</v>
      </c>
      <c r="W33" s="104"/>
      <c r="X33" s="104"/>
    </row>
    <row r="34" spans="2:24" s="53" customFormat="1" ht="18" customHeight="1" outlineLevel="1" x14ac:dyDescent="0.3">
      <c r="B34" s="126" t="s">
        <v>99</v>
      </c>
      <c r="C34" s="127" t="e">
        <f>+C35+C37</f>
        <v>#N/A</v>
      </c>
      <c r="D34" s="127" t="e">
        <f t="shared" ref="D34:O34" si="16">+D35+D37</f>
        <v>#N/A</v>
      </c>
      <c r="E34" s="127" t="e">
        <f t="shared" si="16"/>
        <v>#N/A</v>
      </c>
      <c r="F34" s="127" t="e">
        <f t="shared" si="16"/>
        <v>#N/A</v>
      </c>
      <c r="G34" s="127" t="e">
        <f t="shared" si="16"/>
        <v>#N/A</v>
      </c>
      <c r="H34" s="127" t="e">
        <f t="shared" si="16"/>
        <v>#N/A</v>
      </c>
      <c r="I34" s="127" t="e">
        <f t="shared" si="16"/>
        <v>#N/A</v>
      </c>
      <c r="J34" s="127" t="e">
        <f t="shared" si="16"/>
        <v>#N/A</v>
      </c>
      <c r="K34" s="127" t="e">
        <f t="shared" si="16"/>
        <v>#N/A</v>
      </c>
      <c r="L34" s="127" t="e">
        <f t="shared" si="16"/>
        <v>#N/A</v>
      </c>
      <c r="M34" s="127" t="e">
        <f t="shared" si="16"/>
        <v>#N/A</v>
      </c>
      <c r="N34" s="127" t="e">
        <f t="shared" si="16"/>
        <v>#N/A</v>
      </c>
      <c r="O34" s="127" t="e">
        <f t="shared" si="16"/>
        <v>#N/A</v>
      </c>
      <c r="P34" s="207"/>
      <c r="R34" s="126" t="s">
        <v>99</v>
      </c>
      <c r="S34" s="126"/>
      <c r="T34" s="335"/>
      <c r="V34" s="126" t="s">
        <v>99</v>
      </c>
      <c r="W34" s="127"/>
      <c r="X34" s="127"/>
    </row>
    <row r="35" spans="2:24" s="53" customFormat="1" ht="18" customHeight="1" outlineLevel="2" x14ac:dyDescent="0.3">
      <c r="B35" s="54" t="s">
        <v>303</v>
      </c>
      <c r="C35" s="102" t="e">
        <f t="shared" ref="C35:O35" si="17">C11*(1-C36)</f>
        <v>#N/A</v>
      </c>
      <c r="D35" s="102" t="e">
        <f t="shared" si="17"/>
        <v>#N/A</v>
      </c>
      <c r="E35" s="102" t="e">
        <f t="shared" si="17"/>
        <v>#N/A</v>
      </c>
      <c r="F35" s="102" t="e">
        <f t="shared" si="17"/>
        <v>#N/A</v>
      </c>
      <c r="G35" s="102" t="e">
        <f t="shared" si="17"/>
        <v>#N/A</v>
      </c>
      <c r="H35" s="102" t="e">
        <f t="shared" si="17"/>
        <v>#N/A</v>
      </c>
      <c r="I35" s="102" t="e">
        <f t="shared" si="17"/>
        <v>#N/A</v>
      </c>
      <c r="J35" s="102" t="e">
        <f t="shared" si="17"/>
        <v>#N/A</v>
      </c>
      <c r="K35" s="102" t="e">
        <f t="shared" si="17"/>
        <v>#N/A</v>
      </c>
      <c r="L35" s="102" t="e">
        <f t="shared" si="17"/>
        <v>#N/A</v>
      </c>
      <c r="M35" s="102" t="e">
        <f t="shared" si="17"/>
        <v>#N/A</v>
      </c>
      <c r="N35" s="102" t="e">
        <f t="shared" si="17"/>
        <v>#N/A</v>
      </c>
      <c r="O35" s="102" t="e">
        <f t="shared" si="17"/>
        <v>#N/A</v>
      </c>
      <c r="P35" s="207"/>
      <c r="R35" s="54" t="s">
        <v>303</v>
      </c>
      <c r="S35" s="54"/>
      <c r="T35" s="331"/>
      <c r="V35" s="54" t="s">
        <v>303</v>
      </c>
      <c r="W35" s="102"/>
      <c r="X35" s="102"/>
    </row>
    <row r="36" spans="2:24" s="53" customFormat="1" ht="18" customHeight="1" outlineLevel="2" x14ac:dyDescent="0.3">
      <c r="B36" s="99" t="s">
        <v>102</v>
      </c>
      <c r="C36" s="123"/>
      <c r="D36" s="123" cm="1">
        <f t="array" ref="D36">Table_KeHoach_TyLeNo[Tháng 1]</f>
        <v>0</v>
      </c>
      <c r="E36" s="123" cm="1">
        <f t="array" ref="E36">Table_KeHoach_TyLeNo[Tháng 1]</f>
        <v>0</v>
      </c>
      <c r="F36" s="123" cm="1">
        <f t="array" ref="F36">Table_KeHoach_TyLeNo[Tháng 1]</f>
        <v>0</v>
      </c>
      <c r="G36" s="123" cm="1">
        <f t="array" ref="G36">Table_KeHoach_TyLeNo[Tháng 1]</f>
        <v>0</v>
      </c>
      <c r="H36" s="123" cm="1">
        <f t="array" ref="H36">Table_KeHoach_TyLeNo[Tháng 1]</f>
        <v>0</v>
      </c>
      <c r="I36" s="123" cm="1">
        <f t="array" ref="I36">Table_KeHoach_TyLeNo[Tháng 1]</f>
        <v>0</v>
      </c>
      <c r="J36" s="123" cm="1">
        <f t="array" ref="J36">Table_KeHoach_TyLeNo[Tháng 1]</f>
        <v>0</v>
      </c>
      <c r="K36" s="123" cm="1">
        <f t="array" ref="K36">Table_KeHoach_TyLeNo[Tháng 1]</f>
        <v>0</v>
      </c>
      <c r="L36" s="123" cm="1">
        <f t="array" ref="L36">Table_KeHoach_TyLeNo[Tháng 1]</f>
        <v>0</v>
      </c>
      <c r="M36" s="123" cm="1">
        <f t="array" ref="M36">Table_KeHoach_TyLeNo[Tháng 1]</f>
        <v>0</v>
      </c>
      <c r="N36" s="123" cm="1">
        <f t="array" ref="N36">Table_KeHoach_TyLeNo[Tháng 1]</f>
        <v>0</v>
      </c>
      <c r="O36" s="123" cm="1">
        <f t="array" ref="O36">Table_KeHoach_TyLeNo[Tháng 1]</f>
        <v>0</v>
      </c>
      <c r="P36" s="207"/>
      <c r="R36" s="99" t="s">
        <v>102</v>
      </c>
      <c r="S36" s="99"/>
      <c r="T36" s="123"/>
      <c r="V36" s="99" t="s">
        <v>102</v>
      </c>
      <c r="W36" s="123"/>
      <c r="X36" s="123"/>
    </row>
    <row r="37" spans="2:24" s="53" customFormat="1" ht="18" customHeight="1" outlineLevel="2" x14ac:dyDescent="0.3">
      <c r="B37" s="124" t="s">
        <v>305</v>
      </c>
      <c r="C37" s="102" t="e">
        <f t="shared" ref="C37:O37" si="18">+C13+C23-C29</f>
        <v>#N/A</v>
      </c>
      <c r="D37" s="102" t="e">
        <f t="shared" si="18"/>
        <v>#N/A</v>
      </c>
      <c r="E37" s="102" t="e">
        <f t="shared" si="18"/>
        <v>#N/A</v>
      </c>
      <c r="F37" s="102" t="e">
        <f t="shared" si="18"/>
        <v>#N/A</v>
      </c>
      <c r="G37" s="102" t="e">
        <f t="shared" si="18"/>
        <v>#N/A</v>
      </c>
      <c r="H37" s="102" t="e">
        <f t="shared" si="18"/>
        <v>#N/A</v>
      </c>
      <c r="I37" s="102" t="e">
        <f t="shared" si="18"/>
        <v>#N/A</v>
      </c>
      <c r="J37" s="102" t="e">
        <f t="shared" si="18"/>
        <v>#N/A</v>
      </c>
      <c r="K37" s="102" t="e">
        <f t="shared" si="18"/>
        <v>#N/A</v>
      </c>
      <c r="L37" s="102" t="e">
        <f t="shared" si="18"/>
        <v>#N/A</v>
      </c>
      <c r="M37" s="102" t="e">
        <f t="shared" si="18"/>
        <v>#N/A</v>
      </c>
      <c r="N37" s="102" t="e">
        <f t="shared" si="18"/>
        <v>#N/A</v>
      </c>
      <c r="O37" s="102" t="e">
        <f t="shared" si="18"/>
        <v>#N/A</v>
      </c>
      <c r="P37" s="435"/>
      <c r="R37" s="124" t="s">
        <v>305</v>
      </c>
      <c r="S37" s="124"/>
      <c r="T37" s="331"/>
      <c r="V37" s="124" t="s">
        <v>305</v>
      </c>
      <c r="W37" s="102"/>
      <c r="X37" s="102"/>
    </row>
    <row r="38" spans="2:24" s="53" customFormat="1" ht="18" customHeight="1" outlineLevel="1" x14ac:dyDescent="0.3">
      <c r="B38" s="74" t="s">
        <v>310</v>
      </c>
      <c r="C38" s="103">
        <f t="shared" ref="C38:O38" si="19">+SUM(C39:C41)</f>
        <v>0</v>
      </c>
      <c r="D38" s="103">
        <f t="shared" si="19"/>
        <v>0</v>
      </c>
      <c r="E38" s="103">
        <f t="shared" si="19"/>
        <v>0</v>
      </c>
      <c r="F38" s="103">
        <f t="shared" si="19"/>
        <v>0</v>
      </c>
      <c r="G38" s="103">
        <f t="shared" si="19"/>
        <v>0</v>
      </c>
      <c r="H38" s="103">
        <f t="shared" si="19"/>
        <v>0</v>
      </c>
      <c r="I38" s="103">
        <f t="shared" si="19"/>
        <v>0</v>
      </c>
      <c r="J38" s="103">
        <f t="shared" si="19"/>
        <v>0</v>
      </c>
      <c r="K38" s="103">
        <f t="shared" si="19"/>
        <v>0</v>
      </c>
      <c r="L38" s="103">
        <f t="shared" si="19"/>
        <v>0</v>
      </c>
      <c r="M38" s="103">
        <f t="shared" si="19"/>
        <v>0</v>
      </c>
      <c r="N38" s="103">
        <f t="shared" si="19"/>
        <v>0</v>
      </c>
      <c r="O38" s="103">
        <f t="shared" si="19"/>
        <v>0</v>
      </c>
      <c r="P38" s="435"/>
      <c r="R38" s="74" t="s">
        <v>310</v>
      </c>
      <c r="S38" s="74"/>
      <c r="T38" s="328"/>
      <c r="V38" s="74" t="s">
        <v>310</v>
      </c>
      <c r="W38" s="103"/>
      <c r="X38" s="103"/>
    </row>
    <row r="39" spans="2:24" s="53" customFormat="1" ht="18" customHeight="1" outlineLevel="2" x14ac:dyDescent="0.3">
      <c r="B39" s="73" t="s">
        <v>311</v>
      </c>
      <c r="C39" s="107">
        <f>SUM(Table_KeHoach_TuDong[[#This Row],[Tháng 1]:[Tháng 12]])</f>
        <v>0</v>
      </c>
      <c r="D39" s="107">
        <f>+D154+D155</f>
        <v>0</v>
      </c>
      <c r="E39" s="107">
        <f t="shared" ref="E39:O39" si="20">+E154+E155</f>
        <v>0</v>
      </c>
      <c r="F39" s="107">
        <f t="shared" si="20"/>
        <v>0</v>
      </c>
      <c r="G39" s="107">
        <f t="shared" si="20"/>
        <v>0</v>
      </c>
      <c r="H39" s="107">
        <f t="shared" si="20"/>
        <v>0</v>
      </c>
      <c r="I39" s="107">
        <f t="shared" si="20"/>
        <v>0</v>
      </c>
      <c r="J39" s="107">
        <f t="shared" si="20"/>
        <v>0</v>
      </c>
      <c r="K39" s="107">
        <f t="shared" si="20"/>
        <v>0</v>
      </c>
      <c r="L39" s="107">
        <f t="shared" si="20"/>
        <v>0</v>
      </c>
      <c r="M39" s="107">
        <f t="shared" si="20"/>
        <v>0</v>
      </c>
      <c r="N39" s="107">
        <f t="shared" si="20"/>
        <v>0</v>
      </c>
      <c r="O39" s="107">
        <f t="shared" si="20"/>
        <v>0</v>
      </c>
      <c r="P39" s="435"/>
      <c r="R39" s="73" t="s">
        <v>311</v>
      </c>
      <c r="S39" s="73"/>
      <c r="T39" s="331"/>
      <c r="V39" s="73" t="s">
        <v>311</v>
      </c>
      <c r="W39" s="107"/>
      <c r="X39" s="107"/>
    </row>
    <row r="40" spans="2:24" s="53" customFormat="1" ht="18" customHeight="1" outlineLevel="2" x14ac:dyDescent="0.3">
      <c r="B40" s="73" t="s">
        <v>312</v>
      </c>
      <c r="C40" s="107">
        <f>SUM(Table_KeHoach_TuDong[[#This Row],[Tháng 1]:[Tháng 12]])</f>
        <v>0</v>
      </c>
      <c r="D40" s="107">
        <f>+Table_KeHoach_TSCD[[#Totals],[Tháng 1]]</f>
        <v>0</v>
      </c>
      <c r="E40" s="107">
        <f>+Table_KeHoach_TSCD[[#Totals],[Tháng 2]]</f>
        <v>0</v>
      </c>
      <c r="F40" s="107">
        <f>+Table_KeHoach_TSCD[[#Totals],[Tháng 3]]</f>
        <v>0</v>
      </c>
      <c r="G40" s="107">
        <f>+Table_KeHoach_TSCD[[#Totals],[Tháng 4]]</f>
        <v>0</v>
      </c>
      <c r="H40" s="107">
        <f>+Table_KeHoach_TSCD[[#Totals],[Tháng 5]]</f>
        <v>0</v>
      </c>
      <c r="I40" s="107">
        <f>+Table_KeHoach_TSCD[[#Totals],[Tháng 6]]</f>
        <v>0</v>
      </c>
      <c r="J40" s="107">
        <f>+Table_KeHoach_TSCD[[#Totals],[Tháng 7]]</f>
        <v>0</v>
      </c>
      <c r="K40" s="107">
        <f>+Table_KeHoach_TSCD[[#Totals],[Tháng 8]]</f>
        <v>0</v>
      </c>
      <c r="L40" s="107">
        <f>+Table_KeHoach_TSCD[[#Totals],[Tháng 9]]</f>
        <v>0</v>
      </c>
      <c r="M40" s="107">
        <f>+Table_KeHoach_TSCD[[#Totals],[Tháng 10]]</f>
        <v>0</v>
      </c>
      <c r="N40" s="107">
        <f>+Table_KeHoach_TSCD[[#Totals],[Tháng 11]]</f>
        <v>0</v>
      </c>
      <c r="O40" s="107">
        <f>+Table_KeHoach_TSCD[[#Totals],[Tháng 12]]</f>
        <v>0</v>
      </c>
      <c r="P40" s="435"/>
      <c r="R40" s="73" t="s">
        <v>312</v>
      </c>
      <c r="S40" s="73"/>
      <c r="T40" s="331"/>
      <c r="V40" s="73" t="s">
        <v>312</v>
      </c>
      <c r="W40" s="107"/>
      <c r="X40" s="107"/>
    </row>
    <row r="41" spans="2:24" s="53" customFormat="1" ht="18" customHeight="1" outlineLevel="2" x14ac:dyDescent="0.3">
      <c r="B41" s="73" t="s">
        <v>313</v>
      </c>
      <c r="C41" s="107">
        <f>SUM(Table_KeHoach_TuDong[[#This Row],[Tháng 1]:[Tháng 12]])</f>
        <v>0</v>
      </c>
      <c r="D41" s="107">
        <f>+Table_KeHoach_DTTC[[#Totals],[Column1]]</f>
        <v>0</v>
      </c>
      <c r="E41" s="107">
        <f>+Table_KeHoach_DTTC[[#Totals],[Tháng 1]]</f>
        <v>0</v>
      </c>
      <c r="F41" s="107">
        <f>+Table_KeHoach_DTTC[[#Totals],[Tháng 2]]</f>
        <v>0</v>
      </c>
      <c r="G41" s="107">
        <f>+Table_KeHoach_DTTC[[#Totals],[Tháng 3]]</f>
        <v>0</v>
      </c>
      <c r="H41" s="107">
        <f>+Table_KeHoach_DTTC[[#Totals],[Tháng 4]]</f>
        <v>0</v>
      </c>
      <c r="I41" s="107">
        <f>+Table_KeHoach_DTTC[[#Totals],[Tháng 5]]</f>
        <v>0</v>
      </c>
      <c r="J41" s="107">
        <f>+Table_KeHoach_DTTC[[#Totals],[Tháng 6]]</f>
        <v>0</v>
      </c>
      <c r="K41" s="107">
        <f>+Table_KeHoach_DTTC[[#Totals],[Tháng 7]]</f>
        <v>0</v>
      </c>
      <c r="L41" s="107">
        <f>+Table_KeHoach_DTTC[[#Totals],[Tháng 8]]</f>
        <v>0</v>
      </c>
      <c r="M41" s="107">
        <f>+Table_KeHoach_DTTC[[#Totals],[Tháng 9]]</f>
        <v>0</v>
      </c>
      <c r="N41" s="107">
        <f>+Table_KeHoach_DTTC[[#Totals],[Tháng 10]]</f>
        <v>0</v>
      </c>
      <c r="O41" s="107">
        <f>+Table_KeHoach_DTTC[[#Totals],[Tháng 11]]</f>
        <v>0</v>
      </c>
      <c r="P41" s="435"/>
      <c r="R41" s="73" t="s">
        <v>313</v>
      </c>
      <c r="S41" s="73"/>
      <c r="T41" s="331"/>
      <c r="V41" s="73" t="s">
        <v>313</v>
      </c>
      <c r="W41" s="107"/>
      <c r="X41" s="107"/>
    </row>
    <row r="42" spans="2:24" s="53" customFormat="1" ht="18" customHeight="1" outlineLevel="1" x14ac:dyDescent="0.3">
      <c r="B42" s="87" t="s">
        <v>314</v>
      </c>
      <c r="C42" s="104" t="e">
        <f t="shared" ref="C42:O42" si="21">+C34+C39</f>
        <v>#N/A</v>
      </c>
      <c r="D42" s="104" t="e">
        <f t="shared" si="21"/>
        <v>#N/A</v>
      </c>
      <c r="E42" s="104" t="e">
        <f t="shared" si="21"/>
        <v>#N/A</v>
      </c>
      <c r="F42" s="104" t="e">
        <f t="shared" si="21"/>
        <v>#N/A</v>
      </c>
      <c r="G42" s="104" t="e">
        <f t="shared" si="21"/>
        <v>#N/A</v>
      </c>
      <c r="H42" s="104" t="e">
        <f t="shared" si="21"/>
        <v>#N/A</v>
      </c>
      <c r="I42" s="104" t="e">
        <f t="shared" si="21"/>
        <v>#N/A</v>
      </c>
      <c r="J42" s="104" t="e">
        <f t="shared" si="21"/>
        <v>#N/A</v>
      </c>
      <c r="K42" s="104" t="e">
        <f t="shared" si="21"/>
        <v>#N/A</v>
      </c>
      <c r="L42" s="104" t="e">
        <f t="shared" si="21"/>
        <v>#N/A</v>
      </c>
      <c r="M42" s="104" t="e">
        <f t="shared" si="21"/>
        <v>#N/A</v>
      </c>
      <c r="N42" s="104" t="e">
        <f t="shared" si="21"/>
        <v>#N/A</v>
      </c>
      <c r="O42" s="104" t="e">
        <f t="shared" si="21"/>
        <v>#N/A</v>
      </c>
      <c r="P42" s="435"/>
      <c r="R42" s="87" t="s">
        <v>314</v>
      </c>
      <c r="S42" s="87"/>
      <c r="T42" s="334"/>
      <c r="V42" s="87" t="s">
        <v>314</v>
      </c>
      <c r="W42" s="104"/>
      <c r="X42" s="104"/>
    </row>
    <row r="43" spans="2:24" s="53" customFormat="1" ht="18" customHeight="1" outlineLevel="2" x14ac:dyDescent="0.3">
      <c r="B43" s="73" t="s">
        <v>316</v>
      </c>
      <c r="C43" s="102">
        <f>SUM(Table_KeHoach_TuDong[[#This Row],[Tháng 1]:[Tháng 12]])</f>
        <v>0</v>
      </c>
      <c r="D43" s="107">
        <f>+Table_KeHoach_LaiDTTC[[#Totals],[Tháng 1]]</f>
        <v>0</v>
      </c>
      <c r="E43" s="107">
        <f>+Table_KeHoach_LaiDTTC[[#Totals],[Tháng 2]]</f>
        <v>0</v>
      </c>
      <c r="F43" s="107">
        <f>+Table_KeHoach_LaiDTTC[[#Totals],[Tháng 3]]</f>
        <v>0</v>
      </c>
      <c r="G43" s="107">
        <f>+Table_KeHoach_LaiDTTC[[#Totals],[Tháng 4]]</f>
        <v>0</v>
      </c>
      <c r="H43" s="107">
        <f>+Table_KeHoach_LaiDTTC[[#Totals],[Tháng 5]]</f>
        <v>0</v>
      </c>
      <c r="I43" s="107">
        <f>+Table_KeHoach_LaiDTTC[[#Totals],[Tháng 6]]</f>
        <v>0</v>
      </c>
      <c r="J43" s="107">
        <f>+Table_KeHoach_LaiDTTC[[#Totals],[Tháng 7]]</f>
        <v>0</v>
      </c>
      <c r="K43" s="107">
        <f>+Table_KeHoach_LaiDTTC[[#Totals],[Tháng 8]]</f>
        <v>0</v>
      </c>
      <c r="L43" s="107">
        <f>+Table_KeHoach_LaiDTTC[[#Totals],[Tháng 9]]</f>
        <v>0</v>
      </c>
      <c r="M43" s="107">
        <f>+Table_KeHoach_LaiDTTC[[#Totals],[Tháng 10]]</f>
        <v>0</v>
      </c>
      <c r="N43" s="107">
        <f>+Table_KeHoach_LaiDTTC[[#Totals],[Tháng 11]]</f>
        <v>0</v>
      </c>
      <c r="O43" s="107">
        <f>+Table_KeHoach_LaiDTTC[[#Totals],[Tháng 12]]</f>
        <v>0</v>
      </c>
      <c r="P43" s="435"/>
      <c r="R43" s="73" t="s">
        <v>316</v>
      </c>
      <c r="S43" s="73"/>
      <c r="T43" s="331"/>
      <c r="V43" s="73" t="s">
        <v>316</v>
      </c>
      <c r="W43" s="107"/>
      <c r="X43" s="107"/>
    </row>
    <row r="44" spans="2:24" s="53" customFormat="1" ht="18" customHeight="1" outlineLevel="2" x14ac:dyDescent="0.3">
      <c r="B44" s="73" t="s">
        <v>117</v>
      </c>
      <c r="C44" s="102">
        <f>SUM(Table_KeHoach_TuDong[[#This Row],[Tháng 1]:[Tháng 12]])</f>
        <v>0</v>
      </c>
      <c r="D44" s="107">
        <f>+Table_KeHoach_VonVay[[#Totals],[Tháng 1]]</f>
        <v>0</v>
      </c>
      <c r="E44" s="107">
        <f>+Table_KeHoach_VonVay[[#Totals],[Tháng 2]]</f>
        <v>0</v>
      </c>
      <c r="F44" s="107">
        <f>+Table_KeHoach_VonVay[[#Totals],[Tháng 3]]</f>
        <v>0</v>
      </c>
      <c r="G44" s="107">
        <f>+Table_KeHoach_VonVay[[#Totals],[Tháng 4]]</f>
        <v>0</v>
      </c>
      <c r="H44" s="107">
        <f>+Table_KeHoach_VonVay[[#Totals],[Tháng 5]]</f>
        <v>0</v>
      </c>
      <c r="I44" s="107">
        <f>+Table_KeHoach_VonVay[[#Totals],[Tháng 6]]</f>
        <v>0</v>
      </c>
      <c r="J44" s="107">
        <f>+Table_KeHoach_VonVay[[#Totals],[Tháng 7]]</f>
        <v>0</v>
      </c>
      <c r="K44" s="107">
        <f>+Table_KeHoach_VonVay[[#Totals],[Tháng 8]]</f>
        <v>0</v>
      </c>
      <c r="L44" s="107">
        <f>+Table_KeHoach_VonVay[[#Totals],[Tháng 9]]</f>
        <v>0</v>
      </c>
      <c r="M44" s="107">
        <f>+Table_KeHoach_VonVay[[#Totals],[Tháng 10]]</f>
        <v>0</v>
      </c>
      <c r="N44" s="107">
        <f>+Table_KeHoach_VonVay[[#Totals],[Tháng 11]]</f>
        <v>0</v>
      </c>
      <c r="O44" s="107">
        <f>+Table_KeHoach_VonVay[[#Totals],[Tháng 12]]</f>
        <v>0</v>
      </c>
      <c r="P44" s="435"/>
      <c r="R44" s="73" t="s">
        <v>117</v>
      </c>
      <c r="S44" s="73"/>
      <c r="T44" s="331"/>
      <c r="V44" s="73" t="s">
        <v>117</v>
      </c>
      <c r="W44" s="107"/>
      <c r="X44" s="107"/>
    </row>
    <row r="45" spans="2:24" s="53" customFormat="1" ht="18" customHeight="1" outlineLevel="2" x14ac:dyDescent="0.3">
      <c r="B45" s="73" t="s">
        <v>317</v>
      </c>
      <c r="C45" s="102">
        <f>SUM(Table_KeHoach_TuDong[[#This Row],[Tháng 1]:[Tháng 12]])</f>
        <v>0</v>
      </c>
      <c r="D45" s="107">
        <f>+Table_KeHoach_VonGop[[#Totals],[Tháng 1]]</f>
        <v>0</v>
      </c>
      <c r="E45" s="107">
        <f>+Table_KeHoach_VonGop[[#Totals],[Tháng 2]]</f>
        <v>0</v>
      </c>
      <c r="F45" s="107">
        <f>+Table_KeHoach_VonGop[[#Totals],[Tháng 3]]</f>
        <v>0</v>
      </c>
      <c r="G45" s="107">
        <f>+Table_KeHoach_VonGop[[#Totals],[Tháng 4]]</f>
        <v>0</v>
      </c>
      <c r="H45" s="107">
        <f>+Table_KeHoach_VonGop[[#Totals],[Tháng 5]]</f>
        <v>0</v>
      </c>
      <c r="I45" s="107">
        <f>+Table_KeHoach_VonGop[[#Totals],[Tháng 6]]</f>
        <v>0</v>
      </c>
      <c r="J45" s="107">
        <f>+Table_KeHoach_VonGop[[#Totals],[Tháng 7]]</f>
        <v>0</v>
      </c>
      <c r="K45" s="107">
        <f>+Table_KeHoach_VonGop[[#Totals],[Tháng 8]]</f>
        <v>0</v>
      </c>
      <c r="L45" s="107">
        <f>+Table_KeHoach_VonGop[[#Totals],[Tháng 9]]</f>
        <v>0</v>
      </c>
      <c r="M45" s="107">
        <f>+Table_KeHoach_VonGop[[#Totals],[Tháng 10]]</f>
        <v>0</v>
      </c>
      <c r="N45" s="107">
        <f>+Table_KeHoach_VonGop[[#Totals],[Tháng 11]]</f>
        <v>0</v>
      </c>
      <c r="O45" s="107">
        <f>+Table_KeHoach_VonGop[[#Totals],[Tháng 12]]</f>
        <v>0</v>
      </c>
      <c r="P45" s="435"/>
      <c r="R45" s="73" t="s">
        <v>317</v>
      </c>
      <c r="S45" s="73"/>
      <c r="T45" s="331"/>
      <c r="V45" s="73" t="s">
        <v>317</v>
      </c>
      <c r="W45" s="107"/>
      <c r="X45" s="107"/>
    </row>
    <row r="46" spans="2:24" ht="18" customHeight="1" outlineLevel="2" x14ac:dyDescent="0.3">
      <c r="B46" s="73" t="s">
        <v>121</v>
      </c>
      <c r="C46" s="107">
        <f>SUM(Table_KeHoach_TuDong[[#This Row],[Tháng 1]:[Tháng 12]])</f>
        <v>0</v>
      </c>
      <c r="D46" s="107"/>
      <c r="E46" s="107"/>
      <c r="F46" s="107"/>
      <c r="G46" s="107"/>
      <c r="H46" s="107"/>
      <c r="I46" s="107"/>
      <c r="J46" s="107"/>
      <c r="K46" s="107"/>
      <c r="L46" s="107"/>
      <c r="M46" s="107"/>
      <c r="N46" s="107"/>
      <c r="O46" s="107"/>
      <c r="P46" s="435"/>
      <c r="R46" s="73" t="s">
        <v>121</v>
      </c>
      <c r="S46" s="73"/>
      <c r="T46" s="331"/>
      <c r="V46" s="73" t="s">
        <v>121</v>
      </c>
      <c r="W46" s="105"/>
      <c r="X46" s="105"/>
    </row>
    <row r="47" spans="2:24" s="53" customFormat="1" ht="18" customHeight="1" outlineLevel="1" x14ac:dyDescent="0.3">
      <c r="B47" s="87" t="s">
        <v>320</v>
      </c>
      <c r="C47" s="104" t="e" cm="1">
        <f t="array" ref="C47">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+C42+SUM(C43:C45)+SUM(C40:C41)+C46</f>
        <v>#N/A</v>
      </c>
      <c r="D47" s="104" t="e" cm="1">
        <f t="array" ref="D47" xml:space="preserve">
Sheet_BaoCaoTaiChinh!$D$78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+SUM($D$42:D42)+SUM($D$43:D45)+SUM($D$40:D41)+SUM($D$46:D46)</f>
        <v>#N/A</v>
      </c>
      <c r="E47" s="104" t="e" cm="1">
        <f t="array" ref="E47" xml:space="preserve">
Sheet_BaoCaoTaiChinh!$D$78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+SUM($D$42:E42)+SUM($D$43:E45)+SUM($D$40:E41)+SUM($D$46:E46)</f>
        <v>#N/A</v>
      </c>
      <c r="F47" s="104" t="e" cm="1">
        <f t="array" ref="F47" xml:space="preserve">
Sheet_BaoCaoTaiChinh!$D$78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+SUM($D$42:F42)+SUM($D$43:F45)+SUM($D$40:F41)+SUM($D$46:F46)</f>
        <v>#N/A</v>
      </c>
      <c r="G47" s="104" t="e" cm="1">
        <f t="array" ref="G47" xml:space="preserve">
Sheet_BaoCaoTaiChinh!$D$78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+SUM($D$42:G42)+SUM($D$43:G45)+SUM($D$40:G41)+SUM($D$46:G46)</f>
        <v>#N/A</v>
      </c>
      <c r="H47" s="104" t="e" cm="1">
        <f t="array" ref="H47" xml:space="preserve">
Sheet_BaoCaoTaiChinh!$D$78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+SUM($D$42:H42)+SUM($D$43:H45)+SUM($D$40:H41)+SUM($D$46:H46)</f>
        <v>#N/A</v>
      </c>
      <c r="I47" s="104" t="e" cm="1">
        <f t="array" ref="I47" xml:space="preserve">
Sheet_BaoCaoTaiChinh!$D$78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+SUM($D$42:I42)+SUM($D$43:I45)+SUM($D$40:I41)+SUM($D$46:I46)</f>
        <v>#N/A</v>
      </c>
      <c r="J47" s="104" t="e" cm="1">
        <f t="array" ref="J47" xml:space="preserve">
Sheet_BaoCaoTaiChinh!$D$78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+SUM($D$42:J42)+SUM($D$43:J45)+SUM($D$40:J41)+SUM($D$46:J46)</f>
        <v>#N/A</v>
      </c>
      <c r="K47" s="104" t="e" cm="1">
        <f t="array" ref="K47" xml:space="preserve">
Sheet_BaoCaoTaiChinh!$D$78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+SUM($D$42:K42)+SUM($D$43:K45)+SUM($D$40:K41)+SUM($D$46:K46)</f>
        <v>#N/A</v>
      </c>
      <c r="L47" s="104" t="e" cm="1">
        <f t="array" ref="L47" xml:space="preserve">
Sheet_BaoCaoTaiChinh!$D$78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+SUM($D$42:L42)+SUM($D$43:L45)+SUM($D$40:L41)+SUM($D$46:L46)</f>
        <v>#N/A</v>
      </c>
      <c r="M47" s="104" t="e" cm="1">
        <f t="array" ref="M47" xml:space="preserve">
Sheet_BaoCaoTaiChinh!$D$78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+SUM($D$42:M42)+SUM($D$43:M45)+SUM($D$40:M41)+SUM($D$46:M46)</f>
        <v>#N/A</v>
      </c>
      <c r="N47" s="104" t="e" cm="1">
        <f t="array" ref="N47" xml:space="preserve">
Sheet_BaoCaoTaiChinh!$D$78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+SUM($D$42:N42)+SUM($D$43:N45)+SUM($D$40:N41)+SUM($D$46:N46)</f>
        <v>#N/A</v>
      </c>
      <c r="O47" s="104" t="e" cm="1">
        <f t="array" ref="O47" xml:space="preserve">
Sheet_BaoCaoTaiChinh!$D$78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+SUM($D$42:O42)+SUM($D$43:O45)+SUM($D$40:O41)+SUM($D$46:O46)</f>
        <v>#N/A</v>
      </c>
      <c r="P47" s="435"/>
      <c r="R47" s="87" t="s">
        <v>1042</v>
      </c>
      <c r="S47" s="475"/>
      <c r="T47" s="334" t="e" cm="1">
        <f t="array" ref="T47">INDEX(Table_KeHoach_Nam[#All],42,
COUNTA(Table_KeHoach_Nam[#Headers])-1)/S3</f>
        <v>#DIV/0!</v>
      </c>
      <c r="V47" s="87" t="s">
        <v>320</v>
      </c>
      <c r="W47" s="104"/>
      <c r="X47" s="104"/>
    </row>
    <row r="48" spans="2:24" s="53" customFormat="1" ht="18" customHeight="1" x14ac:dyDescent="0.3">
      <c r="B48" s="87"/>
      <c r="C48" s="104"/>
      <c r="D48" s="104"/>
      <c r="E48" s="104"/>
      <c r="F48" s="104"/>
      <c r="G48" s="104"/>
      <c r="H48" s="104"/>
      <c r="I48" s="104"/>
      <c r="J48" s="104"/>
      <c r="K48" s="104"/>
      <c r="L48" s="104"/>
      <c r="M48" s="104"/>
      <c r="N48" s="104"/>
      <c r="O48" s="104"/>
      <c r="P48" s="207"/>
      <c r="R48" s="87"/>
      <c r="S48" s="475"/>
      <c r="T48" s="334"/>
      <c r="V48" s="87"/>
      <c r="W48" s="87"/>
      <c r="X48" s="334"/>
    </row>
    <row r="49" spans="2:25" s="53" customFormat="1" ht="18" customHeight="1" x14ac:dyDescent="0.3">
      <c r="B49" s="54" t="s">
        <v>1047</v>
      </c>
      <c r="C49" s="477"/>
      <c r="D49" s="478"/>
      <c r="E49" s="478"/>
      <c r="F49" s="478"/>
      <c r="G49" s="478"/>
      <c r="H49" s="478"/>
      <c r="I49" s="478"/>
      <c r="J49" s="478"/>
      <c r="K49" s="478"/>
      <c r="L49" s="478"/>
      <c r="M49" s="478"/>
      <c r="N49" s="478"/>
      <c r="O49" s="478"/>
      <c r="P49" s="478"/>
      <c r="T49" s="7"/>
      <c r="X49" s="7"/>
    </row>
    <row r="50" spans="2:25" s="53" customFormat="1" ht="18" customHeight="1" x14ac:dyDescent="0.3">
      <c r="B50" s="12" t="s">
        <v>321</v>
      </c>
      <c r="C50" s="482" t="s">
        <v>323</v>
      </c>
      <c r="D50" s="482" t="s">
        <v>269</v>
      </c>
      <c r="E50" s="482" t="s">
        <v>270</v>
      </c>
      <c r="F50" s="482" t="s">
        <v>271</v>
      </c>
      <c r="G50" s="482" t="s">
        <v>272</v>
      </c>
      <c r="H50" s="482" t="s">
        <v>273</v>
      </c>
      <c r="I50" s="482" t="s">
        <v>274</v>
      </c>
      <c r="J50" s="482" t="s">
        <v>275</v>
      </c>
      <c r="K50" s="482" t="s">
        <v>276</v>
      </c>
      <c r="L50" s="482" t="s">
        <v>277</v>
      </c>
      <c r="M50" s="482" t="s">
        <v>278</v>
      </c>
      <c r="N50" s="482" t="s">
        <v>279</v>
      </c>
      <c r="O50" s="482" t="s">
        <v>280</v>
      </c>
      <c r="P50" s="483" t="s">
        <v>883</v>
      </c>
    </row>
    <row r="51" spans="2:25" s="53" customFormat="1" ht="18" customHeight="1" x14ac:dyDescent="0.3">
      <c r="B51" s="7"/>
      <c r="C51" s="71" t="e" cm="1">
        <f t="array" ref="C5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f>
        <v>#DIV/0!</v>
      </c>
      <c r="D51" s="71" t="e" cm="1">
        <f t="array" ref="D5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E51" s="71" t="e" cm="1">
        <f t="array" ref="E5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F51" s="71" t="e" cm="1">
        <f t="array" ref="F5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G51" s="71" t="e" cm="1">
        <f t="array" ref="G5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H51" s="71" t="e" cm="1">
        <f t="array" ref="H5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I51" s="71" t="e" cm="1">
        <f t="array" ref="I5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J51" s="71" t="e" cm="1">
        <f t="array" ref="J5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K51" s="71" t="e" cm="1">
        <f t="array" ref="K5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L51" s="71" t="e" cm="1">
        <f t="array" ref="L5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M51" s="71" t="e" cm="1">
        <f t="array" ref="M5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N51" s="71" t="e" cm="1">
        <f t="array" ref="N5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O51" s="71" t="e" cm="1">
        <f t="array" ref="O5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P51" s="71"/>
      <c r="R51" s="12"/>
      <c r="S51" s="12"/>
      <c r="T51" s="12"/>
      <c r="V51" s="12"/>
      <c r="W51" s="12"/>
      <c r="X51" s="12"/>
    </row>
    <row r="52" spans="2:25" s="53" customFormat="1" ht="18" customHeight="1" x14ac:dyDescent="0.3">
      <c r="B52" s="7"/>
      <c r="C52" s="27"/>
      <c r="D52" s="7"/>
      <c r="E52" s="7"/>
      <c r="F52" s="7"/>
      <c r="G52" s="7"/>
      <c r="H52" s="7"/>
      <c r="I52" s="7"/>
      <c r="J52" s="7"/>
      <c r="K52" s="7"/>
      <c r="L52" s="7"/>
      <c r="M52" s="7"/>
      <c r="N52" s="7"/>
      <c r="O52" s="7"/>
      <c r="P52" s="7"/>
      <c r="R52" s="12"/>
      <c r="S52" s="12"/>
      <c r="T52" s="12"/>
      <c r="V52" s="12"/>
      <c r="W52" s="12"/>
      <c r="X52" s="12"/>
    </row>
    <row r="53" spans="2:25" s="53" customFormat="1" ht="18" customHeight="1" x14ac:dyDescent="0.3">
      <c r="B53" s="54" t="s">
        <v>1048</v>
      </c>
      <c r="C53" s="27"/>
      <c r="D53" s="7"/>
      <c r="E53" s="7"/>
      <c r="F53" s="7"/>
      <c r="G53" s="7"/>
      <c r="H53" s="7"/>
      <c r="I53" s="7"/>
      <c r="J53" s="7"/>
      <c r="K53" s="7"/>
      <c r="L53" s="7"/>
      <c r="M53" s="7"/>
      <c r="N53" s="7"/>
      <c r="O53" s="7"/>
      <c r="P53" s="7"/>
      <c r="Q53" s="7"/>
      <c r="R53" s="7"/>
      <c r="S53" s="7"/>
      <c r="T53" s="12"/>
      <c r="U53" s="7"/>
      <c r="V53" s="7"/>
      <c r="X53" s="12"/>
    </row>
    <row r="54" spans="2:25" ht="18" customHeight="1" x14ac:dyDescent="0.3">
      <c r="B54" s="12" t="s">
        <v>324</v>
      </c>
      <c r="C54" s="484" t="s">
        <v>268</v>
      </c>
      <c r="D54" s="484" t="s">
        <v>269</v>
      </c>
      <c r="E54" s="484" t="s">
        <v>270</v>
      </c>
      <c r="F54" s="484" t="s">
        <v>271</v>
      </c>
      <c r="G54" s="484" t="s">
        <v>272</v>
      </c>
      <c r="H54" s="484" t="s">
        <v>273</v>
      </c>
      <c r="I54" s="484" t="s">
        <v>274</v>
      </c>
      <c r="J54" s="484" t="s">
        <v>275</v>
      </c>
      <c r="K54" s="484" t="s">
        <v>276</v>
      </c>
      <c r="L54" s="484" t="s">
        <v>277</v>
      </c>
      <c r="M54" s="484" t="s">
        <v>278</v>
      </c>
      <c r="N54" s="484" t="s">
        <v>279</v>
      </c>
      <c r="O54" s="484" t="s">
        <v>280</v>
      </c>
      <c r="P54" s="485" t="s">
        <v>883</v>
      </c>
      <c r="R54" s="12"/>
      <c r="S54" s="12"/>
      <c r="T54" s="12"/>
      <c r="V54" s="12"/>
      <c r="W54" s="12"/>
      <c r="X54" s="12"/>
    </row>
    <row r="55" spans="2:25" s="53" customFormat="1" ht="18" customHeight="1" x14ac:dyDescent="0.3">
      <c r="B55" s="7"/>
      <c r="C55" s="15" t="e" cm="1">
        <f t="array" ref="C55"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f>
        <v>#DIV/0!</v>
      </c>
      <c r="D55" s="15"/>
      <c r="E55" s="15"/>
      <c r="F55" s="15"/>
      <c r="G55" s="15"/>
      <c r="H55" s="15"/>
      <c r="I55" s="15"/>
      <c r="J55" s="15"/>
      <c r="K55" s="15"/>
      <c r="L55" s="15"/>
      <c r="M55" s="15"/>
      <c r="N55" s="15"/>
      <c r="O55" s="15"/>
      <c r="P55" s="15"/>
      <c r="R55" s="7"/>
      <c r="S55" s="7"/>
      <c r="T55" s="7"/>
      <c r="V55" s="7"/>
      <c r="W55" s="7"/>
      <c r="X55" s="7"/>
    </row>
    <row r="56" spans="2:25" s="53" customFormat="1" ht="18" customHeight="1" x14ac:dyDescent="0.3">
      <c r="B56" s="28" t="s">
        <v>69</v>
      </c>
      <c r="C56" s="18" t="e">
        <f>SUM(Table_KeHoach_SanLuong[Tham chiếu])</f>
        <v>#DIV/0!</v>
      </c>
      <c r="D56" s="18">
        <f>SUM(Table_KeHoach_SanLuong[Tháng 1])</f>
        <v>0</v>
      </c>
      <c r="E56" s="18">
        <f>SUM(Table_KeHoach_SanLuong[Tháng 2])</f>
        <v>0</v>
      </c>
      <c r="F56" s="18">
        <f>SUM(Table_KeHoach_SanLuong[Tháng 3])</f>
        <v>0</v>
      </c>
      <c r="G56" s="18">
        <f>SUM(Table_KeHoach_SanLuong[Tháng 4])</f>
        <v>0</v>
      </c>
      <c r="H56" s="18">
        <f>SUM(Table_KeHoach_SanLuong[Tháng 5])</f>
        <v>0</v>
      </c>
      <c r="I56" s="18">
        <f>SUM(Table_KeHoach_SanLuong[Tháng 6])</f>
        <v>0</v>
      </c>
      <c r="J56" s="18">
        <f>SUM(Table_KeHoach_SanLuong[Tháng 7])</f>
        <v>0</v>
      </c>
      <c r="K56" s="18">
        <f>SUM(Table_KeHoach_SanLuong[Tháng 8])</f>
        <v>0</v>
      </c>
      <c r="L56" s="18">
        <f>SUM(Table_KeHoach_SanLuong[Tháng 9])</f>
        <v>0</v>
      </c>
      <c r="M56" s="18">
        <f>SUM(Table_KeHoach_SanLuong[Tháng 10])</f>
        <v>0</v>
      </c>
      <c r="N56" s="18">
        <f>SUM(Table_KeHoach_SanLuong[Tháng 11])</f>
        <v>0</v>
      </c>
      <c r="O56" s="18">
        <f>SUM(Table_KeHoach_SanLuong[Tháng 12])</f>
        <v>0</v>
      </c>
      <c r="P56" s="18"/>
      <c r="R56" s="7"/>
      <c r="S56" s="7"/>
      <c r="T56" s="7"/>
      <c r="V56" s="7"/>
      <c r="W56" s="7"/>
      <c r="X56" s="7"/>
    </row>
    <row r="57" spans="2:25" s="53" customFormat="1" ht="18" customHeight="1" x14ac:dyDescent="0.3">
      <c r="B57" s="7"/>
      <c r="C57" s="27"/>
      <c r="D57" s="7"/>
      <c r="E57" s="7"/>
      <c r="F57" s="7"/>
      <c r="G57" s="7"/>
      <c r="H57" s="7"/>
      <c r="I57" s="7"/>
      <c r="J57" s="7"/>
      <c r="K57" s="7"/>
      <c r="L57" s="7"/>
      <c r="M57" s="7"/>
      <c r="N57" s="7"/>
      <c r="O57" s="7"/>
      <c r="P57" s="7"/>
      <c r="T57" s="7"/>
      <c r="X57" s="7"/>
    </row>
    <row r="58" spans="2:25" s="53" customFormat="1" ht="18" customHeight="1" x14ac:dyDescent="0.3">
      <c r="B58" s="7" t="s">
        <v>1045</v>
      </c>
      <c r="C58" s="7"/>
      <c r="D58" s="7"/>
      <c r="E58" s="7"/>
      <c r="F58" s="7"/>
      <c r="G58" s="7"/>
      <c r="H58" s="7"/>
      <c r="I58" s="7"/>
      <c r="J58" s="7"/>
      <c r="K58" s="7"/>
      <c r="L58" s="7"/>
      <c r="M58" s="7"/>
      <c r="N58" s="7"/>
      <c r="O58" s="7"/>
      <c r="P58" s="7"/>
      <c r="Q58" s="7"/>
      <c r="R58" s="7"/>
      <c r="S58" s="7"/>
      <c r="U58" s="12"/>
      <c r="V58" s="12"/>
      <c r="W58" s="12"/>
    </row>
    <row r="59" spans="2:25" s="53" customFormat="1" ht="18" customHeight="1" x14ac:dyDescent="0.3">
      <c r="B59" s="7" t="s">
        <v>325</v>
      </c>
      <c r="C59" s="484" t="s">
        <v>268</v>
      </c>
      <c r="D59" s="484" t="s">
        <v>269</v>
      </c>
      <c r="E59" s="484" t="s">
        <v>270</v>
      </c>
      <c r="F59" s="484" t="s">
        <v>271</v>
      </c>
      <c r="G59" s="484" t="s">
        <v>272</v>
      </c>
      <c r="H59" s="484" t="s">
        <v>273</v>
      </c>
      <c r="I59" s="484" t="s">
        <v>274</v>
      </c>
      <c r="J59" s="484" t="s">
        <v>275</v>
      </c>
      <c r="K59" s="484" t="s">
        <v>276</v>
      </c>
      <c r="L59" s="484" t="s">
        <v>277</v>
      </c>
      <c r="M59" s="484" t="s">
        <v>278</v>
      </c>
      <c r="N59" s="484" t="s">
        <v>279</v>
      </c>
      <c r="O59" s="484" t="s">
        <v>280</v>
      </c>
      <c r="P59" s="485" t="s">
        <v>883</v>
      </c>
      <c r="R59" s="7"/>
      <c r="S59" s="7"/>
      <c r="T59" s="7"/>
      <c r="V59" s="7"/>
      <c r="W59" s="7"/>
      <c r="X59" s="7"/>
    </row>
    <row r="60" spans="2:25" ht="18" customHeight="1" x14ac:dyDescent="0.3">
      <c r="C60" s="15" cm="1">
        <f t="array" ref="C60">+IFERROR(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f>
        <v>0</v>
      </c>
      <c r="D60" s="15"/>
      <c r="E60" s="15"/>
      <c r="F60" s="15"/>
      <c r="G60" s="15"/>
      <c r="H60" s="15"/>
      <c r="I60" s="15"/>
      <c r="J60" s="15"/>
      <c r="K60" s="15"/>
      <c r="L60" s="15"/>
      <c r="M60" s="15"/>
      <c r="N60" s="15"/>
      <c r="O60" s="15"/>
      <c r="P60" s="15"/>
    </row>
    <row r="61" spans="2:25" s="53" customFormat="1" ht="18" customHeight="1" x14ac:dyDescent="0.3">
      <c r="B61" s="7"/>
      <c r="C61" s="27"/>
      <c r="D61" s="7"/>
      <c r="E61" s="7"/>
      <c r="F61" s="7"/>
      <c r="G61" s="7"/>
      <c r="H61" s="7"/>
      <c r="I61" s="7"/>
      <c r="J61" s="7"/>
      <c r="K61" s="7"/>
      <c r="L61" s="7"/>
      <c r="M61" s="7"/>
      <c r="N61" s="7"/>
      <c r="O61" s="7"/>
      <c r="P61" s="7"/>
      <c r="R61" s="12"/>
      <c r="S61" s="12"/>
      <c r="T61" s="7"/>
      <c r="V61" s="12"/>
      <c r="W61" s="12"/>
      <c r="X61" s="7"/>
    </row>
    <row r="62" spans="2:25" s="53" customFormat="1" ht="18" customHeight="1" x14ac:dyDescent="0.3">
      <c r="B62" s="7" t="s">
        <v>1046</v>
      </c>
      <c r="C62" s="7"/>
      <c r="D62" s="7"/>
      <c r="E62" s="7"/>
      <c r="F62" s="7"/>
      <c r="G62" s="7"/>
      <c r="H62" s="7"/>
      <c r="I62" s="7"/>
      <c r="J62" s="7"/>
      <c r="K62" s="7"/>
      <c r="L62" s="7"/>
      <c r="M62" s="7"/>
      <c r="N62" s="7"/>
      <c r="O62" s="7"/>
      <c r="P62" s="7"/>
      <c r="Q62" s="7"/>
      <c r="R62" s="7"/>
      <c r="S62" s="7"/>
      <c r="U62" s="12"/>
      <c r="V62" s="12"/>
      <c r="W62" s="12"/>
    </row>
    <row r="63" spans="2:25" s="53" customFormat="1" ht="18" customHeight="1" x14ac:dyDescent="0.3">
      <c r="B63" s="46" t="s">
        <v>326</v>
      </c>
      <c r="C63" s="484" t="s">
        <v>268</v>
      </c>
      <c r="D63" s="484" t="s">
        <v>269</v>
      </c>
      <c r="E63" s="484" t="s">
        <v>270</v>
      </c>
      <c r="F63" s="484" t="s">
        <v>271</v>
      </c>
      <c r="G63" s="484" t="s">
        <v>272</v>
      </c>
      <c r="H63" s="484" t="s">
        <v>273</v>
      </c>
      <c r="I63" s="484" t="s">
        <v>274</v>
      </c>
      <c r="J63" s="484" t="s">
        <v>275</v>
      </c>
      <c r="K63" s="484" t="s">
        <v>276</v>
      </c>
      <c r="L63" s="484" t="s">
        <v>277</v>
      </c>
      <c r="M63" s="484" t="s">
        <v>278</v>
      </c>
      <c r="N63" s="484" t="s">
        <v>279</v>
      </c>
      <c r="O63" s="484" t="s">
        <v>280</v>
      </c>
      <c r="P63" s="485" t="s">
        <v>883</v>
      </c>
      <c r="R63" s="7"/>
      <c r="S63" s="7"/>
      <c r="T63" s="7"/>
      <c r="U63" s="7"/>
      <c r="V63" s="7"/>
      <c r="W63" s="7"/>
      <c r="X63" s="7"/>
      <c r="Y63" s="7"/>
    </row>
    <row r="64" spans="2:25" s="53" customFormat="1" ht="18" customHeight="1" x14ac:dyDescent="0.3">
      <c r="B64" s="7"/>
      <c r="C64" s="18" t="e" cm="1">
        <f t="array" ref="C64"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f>
        <v>#DIV/0!</v>
      </c>
      <c r="D64" s="18" t="e">
        <f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f>
        <v>#N/A</v>
      </c>
      <c r="E64" s="18" t="e">
        <f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f>
        <v>#N/A</v>
      </c>
      <c r="F64" s="18" t="e">
        <f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f>
        <v>#N/A</v>
      </c>
      <c r="G64" s="18" t="e">
        <f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f>
        <v>#N/A</v>
      </c>
      <c r="H64" s="18" t="e">
        <f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f>
        <v>#N/A</v>
      </c>
      <c r="I64" s="18" t="e">
        <f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f>
        <v>#N/A</v>
      </c>
      <c r="J64" s="18" t="e">
        <f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f>
        <v>#N/A</v>
      </c>
      <c r="K64" s="18" t="e">
        <f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f>
        <v>#N/A</v>
      </c>
      <c r="L64" s="18" t="e">
        <f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f>
        <v>#N/A</v>
      </c>
      <c r="M64" s="18" t="e">
        <f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f>
        <v>#N/A</v>
      </c>
      <c r="N64" s="18" t="e">
        <f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f>
        <v>#N/A</v>
      </c>
      <c r="O64" s="18" t="e">
        <f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f>
        <v>#N/A</v>
      </c>
      <c r="P64" s="18"/>
      <c r="R64" s="7"/>
      <c r="S64" s="7"/>
      <c r="T64" s="7"/>
      <c r="V64" s="7"/>
      <c r="W64" s="7"/>
      <c r="X64" s="7"/>
    </row>
    <row r="65" spans="1:25" s="12" customFormat="1" ht="18" customHeight="1" x14ac:dyDescent="0.3">
      <c r="B65" s="28" t="s">
        <v>69</v>
      </c>
      <c r="C65" s="18" t="e">
        <f>SUM(Table_KeHoach_DoanhThu[Tham chiếu])</f>
        <v>#DIV/0!</v>
      </c>
      <c r="D65" s="18" t="e">
        <f>SUM(Table_KeHoach_DoanhThu[Tháng 1])</f>
        <v>#N/A</v>
      </c>
      <c r="E65" s="18" t="e">
        <f>SUM(Table_KeHoach_DoanhThu[Tháng 2])</f>
        <v>#N/A</v>
      </c>
      <c r="F65" s="18" t="e">
        <f>SUM(Table_KeHoach_DoanhThu[Tháng 3])</f>
        <v>#N/A</v>
      </c>
      <c r="G65" s="18" t="e">
        <f>SUM(Table_KeHoach_DoanhThu[Tháng 4])</f>
        <v>#N/A</v>
      </c>
      <c r="H65" s="18" t="e">
        <f>SUM(Table_KeHoach_DoanhThu[Tháng 5])</f>
        <v>#N/A</v>
      </c>
      <c r="I65" s="18" t="e">
        <f>SUM(Table_KeHoach_DoanhThu[Tháng 6])</f>
        <v>#N/A</v>
      </c>
      <c r="J65" s="18" t="e">
        <f>SUM(Table_KeHoach_DoanhThu[Tháng 7])</f>
        <v>#N/A</v>
      </c>
      <c r="K65" s="18" t="e">
        <f>SUM(Table_KeHoach_DoanhThu[Tháng 8])</f>
        <v>#N/A</v>
      </c>
      <c r="L65" s="18" t="e">
        <f>SUM(Table_KeHoach_DoanhThu[Tháng 9])</f>
        <v>#N/A</v>
      </c>
      <c r="M65" s="18" t="e">
        <f>SUM(Table_KeHoach_DoanhThu[Tháng 10])</f>
        <v>#N/A</v>
      </c>
      <c r="N65" s="18" t="e">
        <f>SUM(Table_KeHoach_DoanhThu[Tháng 11])</f>
        <v>#N/A</v>
      </c>
      <c r="O65" s="18" t="e">
        <f>SUM(Table_KeHoach_DoanhThu[Tháng 12])</f>
        <v>#N/A</v>
      </c>
      <c r="P65" s="18"/>
      <c r="R65" s="7"/>
      <c r="S65" s="7"/>
      <c r="T65" s="7"/>
      <c r="V65" s="7"/>
      <c r="W65" s="7"/>
      <c r="X65" s="7"/>
    </row>
    <row r="66" spans="1:25" s="12" customFormat="1" ht="18" customHeight="1" x14ac:dyDescent="0.3">
      <c r="B66" s="7"/>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1049</v>
      </c>
      <c r="C67" s="27"/>
      <c r="D67" s="7"/>
      <c r="E67" s="7"/>
      <c r="F67" s="7"/>
      <c r="G67" s="7"/>
      <c r="H67" s="7"/>
      <c r="I67" s="7"/>
      <c r="J67" s="7"/>
      <c r="K67" s="7"/>
      <c r="L67" s="7"/>
      <c r="M67" s="7"/>
      <c r="N67" s="7"/>
      <c r="O67" s="7"/>
      <c r="P67" s="7"/>
      <c r="Q67" s="7"/>
      <c r="R67" s="7"/>
      <c r="S67" s="7"/>
      <c r="T67" s="7"/>
      <c r="U67" s="7"/>
      <c r="V67" s="7"/>
      <c r="W67" s="7"/>
      <c r="X67" s="7"/>
    </row>
    <row r="68" spans="1:25" s="12" customFormat="1" ht="18" customHeight="1" x14ac:dyDescent="0.3">
      <c r="B68" s="7" t="s">
        <v>327</v>
      </c>
      <c r="C68" s="12" t="s">
        <v>268</v>
      </c>
      <c r="D68" s="16" t="s">
        <v>269</v>
      </c>
      <c r="E68" s="16" t="s">
        <v>270</v>
      </c>
      <c r="F68" s="16" t="s">
        <v>271</v>
      </c>
      <c r="G68" s="16" t="s">
        <v>272</v>
      </c>
      <c r="H68" s="16" t="s">
        <v>273</v>
      </c>
      <c r="I68" s="16" t="s">
        <v>274</v>
      </c>
      <c r="J68" s="16" t="s">
        <v>275</v>
      </c>
      <c r="K68" s="16" t="s">
        <v>276</v>
      </c>
      <c r="L68" s="16" t="s">
        <v>277</v>
      </c>
      <c r="M68" s="16" t="s">
        <v>278</v>
      </c>
      <c r="N68" s="16" t="s">
        <v>279</v>
      </c>
      <c r="O68" s="16" t="s">
        <v>280</v>
      </c>
      <c r="P68" s="4" t="s">
        <v>883</v>
      </c>
      <c r="R68" s="7"/>
      <c r="S68" s="7"/>
      <c r="T68" s="7"/>
      <c r="V68" s="7"/>
      <c r="W68" s="7"/>
      <c r="X68" s="7"/>
    </row>
    <row r="69" spans="1:25" ht="18" customHeight="1" x14ac:dyDescent="0.3">
      <c r="A69" s="211"/>
      <c r="B69" s="7" t="s">
        <v>328</v>
      </c>
      <c r="C69" s="45" t="e" vm="2">
        <f>-C70/SUM(Table_KeHoach_DoanhThu[Tham chiếu])</f>
        <v>#VALUE!</v>
      </c>
      <c r="D69" s="45"/>
      <c r="E69" s="45"/>
      <c r="F69" s="45"/>
      <c r="G69" s="45"/>
      <c r="H69" s="45"/>
      <c r="I69" s="45"/>
      <c r="J69" s="45"/>
      <c r="K69" s="45"/>
      <c r="L69" s="45"/>
      <c r="M69" s="45"/>
      <c r="N69" s="45"/>
      <c r="O69" s="45"/>
      <c r="P69" s="213"/>
    </row>
    <row r="70" spans="1:25" ht="18" customHeight="1" x14ac:dyDescent="0.3">
      <c r="B70" s="52" t="s">
        <v>285</v>
      </c>
      <c r="C70" s="486" t="e" cm="1" vm="1">
        <f t="array" ref="C70">(-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70" s="486">
        <f>IFERROR(-D69*Table_KeHoach_DoanhThu[[#Totals],[Tháng 1]],0)</f>
        <v>0</v>
      </c>
      <c r="E70" s="486">
        <f>IFERROR(-E69*Table_KeHoach_DoanhThu[[#Totals],[Tháng 1]],0)</f>
        <v>0</v>
      </c>
      <c r="F70" s="486">
        <f>IFERROR(-F69*Table_KeHoach_DoanhThu[[#Totals],[Tháng 1]],0)</f>
        <v>0</v>
      </c>
      <c r="G70" s="486">
        <f>IFERROR(-G69*Table_KeHoach_DoanhThu[[#Totals],[Tháng 1]],0)</f>
        <v>0</v>
      </c>
      <c r="H70" s="486">
        <f>IFERROR(-H69*Table_KeHoach_DoanhThu[[#Totals],[Tháng 1]],0)</f>
        <v>0</v>
      </c>
      <c r="I70" s="486">
        <f>IFERROR(-I69*Table_KeHoach_DoanhThu[[#Totals],[Tháng 1]],0)</f>
        <v>0</v>
      </c>
      <c r="J70" s="486">
        <f>IFERROR(-J69*Table_KeHoach_DoanhThu[[#Totals],[Tháng 1]],0)</f>
        <v>0</v>
      </c>
      <c r="K70" s="486">
        <f>IFERROR(-K69*Table_KeHoach_DoanhThu[[#Totals],[Tháng 1]],0)</f>
        <v>0</v>
      </c>
      <c r="L70" s="486">
        <f>IFERROR(-L69*Table_KeHoach_DoanhThu[[#Totals],[Tháng 1]],0)</f>
        <v>0</v>
      </c>
      <c r="M70" s="486">
        <f>IFERROR(-M69*Table_KeHoach_DoanhThu[[#Totals],[Tháng 1]],0)</f>
        <v>0</v>
      </c>
      <c r="N70" s="486">
        <f>IFERROR(-N69*Table_KeHoach_DoanhThu[[#Totals],[Tháng 1]],0)</f>
        <v>0</v>
      </c>
      <c r="O70" s="486">
        <f>IFERROR(-O69*Table_KeHoach_DoanhThu[[#Totals],[Tháng 1]],0)</f>
        <v>0</v>
      </c>
      <c r="P70" s="52"/>
    </row>
    <row r="71" spans="1:25" s="53" customFormat="1" ht="18" customHeight="1" x14ac:dyDescent="0.3">
      <c r="B71" s="7"/>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1050</v>
      </c>
      <c r="C72" s="27"/>
      <c r="D72" s="7"/>
      <c r="E72" s="7"/>
      <c r="F72" s="7"/>
      <c r="G72" s="7"/>
      <c r="H72" s="7"/>
      <c r="I72" s="7"/>
      <c r="J72" s="7"/>
      <c r="K72" s="7"/>
      <c r="L72" s="7"/>
      <c r="M72" s="7"/>
      <c r="N72" s="7"/>
      <c r="O72" s="7"/>
      <c r="P72" s="7"/>
      <c r="Q72" s="7"/>
      <c r="R72" s="7"/>
      <c r="S72" s="7"/>
      <c r="T72" s="7"/>
      <c r="U72" s="7"/>
      <c r="V72" s="7"/>
      <c r="W72" s="7"/>
      <c r="X72" s="7"/>
      <c r="Y72" s="7"/>
    </row>
    <row r="73" spans="1:25" s="12" customFormat="1" ht="18" customHeight="1" x14ac:dyDescent="0.3">
      <c r="B73" s="7" t="s">
        <v>330</v>
      </c>
      <c r="C73" s="484" t="s">
        <v>268</v>
      </c>
      <c r="D73" s="484" t="s">
        <v>269</v>
      </c>
      <c r="E73" s="484" t="s">
        <v>270</v>
      </c>
      <c r="F73" s="484" t="s">
        <v>271</v>
      </c>
      <c r="G73" s="484" t="s">
        <v>272</v>
      </c>
      <c r="H73" s="484" t="s">
        <v>273</v>
      </c>
      <c r="I73" s="484" t="s">
        <v>274</v>
      </c>
      <c r="J73" s="484" t="s">
        <v>275</v>
      </c>
      <c r="K73" s="484" t="s">
        <v>276</v>
      </c>
      <c r="L73" s="484" t="s">
        <v>277</v>
      </c>
      <c r="M73" s="484" t="s">
        <v>278</v>
      </c>
      <c r="N73" s="484" t="s">
        <v>279</v>
      </c>
      <c r="O73" s="484" t="s">
        <v>280</v>
      </c>
      <c r="P73" s="4" t="s">
        <v>883</v>
      </c>
      <c r="R73" s="7"/>
      <c r="S73" s="7"/>
      <c r="T73" s="7"/>
      <c r="V73" s="7"/>
      <c r="W73" s="7"/>
      <c r="X73" s="7"/>
    </row>
    <row r="74" spans="1:25" s="12" customFormat="1" ht="18" customHeight="1" x14ac:dyDescent="0.3">
      <c r="B74" s="7"/>
      <c r="C74" s="15" cm="1">
        <f t="array" ref="C74">+IFERROR(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f>
        <v>0</v>
      </c>
      <c r="D74" s="15"/>
      <c r="E74" s="15"/>
      <c r="F74" s="15"/>
      <c r="G74" s="15"/>
      <c r="H74" s="15"/>
      <c r="I74" s="15"/>
      <c r="J74" s="15"/>
      <c r="K74" s="15"/>
      <c r="L74" s="15"/>
      <c r="M74" s="15"/>
      <c r="N74" s="15"/>
      <c r="O74" s="15"/>
      <c r="P74" s="212"/>
      <c r="R74" s="7"/>
      <c r="S74" s="7"/>
      <c r="T74" s="7"/>
      <c r="V74" s="7"/>
      <c r="W74" s="7"/>
      <c r="X74" s="7"/>
    </row>
    <row r="75" spans="1:25" s="12" customFormat="1" ht="18" customHeight="1" x14ac:dyDescent="0.3">
      <c r="B75" s="27"/>
      <c r="C75" s="27"/>
      <c r="D75" s="7"/>
      <c r="E75" s="7"/>
      <c r="F75" s="7"/>
      <c r="G75" s="7"/>
      <c r="H75" s="7"/>
      <c r="I75" s="7"/>
      <c r="J75" s="7"/>
      <c r="K75" s="7"/>
      <c r="L75" s="7"/>
      <c r="M75" s="7"/>
      <c r="N75" s="7"/>
      <c r="O75" s="7"/>
      <c r="P75" s="7"/>
      <c r="Q75" s="7"/>
      <c r="R75" s="7"/>
      <c r="S75" s="7"/>
      <c r="T75" s="7"/>
      <c r="U75" s="7"/>
      <c r="V75" s="7"/>
      <c r="W75" s="7"/>
      <c r="X75" s="7"/>
      <c r="Y75" s="7"/>
    </row>
    <row r="76" spans="1:25" s="12" customFormat="1" ht="18" customHeight="1" x14ac:dyDescent="0.3">
      <c r="B76" s="7" t="s">
        <v>1051</v>
      </c>
      <c r="C76" s="27"/>
      <c r="D76" s="7"/>
      <c r="E76" s="7"/>
      <c r="F76" s="7"/>
      <c r="G76" s="7"/>
      <c r="H76" s="7"/>
      <c r="I76" s="7"/>
      <c r="J76" s="7"/>
      <c r="K76" s="7"/>
      <c r="L76" s="7"/>
      <c r="M76" s="7"/>
      <c r="N76" s="7"/>
      <c r="O76" s="7"/>
      <c r="P76" s="52"/>
      <c r="Q76" s="7"/>
      <c r="R76" s="7"/>
      <c r="S76" s="7"/>
      <c r="T76" s="7"/>
      <c r="U76" s="7"/>
      <c r="V76" s="7"/>
      <c r="W76" s="7"/>
      <c r="X76" s="7"/>
    </row>
    <row r="77" spans="1:25" ht="18" customHeight="1" x14ac:dyDescent="0.3">
      <c r="B77" s="46" t="s">
        <v>331</v>
      </c>
      <c r="C77" s="484" t="s">
        <v>268</v>
      </c>
      <c r="D77" s="484" t="s">
        <v>269</v>
      </c>
      <c r="E77" s="484" t="s">
        <v>270</v>
      </c>
      <c r="F77" s="484" t="s">
        <v>271</v>
      </c>
      <c r="G77" s="484" t="s">
        <v>272</v>
      </c>
      <c r="H77" s="484" t="s">
        <v>273</v>
      </c>
      <c r="I77" s="484" t="s">
        <v>274</v>
      </c>
      <c r="J77" s="484" t="s">
        <v>275</v>
      </c>
      <c r="K77" s="484" t="s">
        <v>276</v>
      </c>
      <c r="L77" s="484" t="s">
        <v>277</v>
      </c>
      <c r="M77" s="484" t="s">
        <v>278</v>
      </c>
      <c r="N77" s="484" t="s">
        <v>279</v>
      </c>
      <c r="O77" s="484" t="s">
        <v>280</v>
      </c>
      <c r="P77" s="4" t="s">
        <v>883</v>
      </c>
    </row>
    <row r="78" spans="1:25" ht="18" customHeight="1" x14ac:dyDescent="0.3">
      <c r="C78" s="18" t="e" cm="1">
        <f t="array" ref="C78"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8" s="18">
        <f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f>
        <v>0</v>
      </c>
      <c r="E78" s="18">
        <f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f>
        <v>0</v>
      </c>
      <c r="F78" s="18">
        <f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f>
        <v>0</v>
      </c>
      <c r="G78" s="18">
        <f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f>
        <v>0</v>
      </c>
      <c r="H78" s="18">
        <f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f>
        <v>0</v>
      </c>
      <c r="I78" s="18">
        <f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f>
        <v>0</v>
      </c>
      <c r="J78" s="18">
        <f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f>
        <v>0</v>
      </c>
      <c r="K78" s="18">
        <f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f>
        <v>0</v>
      </c>
      <c r="L78" s="18">
        <f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f>
        <v>0</v>
      </c>
      <c r="M78" s="18">
        <f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f>
        <v>0</v>
      </c>
      <c r="N78" s="18">
        <f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f>
        <v>0</v>
      </c>
      <c r="O78" s="18">
        <f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f>
        <v>0</v>
      </c>
      <c r="P78" s="214"/>
    </row>
    <row r="79" spans="1:25" ht="18" customHeight="1" x14ac:dyDescent="0.15">
      <c r="B79" s="479" t="s">
        <v>1039</v>
      </c>
      <c r="C79" s="487" t="e">
        <f>SUBTOTAL(109,Table_KeHoach_ChiPhiSKU[Tham chiếu])</f>
        <v>#DIV/0!</v>
      </c>
      <c r="D79" s="487">
        <f>SUBTOTAL(109,Table_KeHoach_ChiPhiSKU[Tháng 1])</f>
        <v>0</v>
      </c>
      <c r="E79" s="487">
        <f>SUBTOTAL(109,Table_KeHoach_ChiPhiSKU[Tháng 2])</f>
        <v>0</v>
      </c>
      <c r="F79" s="487">
        <f>SUBTOTAL(109,Table_KeHoach_ChiPhiSKU[Tháng 3])</f>
        <v>0</v>
      </c>
      <c r="G79" s="487">
        <f>SUBTOTAL(109,Table_KeHoach_ChiPhiSKU[Tháng 4])</f>
        <v>0</v>
      </c>
      <c r="H79" s="487">
        <f>SUBTOTAL(109,Table_KeHoach_ChiPhiSKU[Tháng 5])</f>
        <v>0</v>
      </c>
      <c r="I79" s="487">
        <f>SUBTOTAL(109,Table_KeHoach_ChiPhiSKU[Tháng 6])</f>
        <v>0</v>
      </c>
      <c r="J79" s="487">
        <f>SUBTOTAL(109,Table_KeHoach_ChiPhiSKU[Tháng 7])</f>
        <v>0</v>
      </c>
      <c r="K79" s="487">
        <f>SUBTOTAL(109,Table_KeHoach_ChiPhiSKU[Tháng 8])</f>
        <v>0</v>
      </c>
      <c r="L79" s="487">
        <f>SUBTOTAL(109,Table_KeHoach_ChiPhiSKU[Tháng 9])</f>
        <v>0</v>
      </c>
      <c r="M79" s="487">
        <f>SUBTOTAL(109,Table_KeHoach_ChiPhiSKU[Tháng 10])</f>
        <v>0</v>
      </c>
      <c r="N79" s="487">
        <f>SUBTOTAL(109,Table_KeHoach_ChiPhiSKU[Tháng 11])</f>
        <v>0</v>
      </c>
      <c r="O79" s="487">
        <f>SUBTOTAL(109,Table_KeHoach_ChiPhiSKU[Tháng 12])</f>
        <v>0</v>
      </c>
      <c r="P79" s="480"/>
    </row>
    <row r="80" spans="1:25" ht="18" customHeight="1" x14ac:dyDescent="0.3">
      <c r="B80" s="28"/>
      <c r="C80" s="106"/>
      <c r="D80" s="28"/>
      <c r="E80" s="28"/>
      <c r="F80" s="28"/>
      <c r="G80" s="28"/>
      <c r="H80" s="28"/>
      <c r="I80" s="28"/>
      <c r="J80" s="28"/>
      <c r="K80" s="28"/>
      <c r="L80" s="28"/>
      <c r="M80" s="28"/>
      <c r="N80" s="28"/>
      <c r="O80" s="28"/>
      <c r="P80" s="28"/>
    </row>
    <row r="81" spans="2:16" ht="18" customHeight="1" x14ac:dyDescent="0.3">
      <c r="B81" s="7" t="s">
        <v>1052</v>
      </c>
      <c r="C81" s="106"/>
      <c r="D81" s="28"/>
      <c r="E81" s="28"/>
      <c r="F81" s="28"/>
      <c r="G81" s="28"/>
      <c r="H81" s="28"/>
      <c r="I81" s="28"/>
      <c r="J81" s="28"/>
      <c r="K81" s="28"/>
      <c r="L81" s="28"/>
      <c r="M81" s="28"/>
      <c r="N81" s="28"/>
      <c r="O81" s="28"/>
      <c r="P81" s="212"/>
    </row>
    <row r="82" spans="2:16" ht="18" customHeight="1" x14ac:dyDescent="0.3">
      <c r="B82" s="488" t="s">
        <v>332</v>
      </c>
      <c r="C82" s="484" t="s">
        <v>268</v>
      </c>
      <c r="D82" s="484" t="s">
        <v>269</v>
      </c>
      <c r="E82" s="484" t="s">
        <v>270</v>
      </c>
      <c r="F82" s="484" t="s">
        <v>271</v>
      </c>
      <c r="G82" s="484" t="s">
        <v>272</v>
      </c>
      <c r="H82" s="484" t="s">
        <v>273</v>
      </c>
      <c r="I82" s="484" t="s">
        <v>274</v>
      </c>
      <c r="J82" s="484" t="s">
        <v>275</v>
      </c>
      <c r="K82" s="484" t="s">
        <v>276</v>
      </c>
      <c r="L82" s="484" t="s">
        <v>277</v>
      </c>
      <c r="M82" s="484" t="s">
        <v>278</v>
      </c>
      <c r="N82" s="484" t="s">
        <v>279</v>
      </c>
      <c r="O82" s="484" t="s">
        <v>280</v>
      </c>
      <c r="P82" s="4" t="s">
        <v>883</v>
      </c>
    </row>
    <row r="83" spans="2:16" ht="18" customHeight="1" x14ac:dyDescent="0.3">
      <c r="B83" s="18"/>
      <c r="C83" s="17" t="e" cm="1">
        <f t="array" ref="C83">-IFERROR(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3" s="422"/>
      <c r="E83" s="422"/>
      <c r="F83" s="422"/>
      <c r="G83" s="422"/>
      <c r="H83" s="422"/>
      <c r="I83" s="422"/>
      <c r="J83" s="422"/>
      <c r="K83" s="422"/>
      <c r="L83" s="422"/>
      <c r="M83" s="422"/>
      <c r="N83" s="422"/>
      <c r="O83" s="422"/>
      <c r="P83" s="215"/>
    </row>
    <row r="84" spans="2:16" ht="18" customHeight="1" x14ac:dyDescent="0.3">
      <c r="B84" s="487" t="s">
        <v>1039</v>
      </c>
      <c r="C84" s="17" t="e">
        <f>SUBTOTAL(109,Table_KeHoach_ChiPhiVatTuSX[Tham chiếu])</f>
        <v>#DIV/0!</v>
      </c>
      <c r="D84" s="17">
        <f>SUBTOTAL(109,Table_KeHoach_ChiPhiVatTuSX[Tháng 1])</f>
        <v>0</v>
      </c>
      <c r="E84" s="17">
        <f>SUBTOTAL(109,Table_KeHoach_ChiPhiVatTuSX[Tháng 2])</f>
        <v>0</v>
      </c>
      <c r="F84" s="17">
        <f>SUBTOTAL(109,Table_KeHoach_ChiPhiVatTuSX[Tháng 3])</f>
        <v>0</v>
      </c>
      <c r="G84" s="17">
        <f>SUBTOTAL(109,Table_KeHoach_ChiPhiVatTuSX[Tháng 4])</f>
        <v>0</v>
      </c>
      <c r="H84" s="17">
        <f>SUBTOTAL(109,Table_KeHoach_ChiPhiVatTuSX[Tháng 5])</f>
        <v>0</v>
      </c>
      <c r="I84" s="17">
        <f>SUBTOTAL(109,Table_KeHoach_ChiPhiVatTuSX[Tháng 6])</f>
        <v>0</v>
      </c>
      <c r="J84" s="17">
        <f>SUBTOTAL(109,Table_KeHoach_ChiPhiVatTuSX[Tháng 7])</f>
        <v>0</v>
      </c>
      <c r="K84" s="17">
        <f>SUBTOTAL(109,Table_KeHoach_ChiPhiVatTuSX[Tháng 8])</f>
        <v>0</v>
      </c>
      <c r="L84" s="17">
        <f>SUBTOTAL(109,Table_KeHoach_ChiPhiVatTuSX[Tháng 9])</f>
        <v>0</v>
      </c>
      <c r="M84" s="17">
        <f>SUBTOTAL(109,Table_KeHoach_ChiPhiVatTuSX[Tháng 10])</f>
        <v>0</v>
      </c>
      <c r="N84" s="17">
        <f>SUBTOTAL(109,Table_KeHoach_ChiPhiVatTuSX[Tháng 11])</f>
        <v>0</v>
      </c>
      <c r="O84" s="17">
        <f>SUBTOTAL(109,Table_KeHoach_ChiPhiVatTuSX[Tháng 12])</f>
        <v>0</v>
      </c>
      <c r="P84" s="28"/>
    </row>
    <row r="85" spans="2:16" ht="18" customHeight="1" x14ac:dyDescent="0.3">
      <c r="B85" s="106"/>
      <c r="C85" s="106"/>
      <c r="D85" s="216"/>
      <c r="E85" s="215"/>
      <c r="F85" s="215"/>
      <c r="G85" s="215"/>
      <c r="H85" s="215"/>
      <c r="I85" s="215"/>
      <c r="J85" s="215"/>
      <c r="K85" s="215"/>
      <c r="L85" s="215"/>
      <c r="M85" s="215"/>
      <c r="N85" s="215"/>
      <c r="O85" s="215"/>
      <c r="P85" s="215"/>
    </row>
    <row r="86" spans="2:16" ht="18" customHeight="1" x14ac:dyDescent="0.3">
      <c r="B86" s="7" t="s">
        <v>1053</v>
      </c>
      <c r="C86" s="106"/>
      <c r="D86" s="216"/>
      <c r="E86" s="215"/>
      <c r="F86" s="215"/>
      <c r="G86" s="215"/>
      <c r="H86" s="215"/>
      <c r="I86" s="215"/>
      <c r="J86" s="215"/>
      <c r="K86" s="215"/>
      <c r="L86" s="215"/>
      <c r="M86" s="215"/>
      <c r="N86" s="215"/>
      <c r="O86" s="215"/>
      <c r="P86" s="214"/>
    </row>
    <row r="87" spans="2:16" ht="18" customHeight="1" x14ac:dyDescent="0.3">
      <c r="B87" s="488" t="s">
        <v>333</v>
      </c>
      <c r="C87" s="484" t="s">
        <v>268</v>
      </c>
      <c r="D87" s="484" t="s">
        <v>269</v>
      </c>
      <c r="E87" s="484" t="s">
        <v>270</v>
      </c>
      <c r="F87" s="484" t="s">
        <v>271</v>
      </c>
      <c r="G87" s="484" t="s">
        <v>272</v>
      </c>
      <c r="H87" s="484" t="s">
        <v>273</v>
      </c>
      <c r="I87" s="484" t="s">
        <v>274</v>
      </c>
      <c r="J87" s="484" t="s">
        <v>275</v>
      </c>
      <c r="K87" s="484" t="s">
        <v>276</v>
      </c>
      <c r="L87" s="484" t="s">
        <v>277</v>
      </c>
      <c r="M87" s="484" t="s">
        <v>278</v>
      </c>
      <c r="N87" s="484" t="s">
        <v>279</v>
      </c>
      <c r="O87" s="484" t="s">
        <v>280</v>
      </c>
      <c r="P87" s="485" t="s">
        <v>883</v>
      </c>
    </row>
    <row r="88" spans="2:16" ht="18" customHeight="1" x14ac:dyDescent="0.3">
      <c r="B88" s="489"/>
      <c r="C88" s="18" t="e" cm="1">
        <f t="array" ref="C88"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88" s="422"/>
      <c r="E88" s="422"/>
      <c r="F88" s="422"/>
      <c r="G88" s="422"/>
      <c r="H88" s="422"/>
      <c r="I88" s="422"/>
      <c r="J88" s="422"/>
      <c r="K88" s="422"/>
      <c r="L88" s="422"/>
      <c r="M88" s="422"/>
      <c r="N88" s="422"/>
      <c r="O88" s="422"/>
      <c r="P88" s="422"/>
    </row>
    <row r="89" spans="2:16" ht="18" customHeight="1" x14ac:dyDescent="0.3">
      <c r="B89" s="487" t="s">
        <v>1039</v>
      </c>
      <c r="C89" s="487" t="e">
        <f>SUBTOTAL(109,Table_KeHoach_ChiPhiTienIchSX[Tham chiếu])</f>
        <v>#DIV/0!</v>
      </c>
      <c r="D89" s="487">
        <f>SUBTOTAL(109,Table_KeHoach_ChiPhiTienIchSX[Tháng 1])</f>
        <v>0</v>
      </c>
      <c r="E89" s="487">
        <f>SUBTOTAL(109,Table_KeHoach_ChiPhiTienIchSX[Tháng 2])</f>
        <v>0</v>
      </c>
      <c r="F89" s="487">
        <f>SUBTOTAL(109,Table_KeHoach_ChiPhiTienIchSX[Tháng 3])</f>
        <v>0</v>
      </c>
      <c r="G89" s="487">
        <f>SUBTOTAL(109,Table_KeHoach_ChiPhiTienIchSX[Tháng 4])</f>
        <v>0</v>
      </c>
      <c r="H89" s="487">
        <f>SUBTOTAL(109,Table_KeHoach_ChiPhiTienIchSX[Tháng 5])</f>
        <v>0</v>
      </c>
      <c r="I89" s="487">
        <f>SUBTOTAL(109,Table_KeHoach_ChiPhiTienIchSX[Tháng 6])</f>
        <v>0</v>
      </c>
      <c r="J89" s="487">
        <f>SUBTOTAL(109,Table_KeHoach_ChiPhiTienIchSX[Tháng 7])</f>
        <v>0</v>
      </c>
      <c r="K89" s="487">
        <f>SUBTOTAL(109,Table_KeHoach_ChiPhiTienIchSX[Tháng 8])</f>
        <v>0</v>
      </c>
      <c r="L89" s="487">
        <f>SUBTOTAL(109,Table_KeHoach_ChiPhiTienIchSX[Tháng 9])</f>
        <v>0</v>
      </c>
      <c r="M89" s="487">
        <f>SUBTOTAL(109,Table_KeHoach_ChiPhiTienIchSX[Tháng 10])</f>
        <v>0</v>
      </c>
      <c r="N89" s="487">
        <f>SUBTOTAL(109,Table_KeHoach_ChiPhiTienIchSX[Tháng 11])</f>
        <v>0</v>
      </c>
      <c r="O89" s="487">
        <f>SUBTOTAL(109,Table_KeHoach_ChiPhiTienIchSX[Tháng 12])</f>
        <v>0</v>
      </c>
      <c r="P89" s="422"/>
    </row>
    <row r="91" spans="2:16" ht="18" customHeight="1" x14ac:dyDescent="0.3">
      <c r="B91" s="7" t="s">
        <v>1054</v>
      </c>
      <c r="P91" s="215"/>
    </row>
    <row r="92" spans="2:16" ht="18" customHeight="1" x14ac:dyDescent="0.3">
      <c r="B92" s="488" t="s">
        <v>334</v>
      </c>
      <c r="C92" s="484" t="s">
        <v>268</v>
      </c>
      <c r="D92" s="484" t="s">
        <v>269</v>
      </c>
      <c r="E92" s="484" t="s">
        <v>270</v>
      </c>
      <c r="F92" s="484" t="s">
        <v>271</v>
      </c>
      <c r="G92" s="484" t="s">
        <v>272</v>
      </c>
      <c r="H92" s="484" t="s">
        <v>273</v>
      </c>
      <c r="I92" s="484" t="s">
        <v>274</v>
      </c>
      <c r="J92" s="484" t="s">
        <v>275</v>
      </c>
      <c r="K92" s="484" t="s">
        <v>276</v>
      </c>
      <c r="L92" s="484" t="s">
        <v>277</v>
      </c>
      <c r="M92" s="484" t="s">
        <v>278</v>
      </c>
      <c r="N92" s="484" t="s">
        <v>279</v>
      </c>
      <c r="O92" s="484" t="s">
        <v>280</v>
      </c>
      <c r="P92" s="485" t="s">
        <v>883</v>
      </c>
    </row>
    <row r="93" spans="2:16" ht="18" customHeight="1" x14ac:dyDescent="0.3">
      <c r="B93" s="34"/>
      <c r="C93" s="34" t="e" cm="1">
        <f t="array" ref="C93"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3" s="34"/>
      <c r="E93" s="34"/>
      <c r="F93" s="34"/>
      <c r="G93" s="34"/>
      <c r="H93" s="34"/>
      <c r="I93" s="34"/>
      <c r="J93" s="34"/>
      <c r="K93" s="34"/>
      <c r="L93" s="34"/>
      <c r="M93" s="34"/>
      <c r="N93" s="34"/>
      <c r="O93" s="34"/>
      <c r="P93" s="490"/>
    </row>
    <row r="94" spans="2:16" ht="18" customHeight="1" x14ac:dyDescent="0.3">
      <c r="B94" s="34"/>
      <c r="C94" s="34" t="e" cm="1">
        <f t="array" ref="C94"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4" s="34"/>
      <c r="E94" s="34"/>
      <c r="F94" s="34"/>
      <c r="G94" s="34"/>
      <c r="H94" s="34"/>
      <c r="I94" s="34"/>
      <c r="J94" s="34"/>
      <c r="K94" s="34"/>
      <c r="L94" s="34"/>
      <c r="M94" s="34"/>
      <c r="N94" s="34"/>
      <c r="O94" s="34"/>
      <c r="P94" s="34"/>
    </row>
    <row r="95" spans="2:16" ht="18" customHeight="1" x14ac:dyDescent="0.3">
      <c r="B95" s="487" t="s">
        <v>1039</v>
      </c>
      <c r="C95" s="487" t="e">
        <f>SUBTOTAL(109,Table_KeHoach_ChiPhiVatTuVP[Tham chiếu])</f>
        <v>#DIV/0!</v>
      </c>
      <c r="D95" s="487">
        <f>SUBTOTAL(109,Table_KeHoach_ChiPhiVatTuVP[Tháng 1])</f>
        <v>0</v>
      </c>
      <c r="E95" s="487">
        <f>SUBTOTAL(109,Table_KeHoach_ChiPhiVatTuVP[Tháng 2])</f>
        <v>0</v>
      </c>
      <c r="F95" s="487">
        <f>SUBTOTAL(109,Table_KeHoach_ChiPhiVatTuVP[Tháng 3])</f>
        <v>0</v>
      </c>
      <c r="G95" s="487">
        <f>SUBTOTAL(109,Table_KeHoach_ChiPhiVatTuVP[Tháng 4])</f>
        <v>0</v>
      </c>
      <c r="H95" s="487">
        <f>SUBTOTAL(109,Table_KeHoach_ChiPhiVatTuVP[Tháng 5])</f>
        <v>0</v>
      </c>
      <c r="I95" s="487">
        <f>SUBTOTAL(109,Table_KeHoach_ChiPhiVatTuVP[Tháng 6])</f>
        <v>0</v>
      </c>
      <c r="J95" s="487">
        <f>SUBTOTAL(109,Table_KeHoach_ChiPhiVatTuVP[Tháng 7])</f>
        <v>0</v>
      </c>
      <c r="K95" s="487">
        <f>SUBTOTAL(109,Table_KeHoach_ChiPhiVatTuVP[Tháng 8])</f>
        <v>0</v>
      </c>
      <c r="L95" s="487">
        <f>SUBTOTAL(109,Table_KeHoach_ChiPhiVatTuVP[Tháng 9])</f>
        <v>0</v>
      </c>
      <c r="M95" s="487">
        <f>SUBTOTAL(109,Table_KeHoach_ChiPhiVatTuVP[Tháng 10])</f>
        <v>0</v>
      </c>
      <c r="N95" s="487">
        <f>SUBTOTAL(109,Table_KeHoach_ChiPhiVatTuVP[Tháng 11])</f>
        <v>0</v>
      </c>
      <c r="O95" s="487">
        <f>SUBTOTAL(109,Table_KeHoach_ChiPhiVatTuVP[Tháng 12])</f>
        <v>0</v>
      </c>
      <c r="P95" s="487"/>
    </row>
    <row r="96" spans="2:16" ht="18" customHeight="1" x14ac:dyDescent="0.3">
      <c r="B96" s="28"/>
      <c r="C96" s="106"/>
      <c r="D96" s="28"/>
      <c r="E96" s="28"/>
      <c r="F96" s="28"/>
      <c r="G96" s="28"/>
      <c r="H96" s="28"/>
      <c r="I96" s="28"/>
      <c r="J96" s="28"/>
      <c r="K96" s="28"/>
      <c r="L96" s="28"/>
      <c r="M96" s="28"/>
      <c r="N96" s="28"/>
      <c r="O96" s="28"/>
      <c r="P96" s="28"/>
    </row>
    <row r="97" spans="2:17" ht="18" customHeight="1" x14ac:dyDescent="0.3">
      <c r="B97" s="7" t="s">
        <v>1077</v>
      </c>
      <c r="C97" s="106"/>
      <c r="D97" s="28"/>
      <c r="E97" s="28"/>
      <c r="F97" s="28"/>
      <c r="G97" s="28"/>
      <c r="H97" s="28"/>
      <c r="I97" s="28"/>
      <c r="J97" s="28"/>
      <c r="K97" s="28"/>
      <c r="L97" s="28"/>
      <c r="M97" s="28"/>
      <c r="N97" s="28"/>
      <c r="O97" s="28"/>
      <c r="P97" s="215"/>
    </row>
    <row r="98" spans="2:17" ht="18" customHeight="1" x14ac:dyDescent="0.3">
      <c r="B98" s="45" t="s">
        <v>335</v>
      </c>
      <c r="C98" s="482" t="s">
        <v>268</v>
      </c>
      <c r="D98" s="482" t="s">
        <v>269</v>
      </c>
      <c r="E98" s="482" t="s">
        <v>270</v>
      </c>
      <c r="F98" s="482" t="s">
        <v>271</v>
      </c>
      <c r="G98" s="482" t="s">
        <v>272</v>
      </c>
      <c r="H98" s="482" t="s">
        <v>273</v>
      </c>
      <c r="I98" s="482" t="s">
        <v>274</v>
      </c>
      <c r="J98" s="482" t="s">
        <v>275</v>
      </c>
      <c r="K98" s="482" t="s">
        <v>276</v>
      </c>
      <c r="L98" s="482" t="s">
        <v>277</v>
      </c>
      <c r="M98" s="482" t="s">
        <v>278</v>
      </c>
      <c r="N98" s="482" t="s">
        <v>279</v>
      </c>
      <c r="O98" s="482" t="s">
        <v>280</v>
      </c>
      <c r="P98" s="483" t="s">
        <v>883</v>
      </c>
      <c r="Q98" s="215"/>
    </row>
    <row r="99" spans="2:17" ht="18" customHeight="1" x14ac:dyDescent="0.3">
      <c r="B99" s="45"/>
      <c r="C99" s="559" t="e" cm="1" vm="1">
        <f t="array" ref="C99"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9" s="45"/>
      <c r="E99" s="45"/>
      <c r="F99" s="45"/>
      <c r="G99" s="45"/>
      <c r="H99" s="45"/>
      <c r="I99" s="45"/>
      <c r="J99" s="45"/>
      <c r="K99" s="45"/>
      <c r="L99" s="45"/>
      <c r="M99" s="45"/>
      <c r="N99" s="45"/>
      <c r="O99" s="45"/>
      <c r="P99" s="45"/>
    </row>
    <row r="101" spans="2:17" ht="18" customHeight="1" x14ac:dyDescent="0.3">
      <c r="B101" s="7" t="s">
        <v>1078</v>
      </c>
      <c r="P101" s="217"/>
    </row>
    <row r="102" spans="2:17" ht="18" customHeight="1" x14ac:dyDescent="0.3">
      <c r="B102" s="488" t="s">
        <v>336</v>
      </c>
      <c r="C102" s="484" t="s">
        <v>268</v>
      </c>
      <c r="D102" s="484" t="s">
        <v>269</v>
      </c>
      <c r="E102" s="484" t="s">
        <v>270</v>
      </c>
      <c r="F102" s="484" t="s">
        <v>271</v>
      </c>
      <c r="G102" s="484" t="s">
        <v>272</v>
      </c>
      <c r="H102" s="484" t="s">
        <v>273</v>
      </c>
      <c r="I102" s="484" t="s">
        <v>274</v>
      </c>
      <c r="J102" s="484" t="s">
        <v>275</v>
      </c>
      <c r="K102" s="484" t="s">
        <v>276</v>
      </c>
      <c r="L102" s="484" t="s">
        <v>277</v>
      </c>
      <c r="M102" s="484" t="s">
        <v>278</v>
      </c>
      <c r="N102" s="484" t="s">
        <v>279</v>
      </c>
      <c r="O102" s="484" t="s">
        <v>280</v>
      </c>
      <c r="P102" s="485" t="s">
        <v>883</v>
      </c>
    </row>
    <row r="103" spans="2:17" ht="18" customHeight="1" x14ac:dyDescent="0.3">
      <c r="B103" s="15"/>
      <c r="C103" s="18" t="e" cm="1" vm="1">
        <f t="array" ref="C103">-SUM(_xlfn._xlws.FILTER(Table_Main[Hoa hồng],
(Table_Main[Mã SKU] = Table_KeHoach_ChiPhiHoaHong[[#This Row],[Kế hoạch chi phí hoa hồng]]) *
(Table_Main[Ngày lên đơn] &gt;= BCQT_BatDau) *
(Table_Main[Ngày lên đơn] &lt; BCQT_KetThuc)
)) /
ROUND((BCQT_KetThuc-BCQT_BatDau)/(365.25/12),0)</f>
        <v>#VALUE!</v>
      </c>
      <c r="D103" s="18" t="e">
        <f>-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f>
        <v>#N/A</v>
      </c>
      <c r="E103" s="18" t="e">
        <f>-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f>
        <v>#N/A</v>
      </c>
      <c r="F103" s="18" t="e">
        <f>-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f>
        <v>#N/A</v>
      </c>
      <c r="G103" s="18" t="e">
        <f>-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f>
        <v>#N/A</v>
      </c>
      <c r="H103" s="18" t="e">
        <f>-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f>
        <v>#N/A</v>
      </c>
      <c r="I103" s="18" t="e">
        <f>-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f>
        <v>#N/A</v>
      </c>
      <c r="J103" s="18" t="e">
        <f>-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f>
        <v>#N/A</v>
      </c>
      <c r="K103" s="18" t="e">
        <f>-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f>
        <v>#N/A</v>
      </c>
      <c r="L103" s="18" t="e">
        <f>-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f>
        <v>#N/A</v>
      </c>
      <c r="M103" s="18" t="e">
        <f>-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f>
        <v>#N/A</v>
      </c>
      <c r="N103" s="18" t="e">
        <f>-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f>
        <v>#N/A</v>
      </c>
      <c r="O103" s="18" t="e">
        <f>-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f>
        <v>#N/A</v>
      </c>
      <c r="P103" s="18"/>
    </row>
    <row r="104" spans="2:17" ht="18" customHeight="1" x14ac:dyDescent="0.15">
      <c r="B104" s="487" t="s">
        <v>1039</v>
      </c>
      <c r="C104" s="491" t="e" vm="2">
        <f>SUBTOTAL(109,Table_KeHoach_ChiPhiHoaHong[Tham chiếu])</f>
        <v>#VALUE!</v>
      </c>
      <c r="D104" s="491" t="e">
        <f>SUBTOTAL(109,Table_KeHoach_ChiPhiHoaHong[Tháng 1])</f>
        <v>#N/A</v>
      </c>
      <c r="E104" s="491" t="e">
        <f>SUBTOTAL(109,Table_KeHoach_ChiPhiHoaHong[Tháng 2])</f>
        <v>#N/A</v>
      </c>
      <c r="F104" s="491" t="e">
        <f>SUBTOTAL(109,Table_KeHoach_ChiPhiHoaHong[Tháng 3])</f>
        <v>#N/A</v>
      </c>
      <c r="G104" s="491" t="e">
        <f>SUBTOTAL(109,Table_KeHoach_ChiPhiHoaHong[Tháng 4])</f>
        <v>#N/A</v>
      </c>
      <c r="H104" s="491" t="e">
        <f>SUBTOTAL(109,Table_KeHoach_ChiPhiHoaHong[Tháng 5])</f>
        <v>#N/A</v>
      </c>
      <c r="I104" s="491" t="e">
        <f>SUBTOTAL(109,Table_KeHoach_ChiPhiHoaHong[Tháng 6])</f>
        <v>#N/A</v>
      </c>
      <c r="J104" s="491" t="e">
        <f>SUBTOTAL(109,Table_KeHoach_ChiPhiHoaHong[Tháng 7])</f>
        <v>#N/A</v>
      </c>
      <c r="K104" s="491" t="e">
        <f>SUBTOTAL(109,Table_KeHoach_ChiPhiHoaHong[Tháng 8])</f>
        <v>#N/A</v>
      </c>
      <c r="L104" s="491" t="e">
        <f>SUBTOTAL(109,Table_KeHoach_ChiPhiHoaHong[Tháng 9])</f>
        <v>#N/A</v>
      </c>
      <c r="M104" s="491" t="e">
        <f>SUBTOTAL(109,Table_KeHoach_ChiPhiHoaHong[Tháng 10])</f>
        <v>#N/A</v>
      </c>
      <c r="N104" s="491" t="e">
        <f>SUBTOTAL(109,Table_KeHoach_ChiPhiHoaHong[Tháng 11])</f>
        <v>#N/A</v>
      </c>
      <c r="O104" s="491" t="e">
        <f>SUBTOTAL(109,Table_KeHoach_ChiPhiHoaHong[Tháng 12])</f>
        <v>#N/A</v>
      </c>
      <c r="P104" s="491"/>
    </row>
    <row r="106" spans="2:17" ht="18" customHeight="1" x14ac:dyDescent="0.3">
      <c r="B106" s="7" t="s">
        <v>1055</v>
      </c>
      <c r="P106" s="45"/>
    </row>
    <row r="107" spans="2:17" ht="18" customHeight="1" x14ac:dyDescent="0.3">
      <c r="B107" s="492" t="s">
        <v>338</v>
      </c>
      <c r="C107" s="482" t="s">
        <v>268</v>
      </c>
      <c r="D107" s="482" t="s">
        <v>269</v>
      </c>
      <c r="E107" s="482" t="s">
        <v>270</v>
      </c>
      <c r="F107" s="482" t="s">
        <v>271</v>
      </c>
      <c r="G107" s="482" t="s">
        <v>272</v>
      </c>
      <c r="H107" s="482" t="s">
        <v>273</v>
      </c>
      <c r="I107" s="482" t="s">
        <v>274</v>
      </c>
      <c r="J107" s="482" t="s">
        <v>275</v>
      </c>
      <c r="K107" s="482" t="s">
        <v>276</v>
      </c>
      <c r="L107" s="482" t="s">
        <v>277</v>
      </c>
      <c r="M107" s="482" t="s">
        <v>278</v>
      </c>
      <c r="N107" s="482" t="s">
        <v>279</v>
      </c>
      <c r="O107" s="482" t="s">
        <v>280</v>
      </c>
      <c r="P107" s="483" t="s">
        <v>883</v>
      </c>
    </row>
    <row r="108" spans="2:17" ht="18" customHeight="1" x14ac:dyDescent="0.3">
      <c r="B108" s="45"/>
      <c r="C108" s="68" t="e" cm="1">
        <f t="array" ref="C108">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8" s="68"/>
      <c r="E108" s="68"/>
      <c r="F108" s="68"/>
      <c r="G108" s="68"/>
      <c r="H108" s="68"/>
      <c r="I108" s="68"/>
      <c r="J108" s="68"/>
      <c r="K108" s="68"/>
      <c r="L108" s="68"/>
      <c r="M108" s="68"/>
      <c r="N108" s="68"/>
      <c r="O108" s="68"/>
      <c r="P108" s="68"/>
    </row>
    <row r="109" spans="2:17" ht="18" customHeight="1" x14ac:dyDescent="0.3">
      <c r="B109" s="28"/>
      <c r="C109" s="106"/>
      <c r="D109" s="28"/>
      <c r="E109" s="28"/>
      <c r="F109" s="28"/>
      <c r="G109" s="28"/>
      <c r="H109" s="28"/>
      <c r="I109" s="28"/>
      <c r="J109" s="28"/>
      <c r="K109" s="28"/>
      <c r="L109" s="28"/>
      <c r="M109" s="28"/>
      <c r="N109" s="28"/>
      <c r="O109" s="28"/>
      <c r="P109" s="28"/>
    </row>
    <row r="110" spans="2:17" ht="18" customHeight="1" x14ac:dyDescent="0.3">
      <c r="B110" s="7" t="s">
        <v>1056</v>
      </c>
      <c r="C110" s="106"/>
      <c r="D110" s="28"/>
      <c r="E110" s="28"/>
      <c r="F110" s="28"/>
      <c r="G110" s="28"/>
      <c r="H110" s="28"/>
      <c r="I110" s="28"/>
      <c r="J110" s="28"/>
      <c r="K110" s="28"/>
      <c r="L110" s="28"/>
      <c r="M110" s="28"/>
      <c r="N110" s="28"/>
      <c r="O110" s="28"/>
      <c r="P110" s="18"/>
    </row>
    <row r="111" spans="2:17" ht="18" customHeight="1" x14ac:dyDescent="0.3">
      <c r="B111" s="45" t="s">
        <v>337</v>
      </c>
      <c r="C111" s="482" t="s">
        <v>268</v>
      </c>
      <c r="D111" s="482" t="s">
        <v>269</v>
      </c>
      <c r="E111" s="482" t="s">
        <v>270</v>
      </c>
      <c r="F111" s="482" t="s">
        <v>271</v>
      </c>
      <c r="G111" s="482" t="s">
        <v>272</v>
      </c>
      <c r="H111" s="482" t="s">
        <v>273</v>
      </c>
      <c r="I111" s="482" t="s">
        <v>274</v>
      </c>
      <c r="J111" s="482" t="s">
        <v>275</v>
      </c>
      <c r="K111" s="482" t="s">
        <v>276</v>
      </c>
      <c r="L111" s="482" t="s">
        <v>277</v>
      </c>
      <c r="M111" s="482" t="s">
        <v>278</v>
      </c>
      <c r="N111" s="482" t="s">
        <v>279</v>
      </c>
      <c r="O111" s="482" t="s">
        <v>280</v>
      </c>
      <c r="P111" s="483" t="s">
        <v>883</v>
      </c>
    </row>
    <row r="112" spans="2:17" ht="18" customHeight="1" x14ac:dyDescent="0.3">
      <c r="B112" s="45"/>
      <c r="C112" s="68" cm="1">
        <f t="array" ref="C112">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2" s="68"/>
      <c r="E112" s="68"/>
      <c r="F112" s="68"/>
      <c r="G112" s="68"/>
      <c r="H112" s="68"/>
      <c r="I112" s="68"/>
      <c r="J112" s="68"/>
      <c r="K112" s="68"/>
      <c r="L112" s="68"/>
      <c r="M112" s="68"/>
      <c r="N112" s="68"/>
      <c r="O112" s="68"/>
      <c r="P112" s="68"/>
    </row>
    <row r="113" spans="2:16" ht="18" customHeight="1" x14ac:dyDescent="0.3">
      <c r="B113" s="28"/>
      <c r="C113" s="106"/>
      <c r="D113" s="28"/>
      <c r="E113" s="28"/>
      <c r="F113" s="28"/>
      <c r="G113" s="28"/>
      <c r="H113" s="28"/>
      <c r="I113" s="28"/>
      <c r="J113" s="28"/>
      <c r="K113" s="28"/>
      <c r="L113" s="28"/>
      <c r="M113" s="28"/>
      <c r="N113" s="28"/>
    </row>
    <row r="114" spans="2:16" ht="18" customHeight="1" x14ac:dyDescent="0.3">
      <c r="B114" s="21" t="s">
        <v>1057</v>
      </c>
      <c r="C114" s="106"/>
      <c r="D114" s="28"/>
      <c r="E114" s="28"/>
      <c r="F114" s="28"/>
      <c r="G114" s="28"/>
      <c r="H114" s="28"/>
      <c r="I114" s="28"/>
      <c r="J114" s="28"/>
      <c r="K114" s="28"/>
      <c r="L114" s="28"/>
      <c r="M114" s="28"/>
      <c r="N114" s="28"/>
      <c r="P114" s="86"/>
    </row>
    <row r="115" spans="2:16" ht="18" customHeight="1" x14ac:dyDescent="0.3">
      <c r="B115" s="488" t="s">
        <v>339</v>
      </c>
      <c r="C115" s="484" t="s">
        <v>268</v>
      </c>
      <c r="D115" s="484" t="s">
        <v>269</v>
      </c>
      <c r="E115" s="484" t="s">
        <v>270</v>
      </c>
      <c r="F115" s="484" t="s">
        <v>271</v>
      </c>
      <c r="G115" s="484" t="s">
        <v>272</v>
      </c>
      <c r="H115" s="484" t="s">
        <v>273</v>
      </c>
      <c r="I115" s="484" t="s">
        <v>274</v>
      </c>
      <c r="J115" s="484" t="s">
        <v>275</v>
      </c>
      <c r="K115" s="484" t="s">
        <v>276</v>
      </c>
      <c r="L115" s="484" t="s">
        <v>277</v>
      </c>
      <c r="M115" s="484" t="s">
        <v>278</v>
      </c>
      <c r="N115" s="484" t="s">
        <v>279</v>
      </c>
      <c r="O115" s="484" t="s">
        <v>280</v>
      </c>
      <c r="P115" s="485" t="s">
        <v>883</v>
      </c>
    </row>
    <row r="116" spans="2:16" ht="18" customHeight="1" x14ac:dyDescent="0.3">
      <c r="B116" s="15"/>
      <c r="C116" s="18" t="e" cm="1">
        <f t="array" ref="C116">-IFERROR(
SUM(_xlfn._xlws.FILTER(Table_ThuChiKD[Phí GD],
(Table_ThuChiKD[TK GD] = Table_KeHoach_ChiPhiThanhToan[[#This Row],[Kế hoạch chi phí thanh toán]]) *
(Table_ThuChiKD[Ngày GD] &gt;=BCQT_BatDau) *
(Table_ThuChiKD[Ngày GD] &lt; BCQT_KetThuc )
)),0)/
ROUND((BCQT_KetThuc-BCQT_BatDau)/(365.25/12),0)</f>
        <v>#DIV/0!</v>
      </c>
      <c r="D116" s="18" t="e">
        <f>-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f>
        <v>#N/A</v>
      </c>
      <c r="E116" s="18" t="e">
        <f>-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f>
        <v>#N/A</v>
      </c>
      <c r="F116" s="18" t="e">
        <f>-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f>
        <v>#N/A</v>
      </c>
      <c r="G116" s="18" t="e">
        <f>-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f>
        <v>#N/A</v>
      </c>
      <c r="H116" s="18" t="e">
        <f>-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f>
        <v>#N/A</v>
      </c>
      <c r="I116" s="18" t="e">
        <f>-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f>
        <v>#N/A</v>
      </c>
      <c r="J116" s="18" t="e">
        <f>-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f>
        <v>#N/A</v>
      </c>
      <c r="K116" s="18" t="e">
        <f>-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f>
        <v>#N/A</v>
      </c>
      <c r="L116" s="18" t="e">
        <f>-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f>
        <v>#N/A</v>
      </c>
      <c r="M116" s="18" t="e">
        <f>-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f>
        <v>#N/A</v>
      </c>
      <c r="N116" s="18" t="e">
        <f>-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f>
        <v>#N/A</v>
      </c>
      <c r="O116" s="18" t="e">
        <f>-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f>
        <v>#N/A</v>
      </c>
      <c r="P116" s="18"/>
    </row>
    <row r="117" spans="2:16" ht="18" customHeight="1" x14ac:dyDescent="0.3">
      <c r="B117" s="487" t="s">
        <v>1039</v>
      </c>
      <c r="C117" s="487" t="e">
        <f>SUBTOTAL(109,Table_KeHoach_ChiPhiThanhToan[Tham chiếu])</f>
        <v>#DIV/0!</v>
      </c>
      <c r="D117" s="487" t="e">
        <f>SUBTOTAL(109,Table_KeHoach_ChiPhiThanhToan[Tháng 1])</f>
        <v>#N/A</v>
      </c>
      <c r="E117" s="487" t="e">
        <f>SUBTOTAL(109,Table_KeHoach_ChiPhiThanhToan[Tháng 2])</f>
        <v>#N/A</v>
      </c>
      <c r="F117" s="487" t="e">
        <f>SUBTOTAL(109,Table_KeHoach_ChiPhiThanhToan[Tháng 3])</f>
        <v>#N/A</v>
      </c>
      <c r="G117" s="487" t="e">
        <f>SUBTOTAL(109,Table_KeHoach_ChiPhiThanhToan[Tháng 4])</f>
        <v>#N/A</v>
      </c>
      <c r="H117" s="487" t="e">
        <f>SUBTOTAL(109,Table_KeHoach_ChiPhiThanhToan[Tháng 5])</f>
        <v>#N/A</v>
      </c>
      <c r="I117" s="487" t="e">
        <f>SUBTOTAL(109,Table_KeHoach_ChiPhiThanhToan[Tháng 6])</f>
        <v>#N/A</v>
      </c>
      <c r="J117" s="487" t="e">
        <f>SUBTOTAL(109,Table_KeHoach_ChiPhiThanhToan[Tháng 7])</f>
        <v>#N/A</v>
      </c>
      <c r="K117" s="487" t="e">
        <f>SUBTOTAL(109,Table_KeHoach_ChiPhiThanhToan[Tháng 8])</f>
        <v>#N/A</v>
      </c>
      <c r="L117" s="487" t="e">
        <f>SUBTOTAL(109,Table_KeHoach_ChiPhiThanhToan[Tháng 9])</f>
        <v>#N/A</v>
      </c>
      <c r="M117" s="487" t="e">
        <f>SUBTOTAL(109,Table_KeHoach_ChiPhiThanhToan[Tháng 10])</f>
        <v>#N/A</v>
      </c>
      <c r="N117" s="487" t="e">
        <f>SUBTOTAL(109,Table_KeHoach_ChiPhiThanhToan[Tháng 11])</f>
        <v>#N/A</v>
      </c>
      <c r="O117" s="487" t="e">
        <f>SUBTOTAL(109,Table_KeHoach_ChiPhiThanhToan[Tháng 12])</f>
        <v>#N/A</v>
      </c>
      <c r="P117" s="487"/>
    </row>
    <row r="119" spans="2:16" ht="18" customHeight="1" x14ac:dyDescent="0.3">
      <c r="B119" s="7" t="s">
        <v>1058</v>
      </c>
      <c r="P119" s="68"/>
    </row>
    <row r="120" spans="2:16" ht="18" customHeight="1" x14ac:dyDescent="0.3">
      <c r="B120" s="7" t="s">
        <v>340</v>
      </c>
      <c r="C120" s="12" t="s">
        <v>268</v>
      </c>
      <c r="D120" s="16" t="s">
        <v>269</v>
      </c>
      <c r="E120" s="16" t="s">
        <v>270</v>
      </c>
      <c r="F120" s="16" t="s">
        <v>271</v>
      </c>
      <c r="G120" s="16" t="s">
        <v>272</v>
      </c>
      <c r="H120" s="16" t="s">
        <v>273</v>
      </c>
      <c r="I120" s="16" t="s">
        <v>274</v>
      </c>
      <c r="J120" s="16" t="s">
        <v>275</v>
      </c>
      <c r="K120" s="16" t="s">
        <v>276</v>
      </c>
      <c r="L120" s="16" t="s">
        <v>277</v>
      </c>
      <c r="M120" s="16" t="s">
        <v>278</v>
      </c>
      <c r="N120" s="16" t="s">
        <v>279</v>
      </c>
      <c r="O120" s="16" t="s">
        <v>280</v>
      </c>
      <c r="P120" s="4" t="s">
        <v>883</v>
      </c>
    </row>
    <row r="121" spans="2:16" ht="18" customHeight="1" x14ac:dyDescent="0.3">
      <c r="B121" s="45" t="s">
        <v>341</v>
      </c>
      <c r="C121" s="68" t="e">
        <f>-C122/SUM(Table_KeHoach_DoanhThu[Tham chiếu])</f>
        <v>#DIV/0!</v>
      </c>
      <c r="D121" s="68"/>
      <c r="E121" s="68"/>
      <c r="F121" s="68"/>
      <c r="G121" s="68"/>
      <c r="H121" s="68"/>
      <c r="I121" s="68"/>
      <c r="J121" s="68"/>
      <c r="K121" s="68"/>
      <c r="L121" s="68"/>
      <c r="M121" s="68"/>
      <c r="N121" s="68"/>
      <c r="O121" s="68"/>
      <c r="P121" s="68"/>
    </row>
    <row r="122" spans="2:16" ht="18" customHeight="1" x14ac:dyDescent="0.3">
      <c r="B122" s="486" t="s">
        <v>291</v>
      </c>
      <c r="C122" s="486" t="e" cm="1">
        <f t="array" ref="C122"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2" s="486" t="e">
        <f>-D121*HLOOKUP(D$120,Table_KeHoach_DoanhThu[#All],COUNTA(Table_KeHoach_DoanhThu[[#All],[Kế hoạch doanh thu]]),0)</f>
        <v>#N/A</v>
      </c>
      <c r="E122" s="486" t="e">
        <f>-E121*HLOOKUP(E$120,Table_KeHoach_DoanhThu[#All],COUNTA(Table_KeHoach_DoanhThu[[#All],[Kế hoạch doanh thu]]),0)</f>
        <v>#N/A</v>
      </c>
      <c r="F122" s="486" t="e">
        <f>-F121*HLOOKUP(F$120,Table_KeHoach_DoanhThu[#All],COUNTA(Table_KeHoach_DoanhThu[[#All],[Kế hoạch doanh thu]]),0)</f>
        <v>#N/A</v>
      </c>
      <c r="G122" s="486" t="e">
        <f>-G121*HLOOKUP(G$120,Table_KeHoach_DoanhThu[#All],COUNTA(Table_KeHoach_DoanhThu[[#All],[Kế hoạch doanh thu]]),0)</f>
        <v>#N/A</v>
      </c>
      <c r="H122" s="486" t="e">
        <f>-H121*HLOOKUP(H$120,Table_KeHoach_DoanhThu[#All],COUNTA(Table_KeHoach_DoanhThu[[#All],[Kế hoạch doanh thu]]),0)</f>
        <v>#N/A</v>
      </c>
      <c r="I122" s="486" t="e">
        <f>-I121*HLOOKUP(I$120,Table_KeHoach_DoanhThu[#All],COUNTA(Table_KeHoach_DoanhThu[[#All],[Kế hoạch doanh thu]]),0)</f>
        <v>#N/A</v>
      </c>
      <c r="J122" s="486" t="e">
        <f>-J121*HLOOKUP(J$120,Table_KeHoach_DoanhThu[#All],COUNTA(Table_KeHoach_DoanhThu[[#All],[Kế hoạch doanh thu]]),0)</f>
        <v>#N/A</v>
      </c>
      <c r="K122" s="486" t="e">
        <f>-K121*HLOOKUP(K$120,Table_KeHoach_DoanhThu[#All],COUNTA(Table_KeHoach_DoanhThu[[#All],[Kế hoạch doanh thu]]),0)</f>
        <v>#N/A</v>
      </c>
      <c r="L122" s="486" t="e">
        <f>-L121*HLOOKUP(L$120,Table_KeHoach_DoanhThu[#All],COUNTA(Table_KeHoach_DoanhThu[[#All],[Kế hoạch doanh thu]]),0)</f>
        <v>#N/A</v>
      </c>
      <c r="M122" s="486" t="e">
        <f>-M121*HLOOKUP(M$120,Table_KeHoach_DoanhThu[#All],COUNTA(Table_KeHoach_DoanhThu[[#All],[Kế hoạch doanh thu]]),0)</f>
        <v>#N/A</v>
      </c>
      <c r="N122" s="486" t="e">
        <f>-N121*HLOOKUP(N$120,Table_KeHoach_DoanhThu[#All],COUNTA(Table_KeHoach_DoanhThu[[#All],[Kế hoạch doanh thu]]),0)</f>
        <v>#N/A</v>
      </c>
      <c r="O122" s="486" t="e">
        <f>-O121*HLOOKUP(O$120,Table_KeHoach_DoanhThu[#All],COUNTA(Table_KeHoach_DoanhThu[[#All],[Kế hoạch doanh thu]]),0)</f>
        <v>#N/A</v>
      </c>
      <c r="P122" s="486">
        <f>-P121*HLOOKUP(P$120,Table_KeHoach_DoanhThu[#All],COUNTA(Table_KeHoach_DoanhThu[[#All],[Kế hoạch doanh thu]]),0)</f>
        <v>0</v>
      </c>
    </row>
    <row r="124" spans="2:16" ht="18" customHeight="1" x14ac:dyDescent="0.3">
      <c r="B124" s="7" t="s">
        <v>1059</v>
      </c>
    </row>
    <row r="125" spans="2:16" ht="18" customHeight="1" x14ac:dyDescent="0.3">
      <c r="B125" s="15" t="s">
        <v>342</v>
      </c>
      <c r="C125" s="484" t="s">
        <v>268</v>
      </c>
      <c r="D125" s="484" t="s">
        <v>269</v>
      </c>
      <c r="E125" s="484" t="s">
        <v>270</v>
      </c>
      <c r="F125" s="484" t="s">
        <v>271</v>
      </c>
      <c r="G125" s="484" t="s">
        <v>272</v>
      </c>
      <c r="H125" s="484" t="s">
        <v>273</v>
      </c>
      <c r="I125" s="484" t="s">
        <v>274</v>
      </c>
      <c r="J125" s="484" t="s">
        <v>275</v>
      </c>
      <c r="K125" s="484" t="s">
        <v>276</v>
      </c>
      <c r="L125" s="484" t="s">
        <v>277</v>
      </c>
      <c r="M125" s="484" t="s">
        <v>278</v>
      </c>
      <c r="N125" s="484" t="s">
        <v>279</v>
      </c>
      <c r="O125" s="484" t="s">
        <v>280</v>
      </c>
      <c r="P125" s="485" t="s">
        <v>883</v>
      </c>
    </row>
    <row r="126" spans="2:16" ht="18" customHeight="1" x14ac:dyDescent="0.3">
      <c r="B126" s="15"/>
      <c r="C126" s="15" t="e">
        <f>-VLOOKUP(Table_KeHoach_LuongNet[[#This Row],[Kế hoạch lương gross]],Table_NhanVien[],COUNTA(Table_NhanVien[[#Headers],[Mã NV]:[Lương gross]]),0)</f>
        <v>#N/A</v>
      </c>
      <c r="D126" s="15"/>
      <c r="E126" s="15"/>
      <c r="F126" s="15"/>
      <c r="G126" s="15"/>
      <c r="H126" s="15"/>
      <c r="I126" s="15"/>
      <c r="J126" s="15"/>
      <c r="K126" s="15"/>
      <c r="L126" s="15"/>
      <c r="M126" s="15"/>
      <c r="N126" s="15"/>
      <c r="O126" s="15"/>
      <c r="P126" s="15"/>
    </row>
    <row r="128" spans="2:16" ht="18" customHeight="1" x14ac:dyDescent="0.3">
      <c r="B128" s="7" t="s">
        <v>1060</v>
      </c>
      <c r="P128" s="85"/>
    </row>
    <row r="129" spans="2:16" ht="18" customHeight="1" x14ac:dyDescent="0.3">
      <c r="B129" s="488" t="s">
        <v>1079</v>
      </c>
      <c r="C129" s="484" t="s">
        <v>268</v>
      </c>
      <c r="D129" s="484" t="s">
        <v>269</v>
      </c>
      <c r="E129" s="484" t="s">
        <v>270</v>
      </c>
      <c r="F129" s="484" t="s">
        <v>271</v>
      </c>
      <c r="G129" s="484" t="s">
        <v>272</v>
      </c>
      <c r="H129" s="484" t="s">
        <v>273</v>
      </c>
      <c r="I129" s="484" t="s">
        <v>274</v>
      </c>
      <c r="J129" s="484" t="s">
        <v>275</v>
      </c>
      <c r="K129" s="484" t="s">
        <v>276</v>
      </c>
      <c r="L129" s="484" t="s">
        <v>277</v>
      </c>
      <c r="M129" s="484" t="s">
        <v>278</v>
      </c>
      <c r="N129" s="484" t="s">
        <v>279</v>
      </c>
      <c r="O129" s="484" t="s">
        <v>280</v>
      </c>
      <c r="P129" s="485" t="s">
        <v>883</v>
      </c>
    </row>
    <row r="130" spans="2:16" ht="18" customHeight="1" x14ac:dyDescent="0.3">
      <c r="B130" s="15"/>
      <c r="C130" s="18" t="e" cm="1">
        <f t="array" ref="C130"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30" s="18" t="e">
        <f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30" s="18" t="e">
        <f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30" s="18" t="e">
        <f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30" s="18" t="e">
        <f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30" s="18" t="e">
        <f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30" s="18" t="e">
        <f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30" s="18" t="e">
        <f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30" s="18" t="e">
        <f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30" s="18" t="e">
        <f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30" s="18" t="e">
        <f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30" s="18" t="e">
        <f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30" s="18" t="e">
        <f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30" s="18"/>
    </row>
    <row r="131" spans="2:16" ht="18" customHeight="1" x14ac:dyDescent="0.3">
      <c r="B131" s="505" t="s">
        <v>1039</v>
      </c>
      <c r="C131" s="505" t="e">
        <f>SUBTOTAL(109,Table_KeHoach_LuongGross[Tham chiếu])</f>
        <v>#DIV/0!</v>
      </c>
      <c r="D131" s="505" t="e">
        <f>SUBTOTAL(109,Table_KeHoach_LuongGross[Tháng 1])</f>
        <v>#N/A</v>
      </c>
      <c r="E131" s="505" t="e">
        <f>SUBTOTAL(109,Table_KeHoach_LuongGross[Tháng 2])</f>
        <v>#N/A</v>
      </c>
      <c r="F131" s="505" t="e">
        <f>SUBTOTAL(109,Table_KeHoach_LuongGross[Tháng 3])</f>
        <v>#N/A</v>
      </c>
      <c r="G131" s="505" t="e">
        <f>SUBTOTAL(109,Table_KeHoach_LuongGross[Tháng 4])</f>
        <v>#N/A</v>
      </c>
      <c r="H131" s="505" t="e">
        <f>SUBTOTAL(109,Table_KeHoach_LuongGross[Tháng 5])</f>
        <v>#N/A</v>
      </c>
      <c r="I131" s="505" t="e">
        <f>SUBTOTAL(109,Table_KeHoach_LuongGross[Tháng 6])</f>
        <v>#N/A</v>
      </c>
      <c r="J131" s="505" t="e">
        <f>SUBTOTAL(109,Table_KeHoach_LuongGross[Tháng 7])</f>
        <v>#N/A</v>
      </c>
      <c r="K131" s="505" t="e">
        <f>SUBTOTAL(109,Table_KeHoach_LuongGross[Tháng 8])</f>
        <v>#N/A</v>
      </c>
      <c r="L131" s="505" t="e">
        <f>SUBTOTAL(109,Table_KeHoach_LuongGross[Tháng 9])</f>
        <v>#N/A</v>
      </c>
      <c r="M131" s="505" t="e">
        <f>SUBTOTAL(109,Table_KeHoach_LuongGross[Tháng 10])</f>
        <v>#N/A</v>
      </c>
      <c r="N131" s="505" t="e">
        <f>SUBTOTAL(109,Table_KeHoach_LuongGross[Tháng 11])</f>
        <v>#N/A</v>
      </c>
      <c r="O131" s="505" t="e">
        <f>SUBTOTAL(109,Table_KeHoach_LuongGross[Tháng 12])</f>
        <v>#N/A</v>
      </c>
      <c r="P131" s="505"/>
    </row>
    <row r="133" spans="2:16" ht="18" customHeight="1" x14ac:dyDescent="0.3">
      <c r="B133" s="7" t="s">
        <v>1061</v>
      </c>
      <c r="P133" s="212"/>
    </row>
    <row r="134" spans="2:16" ht="18" customHeight="1" x14ac:dyDescent="0.3">
      <c r="B134" s="15" t="s">
        <v>343</v>
      </c>
      <c r="C134" s="484" t="s">
        <v>268</v>
      </c>
      <c r="D134" s="484" t="s">
        <v>269</v>
      </c>
      <c r="E134" s="484" t="s">
        <v>270</v>
      </c>
      <c r="F134" s="484" t="s">
        <v>271</v>
      </c>
      <c r="G134" s="484" t="s">
        <v>272</v>
      </c>
      <c r="H134" s="484" t="s">
        <v>273</v>
      </c>
      <c r="I134" s="484" t="s">
        <v>274</v>
      </c>
      <c r="J134" s="484" t="s">
        <v>275</v>
      </c>
      <c r="K134" s="484" t="s">
        <v>276</v>
      </c>
      <c r="L134" s="484" t="s">
        <v>277</v>
      </c>
      <c r="M134" s="484" t="s">
        <v>278</v>
      </c>
      <c r="N134" s="484" t="s">
        <v>279</v>
      </c>
      <c r="O134" s="484" t="s">
        <v>280</v>
      </c>
      <c r="P134" s="485" t="s">
        <v>883</v>
      </c>
    </row>
    <row r="135" spans="2:16" ht="18" customHeight="1" x14ac:dyDescent="0.3">
      <c r="B135" s="15"/>
      <c r="C135" s="15" t="e" cm="1">
        <f t="array" ref="C135"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5" s="15"/>
      <c r="E135" s="15"/>
      <c r="F135" s="15"/>
      <c r="G135" s="15"/>
      <c r="H135" s="15"/>
      <c r="I135" s="15"/>
      <c r="J135" s="15"/>
      <c r="K135" s="15"/>
      <c r="L135" s="15"/>
      <c r="M135" s="15"/>
      <c r="N135" s="15"/>
      <c r="O135" s="15"/>
      <c r="P135" s="15"/>
    </row>
    <row r="136" spans="2:16" ht="18" customHeight="1" x14ac:dyDescent="0.3">
      <c r="B136" s="487" t="s">
        <v>1039</v>
      </c>
      <c r="C136" s="487" t="e">
        <f>SUBTOTAL(109,Table_KeHoach_ThuongNhanSu[Tham chiếu])</f>
        <v>#DIV/0!</v>
      </c>
      <c r="D136" s="487">
        <f>SUBTOTAL(109,Table_KeHoach_ThuongNhanSu[Tháng 1])</f>
        <v>0</v>
      </c>
      <c r="E136" s="487">
        <f>SUBTOTAL(109,Table_KeHoach_ThuongNhanSu[Tháng 2])</f>
        <v>0</v>
      </c>
      <c r="F136" s="487">
        <f>SUBTOTAL(109,Table_KeHoach_ThuongNhanSu[Tháng 3])</f>
        <v>0</v>
      </c>
      <c r="G136" s="487">
        <f>SUBTOTAL(109,Table_KeHoach_ThuongNhanSu[Tháng 4])</f>
        <v>0</v>
      </c>
      <c r="H136" s="487">
        <f>SUBTOTAL(109,Table_KeHoach_ThuongNhanSu[Tháng 5])</f>
        <v>0</v>
      </c>
      <c r="I136" s="487">
        <f>SUBTOTAL(109,Table_KeHoach_ThuongNhanSu[Tháng 6])</f>
        <v>0</v>
      </c>
      <c r="J136" s="487">
        <f>SUBTOTAL(109,Table_KeHoach_ThuongNhanSu[Tháng 7])</f>
        <v>0</v>
      </c>
      <c r="K136" s="487">
        <f>SUBTOTAL(109,Table_KeHoach_ThuongNhanSu[Tháng 8])</f>
        <v>0</v>
      </c>
      <c r="L136" s="487">
        <f>SUBTOTAL(109,Table_KeHoach_ThuongNhanSu[Tháng 9])</f>
        <v>0</v>
      </c>
      <c r="M136" s="487">
        <f>SUBTOTAL(109,Table_KeHoach_ThuongNhanSu[Tháng 10])</f>
        <v>0</v>
      </c>
      <c r="N136" s="487">
        <f>SUBTOTAL(109,Table_KeHoach_ThuongNhanSu[Tháng 11])</f>
        <v>0</v>
      </c>
      <c r="O136" s="487">
        <f>SUBTOTAL(109,Table_KeHoach_ThuongNhanSu[Tháng 12])</f>
        <v>0</v>
      </c>
      <c r="P136" s="487"/>
    </row>
    <row r="138" spans="2:16" ht="18" customHeight="1" x14ac:dyDescent="0.3">
      <c r="B138" s="7" t="s">
        <v>1062</v>
      </c>
      <c r="P138" s="18"/>
    </row>
    <row r="139" spans="2:16" ht="18" customHeight="1" x14ac:dyDescent="0.3">
      <c r="B139" s="15" t="s">
        <v>344</v>
      </c>
      <c r="C139" s="484" t="s">
        <v>268</v>
      </c>
      <c r="D139" s="484" t="s">
        <v>269</v>
      </c>
      <c r="E139" s="484" t="s">
        <v>270</v>
      </c>
      <c r="F139" s="484" t="s">
        <v>271</v>
      </c>
      <c r="G139" s="484" t="s">
        <v>272</v>
      </c>
      <c r="H139" s="484" t="s">
        <v>273</v>
      </c>
      <c r="I139" s="484" t="s">
        <v>274</v>
      </c>
      <c r="J139" s="484" t="s">
        <v>275</v>
      </c>
      <c r="K139" s="484" t="s">
        <v>276</v>
      </c>
      <c r="L139" s="484" t="s">
        <v>277</v>
      </c>
      <c r="M139" s="484" t="s">
        <v>278</v>
      </c>
      <c r="N139" s="484" t="s">
        <v>279</v>
      </c>
      <c r="O139" s="484" t="s">
        <v>280</v>
      </c>
      <c r="P139" s="485" t="s">
        <v>883</v>
      </c>
    </row>
    <row r="140" spans="2:16" ht="18" customHeight="1" x14ac:dyDescent="0.3">
      <c r="B140" s="418" t="s">
        <v>345</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8" t="s">
        <v>346</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3">
      <c r="B142" s="418" t="s">
        <v>347</v>
      </c>
      <c r="C142" s="15" t="e" cm="1">
        <f t="array" ref="C142"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2" s="15"/>
      <c r="E142" s="15"/>
      <c r="F142" s="15"/>
      <c r="G142" s="15"/>
      <c r="H142" s="15"/>
      <c r="I142" s="15"/>
      <c r="J142" s="15"/>
      <c r="K142" s="15"/>
      <c r="L142" s="15"/>
      <c r="M142" s="15"/>
      <c r="N142" s="15"/>
      <c r="O142" s="15"/>
      <c r="P142" s="15"/>
    </row>
    <row r="143" spans="2:16" ht="18" customHeight="1" x14ac:dyDescent="0.15">
      <c r="B143" s="487" t="s">
        <v>1039</v>
      </c>
      <c r="C143" s="491" t="e">
        <f>SUBTOTAL(109,Table_KeHoach_ChiPhiBanHang[Tham chiếu])</f>
        <v>#DIV/0!</v>
      </c>
      <c r="D143" s="491">
        <f>SUBTOTAL(109,Table_KeHoach_ChiPhiBanHang[Tháng 1])</f>
        <v>0</v>
      </c>
      <c r="E143" s="491">
        <f>SUBTOTAL(109,Table_KeHoach_ChiPhiBanHang[Tháng 2])</f>
        <v>0</v>
      </c>
      <c r="F143" s="491">
        <f>SUBTOTAL(109,Table_KeHoach_ChiPhiBanHang[Tháng 3])</f>
        <v>0</v>
      </c>
      <c r="G143" s="491">
        <f>SUBTOTAL(109,Table_KeHoach_ChiPhiBanHang[Tháng 4])</f>
        <v>0</v>
      </c>
      <c r="H143" s="491">
        <f>SUBTOTAL(109,Table_KeHoach_ChiPhiBanHang[Tháng 5])</f>
        <v>0</v>
      </c>
      <c r="I143" s="491">
        <f>SUBTOTAL(109,Table_KeHoach_ChiPhiBanHang[Tháng 6])</f>
        <v>0</v>
      </c>
      <c r="J143" s="491">
        <f>SUBTOTAL(109,Table_KeHoach_ChiPhiBanHang[Tháng 7])</f>
        <v>0</v>
      </c>
      <c r="K143" s="491">
        <f>SUBTOTAL(109,Table_KeHoach_ChiPhiBanHang[Tháng 8])</f>
        <v>0</v>
      </c>
      <c r="L143" s="491">
        <f>SUBTOTAL(109,Table_KeHoach_ChiPhiBanHang[Tháng 9])</f>
        <v>0</v>
      </c>
      <c r="M143" s="491">
        <f>SUBTOTAL(109,Table_KeHoach_ChiPhiBanHang[Tháng 10])</f>
        <v>0</v>
      </c>
      <c r="N143" s="491">
        <f>SUBTOTAL(109,Table_KeHoach_ChiPhiBanHang[Tháng 11])</f>
        <v>0</v>
      </c>
      <c r="O143" s="491">
        <f>SUBTOTAL(109,Table_KeHoach_ChiPhiBanHang[Tháng 12])</f>
        <v>0</v>
      </c>
      <c r="P143" s="487"/>
    </row>
    <row r="144" spans="2:16" ht="18" customHeight="1" x14ac:dyDescent="0.3">
      <c r="B144" s="28"/>
      <c r="C144" s="106"/>
      <c r="D144" s="28"/>
      <c r="E144" s="28"/>
      <c r="F144" s="28"/>
      <c r="G144" s="28"/>
      <c r="H144" s="28"/>
      <c r="I144" s="28"/>
      <c r="J144" s="28"/>
      <c r="K144" s="28"/>
      <c r="L144" s="28"/>
      <c r="M144" s="28"/>
      <c r="N144" s="28"/>
      <c r="O144" s="28"/>
      <c r="P144" s="28"/>
    </row>
    <row r="145" spans="2:16" ht="18" customHeight="1" x14ac:dyDescent="0.3">
      <c r="B145" s="7" t="s">
        <v>1063</v>
      </c>
      <c r="C145" s="106"/>
      <c r="D145" s="28"/>
      <c r="E145" s="28"/>
      <c r="F145" s="28"/>
      <c r="G145" s="28"/>
      <c r="H145" s="28"/>
      <c r="I145" s="28"/>
      <c r="J145" s="28"/>
      <c r="K145" s="28"/>
      <c r="L145" s="28"/>
      <c r="M145" s="28"/>
      <c r="N145" s="28"/>
      <c r="O145" s="28"/>
      <c r="P145" s="16"/>
    </row>
    <row r="146" spans="2:16" ht="18" customHeight="1" x14ac:dyDescent="0.3">
      <c r="B146" s="15" t="s">
        <v>344</v>
      </c>
      <c r="C146" s="484" t="s">
        <v>268</v>
      </c>
      <c r="D146" s="484" t="s">
        <v>269</v>
      </c>
      <c r="E146" s="484" t="s">
        <v>270</v>
      </c>
      <c r="F146" s="484" t="s">
        <v>271</v>
      </c>
      <c r="G146" s="484" t="s">
        <v>272</v>
      </c>
      <c r="H146" s="484" t="s">
        <v>273</v>
      </c>
      <c r="I146" s="484" t="s">
        <v>274</v>
      </c>
      <c r="J146" s="484" t="s">
        <v>275</v>
      </c>
      <c r="K146" s="484" t="s">
        <v>276</v>
      </c>
      <c r="L146" s="484" t="s">
        <v>277</v>
      </c>
      <c r="M146" s="484" t="s">
        <v>278</v>
      </c>
      <c r="N146" s="484" t="s">
        <v>279</v>
      </c>
      <c r="O146" s="484" t="s">
        <v>280</v>
      </c>
      <c r="P146" s="485" t="s">
        <v>883</v>
      </c>
    </row>
    <row r="147" spans="2:16" ht="18" customHeight="1" x14ac:dyDescent="0.3">
      <c r="B147" s="15" t="s">
        <v>348</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18" t="s">
        <v>349</v>
      </c>
      <c r="C148" s="15" t="e" cm="1">
        <f t="array" ref="C148"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8" s="15"/>
      <c r="E148" s="15"/>
      <c r="F148" s="15"/>
      <c r="G148" s="15"/>
      <c r="H148" s="15"/>
      <c r="I148" s="15"/>
      <c r="J148" s="15"/>
      <c r="K148" s="15"/>
      <c r="L148" s="15"/>
      <c r="M148" s="15"/>
      <c r="N148" s="15"/>
      <c r="O148" s="15"/>
      <c r="P148" s="15"/>
    </row>
    <row r="149" spans="2:16" ht="18" customHeight="1" x14ac:dyDescent="0.3">
      <c r="B149" s="487" t="s">
        <v>1039</v>
      </c>
      <c r="C149" s="487" t="e">
        <f>SUBTOTAL(109,Table_KeHoach_ChiPhiKhac[Tham chiếu])</f>
        <v>#DIV/0!</v>
      </c>
      <c r="D149" s="487">
        <f>SUBTOTAL(109,Table_KeHoach_ChiPhiKhac[Tháng 1])</f>
        <v>0</v>
      </c>
      <c r="E149" s="487">
        <f>SUBTOTAL(109,Table_KeHoach_ChiPhiKhac[Tháng 2])</f>
        <v>0</v>
      </c>
      <c r="F149" s="487">
        <f>SUBTOTAL(109,Table_KeHoach_ChiPhiKhac[Tháng 3])</f>
        <v>0</v>
      </c>
      <c r="G149" s="487">
        <f>SUBTOTAL(109,Table_KeHoach_ChiPhiKhac[Tháng 4])</f>
        <v>0</v>
      </c>
      <c r="H149" s="487">
        <f>SUBTOTAL(109,Table_KeHoach_ChiPhiKhac[Tháng 5])</f>
        <v>0</v>
      </c>
      <c r="I149" s="487">
        <f>SUBTOTAL(109,Table_KeHoach_ChiPhiKhac[Tháng 6])</f>
        <v>0</v>
      </c>
      <c r="J149" s="487">
        <f>SUBTOTAL(109,Table_KeHoach_ChiPhiKhac[Tháng 7])</f>
        <v>0</v>
      </c>
      <c r="K149" s="487">
        <f>SUBTOTAL(109,Table_KeHoach_ChiPhiKhac[Tháng 8])</f>
        <v>0</v>
      </c>
      <c r="L149" s="487">
        <f>SUBTOTAL(109,Table_KeHoach_ChiPhiKhac[Tháng 9])</f>
        <v>0</v>
      </c>
      <c r="M149" s="487">
        <f>SUBTOTAL(109,Table_KeHoach_ChiPhiKhac[Tháng 10])</f>
        <v>0</v>
      </c>
      <c r="N149" s="487">
        <f>SUBTOTAL(109,Table_KeHoach_ChiPhiKhac[Tháng 11])</f>
        <v>0</v>
      </c>
      <c r="O149" s="487">
        <f>SUBTOTAL(109,Table_KeHoach_ChiPhiKhac[Tháng 12])</f>
        <v>0</v>
      </c>
      <c r="P149" s="487"/>
    </row>
    <row r="151" spans="2:16" ht="18" customHeight="1" x14ac:dyDescent="0.3">
      <c r="B151" s="7" t="s">
        <v>1063</v>
      </c>
      <c r="P151" s="16"/>
    </row>
    <row r="152" spans="2:16" ht="18" customHeight="1" x14ac:dyDescent="0.3">
      <c r="B152" s="488" t="s">
        <v>350</v>
      </c>
      <c r="C152" s="484" t="s">
        <v>268</v>
      </c>
      <c r="D152" s="484" t="s">
        <v>269</v>
      </c>
      <c r="E152" s="484" t="s">
        <v>270</v>
      </c>
      <c r="F152" s="484" t="s">
        <v>271</v>
      </c>
      <c r="G152" s="484" t="s">
        <v>272</v>
      </c>
      <c r="H152" s="484" t="s">
        <v>273</v>
      </c>
      <c r="I152" s="484" t="s">
        <v>274</v>
      </c>
      <c r="J152" s="484" t="s">
        <v>275</v>
      </c>
      <c r="K152" s="484" t="s">
        <v>276</v>
      </c>
      <c r="L152" s="484" t="s">
        <v>277</v>
      </c>
      <c r="M152" s="484" t="s">
        <v>278</v>
      </c>
      <c r="N152" s="484" t="s">
        <v>279</v>
      </c>
      <c r="O152" s="484" t="s">
        <v>280</v>
      </c>
      <c r="P152" s="485" t="s">
        <v>883</v>
      </c>
    </row>
    <row r="153" spans="2:16" ht="18" customHeight="1" x14ac:dyDescent="0.3">
      <c r="B153" s="419" t="s">
        <v>351</v>
      </c>
      <c r="C153" s="18"/>
      <c r="D153" s="18" cm="1">
        <f t="array" ref="D153">-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3" s="18" cm="1">
        <f t="array" ref="E153">-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3" s="18" cm="1">
        <f t="array" ref="F153">-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3" s="18" cm="1">
        <f t="array" ref="G153">-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3" s="18" cm="1">
        <f t="array" ref="H153">-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3" s="18" cm="1">
        <f t="array" ref="I153">-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3" s="18" cm="1">
        <f t="array" ref="J153">-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3" s="18" cm="1">
        <f t="array" ref="K153">-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3" s="18" cm="1">
        <f t="array" ref="L153">-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3" s="18" cm="1">
        <f t="array" ref="M153">-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3" s="18" cm="1">
        <f t="array" ref="N153">-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3" s="18" cm="1">
        <f t="array" ref="O153">-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3" s="18"/>
    </row>
    <row r="154" spans="2:16" ht="18" customHeight="1" x14ac:dyDescent="0.3">
      <c r="B154" s="419" t="s">
        <v>298</v>
      </c>
      <c r="C154" s="18"/>
      <c r="D154" s="18" cm="1">
        <f t="array" ref="D154">-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18"/>
    </row>
    <row r="155" spans="2:16" ht="18" customHeight="1" x14ac:dyDescent="0.3">
      <c r="B155" s="18" t="s">
        <v>352</v>
      </c>
      <c r="C155" s="18"/>
      <c r="D155" s="18" cm="1">
        <f t="array" ref="D155">-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5" s="18" cm="1">
        <f t="array" ref="E155">-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5" s="18" cm="1">
        <f t="array" ref="F155">-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5" s="18" cm="1">
        <f t="array" ref="G155">-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5" s="18" cm="1">
        <f t="array" ref="H155">-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5" s="18" cm="1">
        <f t="array" ref="I155">-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5" s="18" cm="1">
        <f t="array" ref="J155">-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5" s="18" cm="1">
        <f t="array" ref="K155">-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5" s="18" cm="1">
        <f t="array" ref="L155">-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5" s="18" cm="1">
        <f t="array" ref="M155">-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5" s="18" cm="1">
        <f t="array" ref="N155">-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5" s="18" cm="1">
        <f t="array" ref="O155">-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5" s="486"/>
    </row>
    <row r="157" spans="2:16" ht="18" customHeight="1" x14ac:dyDescent="0.3">
      <c r="B157" s="7" t="s">
        <v>1064</v>
      </c>
    </row>
    <row r="158" spans="2:16" ht="18" customHeight="1" x14ac:dyDescent="0.3">
      <c r="B158" s="15" t="s">
        <v>1037</v>
      </c>
      <c r="C158" s="484" t="s">
        <v>678</v>
      </c>
      <c r="D158" s="484" t="s">
        <v>269</v>
      </c>
      <c r="E158" s="484" t="s">
        <v>270</v>
      </c>
      <c r="F158" s="484" t="s">
        <v>271</v>
      </c>
      <c r="G158" s="484" t="s">
        <v>272</v>
      </c>
      <c r="H158" s="484" t="s">
        <v>273</v>
      </c>
      <c r="I158" s="484" t="s">
        <v>274</v>
      </c>
      <c r="J158" s="484" t="s">
        <v>275</v>
      </c>
      <c r="K158" s="484" t="s">
        <v>276</v>
      </c>
      <c r="L158" s="484" t="s">
        <v>277</v>
      </c>
      <c r="M158" s="484" t="s">
        <v>278</v>
      </c>
      <c r="N158" s="484" t="s">
        <v>279</v>
      </c>
      <c r="O158" s="484" t="s">
        <v>280</v>
      </c>
      <c r="P158" s="485" t="s">
        <v>883</v>
      </c>
    </row>
    <row r="159" spans="2:16" ht="18" customHeight="1" x14ac:dyDescent="0.3">
      <c r="B159" s="15" t="s">
        <v>1038</v>
      </c>
      <c r="C159" s="8"/>
      <c r="D159" s="15"/>
      <c r="E159" s="15"/>
      <c r="F159" s="15"/>
      <c r="G159" s="15"/>
      <c r="H159" s="15"/>
      <c r="I159" s="15"/>
      <c r="J159" s="15"/>
      <c r="K159" s="15"/>
      <c r="L159" s="15"/>
      <c r="M159" s="15"/>
      <c r="N159" s="15"/>
      <c r="O159" s="15"/>
      <c r="P159" s="15"/>
    </row>
    <row r="160" spans="2:16" ht="18" customHeight="1" x14ac:dyDescent="0.3">
      <c r="B160" s="15" t="s">
        <v>1040</v>
      </c>
      <c r="C160" s="8"/>
      <c r="D160" s="15"/>
      <c r="E160" s="15"/>
      <c r="F160" s="15"/>
      <c r="G160" s="15"/>
      <c r="H160" s="15"/>
      <c r="I160" s="15"/>
      <c r="J160" s="15"/>
      <c r="K160" s="15"/>
      <c r="L160" s="15"/>
      <c r="M160" s="15"/>
      <c r="N160" s="15"/>
      <c r="O160" s="15"/>
      <c r="P160" s="15"/>
    </row>
    <row r="161" spans="2:16" ht="18" customHeight="1" x14ac:dyDescent="0.3">
      <c r="B161" s="15" t="s">
        <v>671</v>
      </c>
      <c r="C161" s="498">
        <v>0.2</v>
      </c>
      <c r="D161" s="18" t="e">
        <f>Table_KeHoach_ThuePhi[[#This Row],[Thuế suất TNDN]]*(D21-SUM(D24:D30)-D32-SUM(D159:D160))</f>
        <v>#N/A</v>
      </c>
      <c r="E161" s="18" t="e">
        <f>Table_KeHoach_ThuePhi[[#This Row],[Thuế suất TNDN]]*(E21-SUM(E24:E30)-E32-SUM(E159:E160))</f>
        <v>#N/A</v>
      </c>
      <c r="F161" s="18" t="e">
        <f>Table_KeHoach_ThuePhi[[#This Row],[Thuế suất TNDN]]*(F21-SUM(F24:F30)-F32-SUM(F159:F160))</f>
        <v>#N/A</v>
      </c>
      <c r="G161" s="18" t="e">
        <f>Table_KeHoach_ThuePhi[[#This Row],[Thuế suất TNDN]]*(G21-SUM(G24:G30)-G32-SUM(G159:G160))</f>
        <v>#N/A</v>
      </c>
      <c r="H161" s="18" t="e">
        <f>Table_KeHoach_ThuePhi[[#This Row],[Thuế suất TNDN]]*(H21-SUM(H24:H30)-H32-SUM(H159:H160))</f>
        <v>#N/A</v>
      </c>
      <c r="I161" s="18" t="e">
        <f>Table_KeHoach_ThuePhi[[#This Row],[Thuế suất TNDN]]*(I21-SUM(I24:I30)-I32-SUM(I159:I160))</f>
        <v>#N/A</v>
      </c>
      <c r="J161" s="18" t="e">
        <f>Table_KeHoach_ThuePhi[[#This Row],[Thuế suất TNDN]]*(J21-SUM(J24:J30)-J32-SUM(J159:J160))</f>
        <v>#N/A</v>
      </c>
      <c r="K161" s="18" t="e">
        <f>Table_KeHoach_ThuePhi[[#This Row],[Thuế suất TNDN]]*(K21-SUM(K24:K30)-K32-SUM(K159:K160))</f>
        <v>#N/A</v>
      </c>
      <c r="L161" s="18" t="e">
        <f>Table_KeHoach_ThuePhi[[#This Row],[Thuế suất TNDN]]*(L21-SUM(L24:L30)-L32-SUM(L159:L160))</f>
        <v>#N/A</v>
      </c>
      <c r="M161" s="18" t="e">
        <f>Table_KeHoach_ThuePhi[[#This Row],[Thuế suất TNDN]]*(M21-SUM(M24:M30)-M32-SUM(M159:M160))</f>
        <v>#N/A</v>
      </c>
      <c r="N161" s="18" t="e">
        <f>Table_KeHoach_ThuePhi[[#This Row],[Thuế suất TNDN]]*(N21-SUM(N24:N30)-N32-SUM(N159:N160))</f>
        <v>#N/A</v>
      </c>
      <c r="O161" s="18" t="e">
        <f>Table_KeHoach_ThuePhi[[#This Row],[Thuế suất TNDN]]*(O21-SUM(O24:O30)-O32-SUM(O159:O160))</f>
        <v>#N/A</v>
      </c>
      <c r="P161" s="15"/>
    </row>
    <row r="162" spans="2:16" ht="18" customHeight="1" x14ac:dyDescent="0.3">
      <c r="B162" s="18" t="s">
        <v>1039</v>
      </c>
      <c r="C162" s="493"/>
      <c r="D162" s="18" t="e">
        <f>SUBTOTAL(109,Table_KeHoach_ThuePhi[Tháng 1])</f>
        <v>#N/A</v>
      </c>
      <c r="E162" s="18" t="e">
        <f>SUBTOTAL(109,Table_KeHoach_ThuePhi[Tháng 2])</f>
        <v>#N/A</v>
      </c>
      <c r="F162" s="18" t="e">
        <f>SUBTOTAL(109,Table_KeHoach_ThuePhi[Tháng 3])</f>
        <v>#N/A</v>
      </c>
      <c r="G162" s="18" t="e">
        <f>SUBTOTAL(109,Table_KeHoach_ThuePhi[Tháng 4])</f>
        <v>#N/A</v>
      </c>
      <c r="H162" s="18" t="e">
        <f>SUBTOTAL(109,Table_KeHoach_ThuePhi[Tháng 5])</f>
        <v>#N/A</v>
      </c>
      <c r="I162" s="18" t="e">
        <f>SUBTOTAL(109,Table_KeHoach_ThuePhi[Tháng 6])</f>
        <v>#N/A</v>
      </c>
      <c r="J162" s="18" t="e">
        <f>SUBTOTAL(109,Table_KeHoach_ThuePhi[Tháng 7])</f>
        <v>#N/A</v>
      </c>
      <c r="K162" s="18" t="e">
        <f>SUBTOTAL(109,Table_KeHoach_ThuePhi[Tháng 8])</f>
        <v>#N/A</v>
      </c>
      <c r="L162" s="18" t="e">
        <f>SUBTOTAL(109,Table_KeHoach_ThuePhi[Tháng 9])</f>
        <v>#N/A</v>
      </c>
      <c r="M162" s="18" t="e">
        <f>SUBTOTAL(109,Table_KeHoach_ThuePhi[Tháng 10])</f>
        <v>#N/A</v>
      </c>
      <c r="N162" s="18" t="e">
        <f>SUBTOTAL(109,Table_KeHoach_ThuePhi[Tháng 11])</f>
        <v>#N/A</v>
      </c>
      <c r="O162" s="18" t="e">
        <f>SUBTOTAL(109,Table_KeHoach_ThuePhi[Tháng 12])</f>
        <v>#N/A</v>
      </c>
      <c r="P162" s="15"/>
    </row>
    <row r="164" spans="2:16" ht="18" customHeight="1" x14ac:dyDescent="0.3">
      <c r="B164" s="7" t="s">
        <v>1065</v>
      </c>
      <c r="D164" s="28"/>
      <c r="E164" s="28"/>
      <c r="F164" s="28"/>
      <c r="G164" s="28"/>
      <c r="H164" s="28"/>
      <c r="I164" s="28"/>
      <c r="J164" s="28"/>
      <c r="K164" s="28"/>
      <c r="L164" s="28"/>
      <c r="M164" s="28"/>
      <c r="N164" s="28"/>
      <c r="O164" s="28"/>
      <c r="P164" s="16"/>
    </row>
    <row r="165" spans="2:16" ht="18" customHeight="1" x14ac:dyDescent="0.3">
      <c r="B165" s="15" t="s">
        <v>299</v>
      </c>
      <c r="C165" s="484" t="s">
        <v>1041</v>
      </c>
      <c r="D165" s="484" t="s">
        <v>269</v>
      </c>
      <c r="E165" s="484" t="s">
        <v>270</v>
      </c>
      <c r="F165" s="484" t="s">
        <v>271</v>
      </c>
      <c r="G165" s="484" t="s">
        <v>272</v>
      </c>
      <c r="H165" s="484" t="s">
        <v>273</v>
      </c>
      <c r="I165" s="484" t="s">
        <v>274</v>
      </c>
      <c r="J165" s="484" t="s">
        <v>275</v>
      </c>
      <c r="K165" s="484" t="s">
        <v>276</v>
      </c>
      <c r="L165" s="484" t="s">
        <v>277</v>
      </c>
      <c r="M165" s="484" t="s">
        <v>278</v>
      </c>
      <c r="N165" s="484" t="s">
        <v>279</v>
      </c>
      <c r="O165" s="484" t="s">
        <v>280</v>
      </c>
      <c r="P165" s="485" t="s">
        <v>883</v>
      </c>
    </row>
    <row r="166" spans="2:16" ht="18" customHeight="1" x14ac:dyDescent="0.3">
      <c r="B166" s="15" t="s">
        <v>134</v>
      </c>
      <c r="C166" s="8"/>
      <c r="D166" s="15"/>
      <c r="E166" s="15"/>
      <c r="F166" s="15"/>
      <c r="G166" s="15"/>
      <c r="H166" s="15"/>
      <c r="I166" s="15"/>
      <c r="J166" s="15"/>
      <c r="K166" s="15"/>
      <c r="L166" s="15"/>
      <c r="M166" s="15"/>
      <c r="N166" s="15"/>
      <c r="O166" s="15"/>
      <c r="P166" s="15"/>
    </row>
    <row r="167" spans="2:16" ht="18" customHeight="1" x14ac:dyDescent="0.3">
      <c r="B167" s="18" t="s">
        <v>1039</v>
      </c>
      <c r="C167" s="493"/>
      <c r="D167" s="18">
        <f>SUBTOTAL(109,Table_KeHoach_CPKhac[Tháng 1])</f>
        <v>0</v>
      </c>
      <c r="E167" s="18">
        <f>SUBTOTAL(109,Table_KeHoach_CPKhac[Tháng 2])</f>
        <v>0</v>
      </c>
      <c r="F167" s="18">
        <f>SUBTOTAL(109,Table_KeHoach_CPKhac[Tháng 3])</f>
        <v>0</v>
      </c>
      <c r="G167" s="18">
        <f>SUBTOTAL(109,Table_KeHoach_CPKhac[Tháng 4])</f>
        <v>0</v>
      </c>
      <c r="H167" s="18">
        <f>SUBTOTAL(109,Table_KeHoach_CPKhac[Tháng 5])</f>
        <v>0</v>
      </c>
      <c r="I167" s="18">
        <f>SUBTOTAL(109,Table_KeHoach_CPKhac[Tháng 6])</f>
        <v>0</v>
      </c>
      <c r="J167" s="18">
        <f>SUBTOTAL(109,Table_KeHoach_CPKhac[Tháng 7])</f>
        <v>0</v>
      </c>
      <c r="K167" s="18">
        <f>SUBTOTAL(109,Table_KeHoach_CPKhac[Tháng 8])</f>
        <v>0</v>
      </c>
      <c r="L167" s="18">
        <f>SUBTOTAL(109,Table_KeHoach_CPKhac[Tháng 9])</f>
        <v>0</v>
      </c>
      <c r="M167" s="18">
        <f>SUBTOTAL(109,Table_KeHoach_CPKhac[Tháng 10])</f>
        <v>0</v>
      </c>
      <c r="N167" s="18">
        <f>SUBTOTAL(109,Table_KeHoach_CPKhac[Tháng 11])</f>
        <v>0</v>
      </c>
      <c r="O167" s="18">
        <f>SUBTOTAL(109,Table_KeHoach_CPKhac[Tháng 12])</f>
        <v>0</v>
      </c>
      <c r="P167" s="18"/>
    </row>
    <row r="169" spans="2:16" ht="18" customHeight="1" x14ac:dyDescent="0.3">
      <c r="B169" s="7" t="s">
        <v>1066</v>
      </c>
      <c r="P169" s="28"/>
    </row>
    <row r="170" spans="2:16" ht="18" customHeight="1" collapsed="1" x14ac:dyDescent="0.3">
      <c r="B170" s="7" t="s">
        <v>102</v>
      </c>
      <c r="C170" s="12" t="s">
        <v>268</v>
      </c>
      <c r="D170" s="16" t="s">
        <v>269</v>
      </c>
      <c r="E170" s="16" t="s">
        <v>270</v>
      </c>
      <c r="F170" s="16" t="s">
        <v>271</v>
      </c>
      <c r="G170" s="16" t="s">
        <v>272</v>
      </c>
      <c r="H170" s="16" t="s">
        <v>273</v>
      </c>
      <c r="I170" s="16" t="s">
        <v>274</v>
      </c>
      <c r="J170" s="16" t="s">
        <v>275</v>
      </c>
      <c r="K170" s="16" t="s">
        <v>276</v>
      </c>
      <c r="L170" s="16" t="s">
        <v>277</v>
      </c>
      <c r="M170" s="16" t="s">
        <v>278</v>
      </c>
      <c r="N170" s="16" t="s">
        <v>279</v>
      </c>
      <c r="O170" s="16" t="s">
        <v>280</v>
      </c>
      <c r="P170" s="4" t="s">
        <v>883</v>
      </c>
    </row>
    <row r="171" spans="2:16" ht="18" customHeight="1" x14ac:dyDescent="0.3">
      <c r="B171" s="45" t="s">
        <v>157</v>
      </c>
      <c r="C171" s="504" t="e" cm="1">
        <f t="array" ref="C17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1" s="45"/>
      <c r="E171" s="45"/>
      <c r="F171" s="45"/>
      <c r="G171" s="45"/>
      <c r="H171" s="45"/>
      <c r="I171" s="45"/>
      <c r="J171" s="45"/>
      <c r="K171" s="45"/>
      <c r="L171" s="45"/>
      <c r="M171" s="45"/>
      <c r="N171" s="45"/>
      <c r="O171" s="45"/>
      <c r="P171" s="45"/>
    </row>
    <row r="173" spans="2:16" ht="18" customHeight="1" x14ac:dyDescent="0.3">
      <c r="B173" s="7" t="s">
        <v>1081</v>
      </c>
    </row>
    <row r="174" spans="2:16" ht="18" customHeight="1" x14ac:dyDescent="0.3">
      <c r="B174" s="495" t="s">
        <v>1080</v>
      </c>
      <c r="C174" s="484" t="s">
        <v>1041</v>
      </c>
      <c r="D174" s="484" t="s">
        <v>269</v>
      </c>
      <c r="E174" s="484" t="s">
        <v>270</v>
      </c>
      <c r="F174" s="484" t="s">
        <v>271</v>
      </c>
      <c r="G174" s="484" t="s">
        <v>272</v>
      </c>
      <c r="H174" s="484" t="s">
        <v>273</v>
      </c>
      <c r="I174" s="484" t="s">
        <v>274</v>
      </c>
      <c r="J174" s="484" t="s">
        <v>275</v>
      </c>
      <c r="K174" s="484" t="s">
        <v>276</v>
      </c>
      <c r="L174" s="484" t="s">
        <v>277</v>
      </c>
      <c r="M174" s="484" t="s">
        <v>278</v>
      </c>
      <c r="N174" s="484" t="s">
        <v>279</v>
      </c>
      <c r="O174" s="484" t="s">
        <v>280</v>
      </c>
      <c r="P174" s="485" t="s">
        <v>883</v>
      </c>
    </row>
    <row r="175" spans="2:16" ht="18" customHeight="1" x14ac:dyDescent="0.3">
      <c r="B175" s="15"/>
      <c r="C175" s="8"/>
      <c r="D175" s="15"/>
      <c r="E175" s="15"/>
      <c r="F175" s="15"/>
      <c r="G175" s="15"/>
      <c r="H175" s="15"/>
      <c r="I175" s="15"/>
      <c r="J175" s="15"/>
      <c r="K175" s="15"/>
      <c r="L175" s="15"/>
      <c r="M175" s="15"/>
      <c r="N175" s="15"/>
      <c r="O175" s="15"/>
      <c r="P175" s="15"/>
    </row>
    <row r="176" spans="2:16" ht="18" customHeight="1" x14ac:dyDescent="0.3">
      <c r="B176" s="29" t="s">
        <v>1090</v>
      </c>
      <c r="C176" s="496">
        <f>SUBTOTAL(109,Table_KeHoach_TSCD[Column1])</f>
        <v>0</v>
      </c>
      <c r="D176" s="496">
        <f>SUBTOTAL(109,Table_KeHoach_TSCD[Tháng 1])</f>
        <v>0</v>
      </c>
      <c r="E176" s="496">
        <f>SUBTOTAL(109,Table_KeHoach_TSCD[Tháng 2])</f>
        <v>0</v>
      </c>
      <c r="F176" s="496">
        <f>SUBTOTAL(109,Table_KeHoach_TSCD[Tháng 3])</f>
        <v>0</v>
      </c>
      <c r="G176" s="496">
        <f>SUBTOTAL(109,Table_KeHoach_TSCD[Tháng 4])</f>
        <v>0</v>
      </c>
      <c r="H176" s="496">
        <f>SUBTOTAL(109,Table_KeHoach_TSCD[Tháng 5])</f>
        <v>0</v>
      </c>
      <c r="I176" s="496">
        <f>SUBTOTAL(109,Table_KeHoach_TSCD[Tháng 6])</f>
        <v>0</v>
      </c>
      <c r="J176" s="496">
        <f>SUBTOTAL(109,Table_KeHoach_TSCD[Tháng 7])</f>
        <v>0</v>
      </c>
      <c r="K176" s="496">
        <f>SUBTOTAL(109,Table_KeHoach_TSCD[Tháng 8])</f>
        <v>0</v>
      </c>
      <c r="L176" s="496">
        <f>SUBTOTAL(109,Table_KeHoach_TSCD[Tháng 9])</f>
        <v>0</v>
      </c>
      <c r="M176" s="496">
        <f>SUBTOTAL(109,Table_KeHoach_TSCD[Tháng 10])</f>
        <v>0</v>
      </c>
      <c r="N176" s="496">
        <f>SUBTOTAL(109,Table_KeHoach_TSCD[Tháng 11])</f>
        <v>0</v>
      </c>
      <c r="O176" s="496">
        <f>SUBTOTAL(109,Table_KeHoach_TSCD[Tháng 12])</f>
        <v>0</v>
      </c>
      <c r="P176" s="29"/>
    </row>
    <row r="178" spans="2:16" ht="18" customHeight="1" x14ac:dyDescent="0.3">
      <c r="B178" s="7" t="s">
        <v>1082</v>
      </c>
    </row>
    <row r="179" spans="2:16" ht="18" customHeight="1" x14ac:dyDescent="0.3">
      <c r="B179" s="495" t="s">
        <v>1083</v>
      </c>
      <c r="C179" s="484" t="s">
        <v>1041</v>
      </c>
      <c r="D179" s="484" t="s">
        <v>269</v>
      </c>
      <c r="E179" s="484" t="s">
        <v>270</v>
      </c>
      <c r="F179" s="484" t="s">
        <v>271</v>
      </c>
      <c r="G179" s="484" t="s">
        <v>272</v>
      </c>
      <c r="H179" s="484" t="s">
        <v>273</v>
      </c>
      <c r="I179" s="484" t="s">
        <v>274</v>
      </c>
      <c r="J179" s="484" t="s">
        <v>275</v>
      </c>
      <c r="K179" s="484" t="s">
        <v>276</v>
      </c>
      <c r="L179" s="484" t="s">
        <v>277</v>
      </c>
      <c r="M179" s="484" t="s">
        <v>278</v>
      </c>
      <c r="N179" s="484" t="s">
        <v>279</v>
      </c>
      <c r="O179" s="484" t="s">
        <v>280</v>
      </c>
      <c r="P179" s="485" t="s">
        <v>883</v>
      </c>
    </row>
    <row r="180" spans="2:16" ht="18" customHeight="1" x14ac:dyDescent="0.3">
      <c r="B180" s="15"/>
      <c r="C180" s="8"/>
      <c r="D180" s="15"/>
      <c r="E180" s="15"/>
      <c r="F180" s="15"/>
      <c r="G180" s="15"/>
      <c r="H180" s="15"/>
      <c r="I180" s="15"/>
      <c r="J180" s="15"/>
      <c r="K180" s="15"/>
      <c r="L180" s="15"/>
      <c r="M180" s="15"/>
      <c r="N180" s="15"/>
      <c r="O180" s="15"/>
      <c r="P180" s="15"/>
    </row>
    <row r="181" spans="2:16" ht="18" customHeight="1" x14ac:dyDescent="0.3">
      <c r="B181" s="29" t="s">
        <v>1091</v>
      </c>
      <c r="C181" s="496">
        <f>SUBTOTAL(109,Table_KeHoach_DTTC[Column1])</f>
        <v>0</v>
      </c>
      <c r="D181" s="496">
        <f>SUBTOTAL(109,Table_KeHoach_DTTC[Tháng 1])</f>
        <v>0</v>
      </c>
      <c r="E181" s="496">
        <f>SUBTOTAL(109,Table_KeHoach_DTTC[Tháng 2])</f>
        <v>0</v>
      </c>
      <c r="F181" s="496">
        <f>SUBTOTAL(109,Table_KeHoach_DTTC[Tháng 3])</f>
        <v>0</v>
      </c>
      <c r="G181" s="496">
        <f>SUBTOTAL(109,Table_KeHoach_DTTC[Tháng 4])</f>
        <v>0</v>
      </c>
      <c r="H181" s="496">
        <f>SUBTOTAL(109,Table_KeHoach_DTTC[Tháng 5])</f>
        <v>0</v>
      </c>
      <c r="I181" s="496">
        <f>SUBTOTAL(109,Table_KeHoach_DTTC[Tháng 6])</f>
        <v>0</v>
      </c>
      <c r="J181" s="496">
        <f>SUBTOTAL(109,Table_KeHoach_DTTC[Tháng 7])</f>
        <v>0</v>
      </c>
      <c r="K181" s="496">
        <f>SUBTOTAL(109,Table_KeHoach_DTTC[Tháng 8])</f>
        <v>0</v>
      </c>
      <c r="L181" s="496">
        <f>SUBTOTAL(109,Table_KeHoach_DTTC[Tháng 9])</f>
        <v>0</v>
      </c>
      <c r="M181" s="496">
        <f>SUBTOTAL(109,Table_KeHoach_DTTC[Tháng 10])</f>
        <v>0</v>
      </c>
      <c r="N181" s="496">
        <f>SUBTOTAL(109,Table_KeHoach_DTTC[Tháng 11])</f>
        <v>0</v>
      </c>
      <c r="O181" s="496">
        <f>SUBTOTAL(109,Table_KeHoach_DTTC[Tháng 12])</f>
        <v>0</v>
      </c>
      <c r="P181" s="29"/>
    </row>
    <row r="183" spans="2:16" ht="18" customHeight="1" x14ac:dyDescent="0.3">
      <c r="B183" s="7" t="s">
        <v>1084</v>
      </c>
    </row>
    <row r="184" spans="2:16" ht="18" customHeight="1" x14ac:dyDescent="0.3">
      <c r="B184" s="495" t="s">
        <v>1089</v>
      </c>
      <c r="C184" s="484" t="s">
        <v>1041</v>
      </c>
      <c r="D184" s="484" t="s">
        <v>269</v>
      </c>
      <c r="E184" s="484" t="s">
        <v>270</v>
      </c>
      <c r="F184" s="484" t="s">
        <v>271</v>
      </c>
      <c r="G184" s="484" t="s">
        <v>272</v>
      </c>
      <c r="H184" s="484" t="s">
        <v>273</v>
      </c>
      <c r="I184" s="484" t="s">
        <v>274</v>
      </c>
      <c r="J184" s="484" t="s">
        <v>275</v>
      </c>
      <c r="K184" s="484" t="s">
        <v>276</v>
      </c>
      <c r="L184" s="484" t="s">
        <v>277</v>
      </c>
      <c r="M184" s="484" t="s">
        <v>278</v>
      </c>
      <c r="N184" s="484" t="s">
        <v>279</v>
      </c>
      <c r="O184" s="484" t="s">
        <v>280</v>
      </c>
      <c r="P184" s="485" t="s">
        <v>883</v>
      </c>
    </row>
    <row r="185" spans="2:16" ht="18" customHeight="1" x14ac:dyDescent="0.3">
      <c r="B185" s="15"/>
      <c r="C185" s="8"/>
      <c r="D185" s="18" cm="1">
        <f t="array" ref="D185">-IFERROR(
SUM(_xlfn._xlws.FILTER(Table_DauTu_LichThu[Tổng phải thu],
(Table_DauTu_LichThu[Năm]=DiemHoaVon_NamKeHoach)*
(Table_DauTu_LichThu[Tháng]=D1)*
(Table_DauTu_LichThu[Tài sản đầu tư]=Table_KeHoach_LaiDTTC[[#This Row],[Dòng tiền thu hồi từ đầu tư tài chính]])
)),0)</f>
        <v>0</v>
      </c>
      <c r="E185" s="18" cm="1">
        <f t="array" ref="E185">-IFERROR(
SUM(_xlfn._xlws.FILTER(Table_DauTu_LichThu[Thu nhập tính thuế],
(Table_DauTu_LichThu[Tháng]=DiemHoaVon_NamKeHoach)*
(Table_DauTu_LichThu[Tài sản đầu tư]=E1)*
(Table_DauTu_LichThu[Nhận gốc]=Table_KeHoach_LaiDTTC[[#This Row],[Column1]])
)),0)</f>
        <v>0</v>
      </c>
      <c r="F185" s="18" cm="1">
        <f t="array" ref="F185">-IFERROR(
SUM(_xlfn._xlws.FILTER(Table_DauTu_LichThu[Add],
(Table_DauTu_LichThu[Tài sản đầu tư]=DiemHoaVon_NamKeHoach)*
(Table_DauTu_LichThu[Nhận gốc]=F1)*
(Table_DauTu_LichThu[Nhận lãi]=Table_KeHoach_LaiDTTC[[#This Row],[Tháng 1]])
)),0)</f>
        <v>0</v>
      </c>
      <c r="G185" s="18" cm="1">
        <f t="array" ref="G185">-IFERROR(
SUM(_xlfn._xlws.FILTER(Table_DauTu_LichThu[Còn lại],
(Table_DauTu_LichThu[Nhận gốc]=DiemHoaVon_NamKeHoach)*
(Table_DauTu_LichThu[Nhận lãi]=G1)*
(Table_DauTu_LichThu[Tổng phải thu]=Table_KeHoach_LaiDTTC[[#This Row],[Tháng 2]])
)),0)</f>
        <v>0</v>
      </c>
      <c r="H185" s="18" cm="1">
        <f t="array" ref="H185">-IFERROR(
SUM(_xlfn._xlws.FILTER(Table_DauTu_LichThu[Kỳ],
(Table_DauTu_LichThu[Nhận lãi]=DiemHoaVon_NamKeHoach)*
(Table_DauTu_LichThu[Tổng phải thu]=H1)*
(Table_DauTu_LichThu[Thu nhập tính thuế]=Table_KeHoach_LaiDTTC[[#This Row],[Tháng 3]])
)),0)</f>
        <v>0</v>
      </c>
      <c r="I185" s="18" cm="1">
        <f t="array" ref="I185">-IFERROR(
SUM(_xlfn._xlws.FILTER(Table_DauTu_LichThu[Năm],
(Table_DauTu_LichThu[Tổng phải thu]=DiemHoaVon_NamKeHoach)*
(Table_DauTu_LichThu[Thu nhập tính thuế]=I1)*
(Table_DauTu_LichThu[Add]=Table_KeHoach_LaiDTTC[[#This Row],[Tháng 4]])
)),0)</f>
        <v>0</v>
      </c>
      <c r="J185" s="18" cm="1">
        <f t="array" ref="J185">-IFERROR(
SUM(_xlfn._xlws.FILTER(Table_DauTu_LichThu[Tháng],
(Table_DauTu_LichThu[Thu nhập tính thuế]=DiemHoaVon_NamKeHoach)*
(Table_DauTu_LichThu[Add]=J1)*
(Table_DauTu_LichThu[Còn lại]=Table_KeHoach_LaiDTTC[[#This Row],[Tháng 5]])
)),0)</f>
        <v>0</v>
      </c>
      <c r="K185" s="18" cm="1">
        <f t="array" ref="K185">-IFERROR(
SUM(_xlfn._xlws.FILTER(Table_DauTu_LichThu[Tài sản đầu tư],
(Table_DauTu_LichThu[Add]=DiemHoaVon_NamKeHoach)*
(Table_DauTu_LichThu[Còn lại]=K1)*
(Table_DauTu_LichThu[Kỳ]=Table_KeHoach_LaiDTTC[[#This Row],[Tháng 6]])
)),0)</f>
        <v>0</v>
      </c>
      <c r="L185" s="18" cm="1">
        <f t="array" ref="L185">-IFERROR(
SUM(_xlfn._xlws.FILTER(Table_DauTu_LichThu[Nhận gốc],
(Table_DauTu_LichThu[Còn lại]=DiemHoaVon_NamKeHoach)*
(Table_DauTu_LichThu[Kỳ]=L1)*
(Table_DauTu_LichThu[Năm]=Table_KeHoach_LaiDTTC[[#This Row],[Tháng 7]])
)),0)</f>
        <v>0</v>
      </c>
      <c r="M185" s="18" cm="1">
        <f t="array" ref="M185">-IFERROR(
SUM(_xlfn._xlws.FILTER(Table_DauTu_LichThu[Nhận lãi],
(Table_DauTu_LichThu[Kỳ]=DiemHoaVon_NamKeHoach)*
(Table_DauTu_LichThu[Năm]=M1)*
(Table_DauTu_LichThu[Tháng]=Table_KeHoach_LaiDTTC[[#This Row],[Tháng 8]])
)),0)</f>
        <v>0</v>
      </c>
      <c r="N185" s="18" cm="1">
        <f t="array" ref="N185">-IFERROR(
SUM(_xlfn._xlws.FILTER(Table_DauTu_LichThu[Tổng phải thu],
(Table_DauTu_LichThu[Năm]=DiemHoaVon_NamKeHoach)*
(Table_DauTu_LichThu[Tháng]=N1)*
(Table_DauTu_LichThu[Tài sản đầu tư]=Table_KeHoach_LaiDTTC[[#This Row],[Tháng 9]])
)),0)</f>
        <v>0</v>
      </c>
      <c r="O185" s="18" cm="1">
        <f t="array" ref="O185">-IFERROR(
SUM(_xlfn._xlws.FILTER(Table_DauTu_LichThu[Thu nhập tính thuế],
(Table_DauTu_LichThu[Tháng]=DiemHoaVon_NamKeHoach)*
(Table_DauTu_LichThu[Tài sản đầu tư]=O1)*
(Table_DauTu_LichThu[Nhận gốc]=Table_KeHoach_LaiDTTC[[#This Row],[Tháng 10]])
)),0)</f>
        <v>0</v>
      </c>
      <c r="P185" s="15"/>
    </row>
    <row r="186" spans="2:16" ht="18" customHeight="1" x14ac:dyDescent="0.3">
      <c r="B186" s="29" t="s">
        <v>1092</v>
      </c>
      <c r="C186" s="496">
        <f>SUBTOTAL(109,Table_KeHoach_LaiDTTC[Column1])</f>
        <v>0</v>
      </c>
      <c r="D186" s="496">
        <f>SUBTOTAL(109,Table_KeHoach_LaiDTTC[Tháng 1])</f>
        <v>0</v>
      </c>
      <c r="E186" s="496">
        <f>SUBTOTAL(109,Table_KeHoach_LaiDTTC[Tháng 2])</f>
        <v>0</v>
      </c>
      <c r="F186" s="496">
        <f>SUBTOTAL(109,Table_KeHoach_LaiDTTC[Tháng 3])</f>
        <v>0</v>
      </c>
      <c r="G186" s="496">
        <f>SUBTOTAL(109,Table_KeHoach_LaiDTTC[Tháng 4])</f>
        <v>0</v>
      </c>
      <c r="H186" s="496">
        <f>SUBTOTAL(109,Table_KeHoach_LaiDTTC[Tháng 5])</f>
        <v>0</v>
      </c>
      <c r="I186" s="496">
        <f>SUBTOTAL(109,Table_KeHoach_LaiDTTC[Tháng 6])</f>
        <v>0</v>
      </c>
      <c r="J186" s="496">
        <f>SUBTOTAL(109,Table_KeHoach_LaiDTTC[Tháng 7])</f>
        <v>0</v>
      </c>
      <c r="K186" s="496">
        <f>SUBTOTAL(109,Table_KeHoach_LaiDTTC[Tháng 8])</f>
        <v>0</v>
      </c>
      <c r="L186" s="496">
        <f>SUBTOTAL(109,Table_KeHoach_LaiDTTC[Tháng 9])</f>
        <v>0</v>
      </c>
      <c r="M186" s="496">
        <f>SUBTOTAL(109,Table_KeHoach_LaiDTTC[Tháng 10])</f>
        <v>0</v>
      </c>
      <c r="N186" s="496">
        <f>SUBTOTAL(109,Table_KeHoach_LaiDTTC[Tháng 11])</f>
        <v>0</v>
      </c>
      <c r="O186" s="496">
        <f>SUBTOTAL(109,Table_KeHoach_LaiDTTC[Tháng 12])</f>
        <v>0</v>
      </c>
      <c r="P186" s="29"/>
    </row>
    <row r="188" spans="2:16" ht="18" customHeight="1" x14ac:dyDescent="0.3">
      <c r="B188" s="7" t="s">
        <v>1086</v>
      </c>
    </row>
    <row r="189" spans="2:16" ht="18" customHeight="1" x14ac:dyDescent="0.3">
      <c r="B189" s="495" t="s">
        <v>1085</v>
      </c>
      <c r="C189" s="484" t="s">
        <v>1041</v>
      </c>
      <c r="D189" s="484" t="s">
        <v>269</v>
      </c>
      <c r="E189" s="484" t="s">
        <v>270</v>
      </c>
      <c r="F189" s="484" t="s">
        <v>271</v>
      </c>
      <c r="G189" s="484" t="s">
        <v>272</v>
      </c>
      <c r="H189" s="484" t="s">
        <v>273</v>
      </c>
      <c r="I189" s="484" t="s">
        <v>274</v>
      </c>
      <c r="J189" s="484" t="s">
        <v>275</v>
      </c>
      <c r="K189" s="484" t="s">
        <v>276</v>
      </c>
      <c r="L189" s="484" t="s">
        <v>277</v>
      </c>
      <c r="M189" s="484" t="s">
        <v>278</v>
      </c>
      <c r="N189" s="484" t="s">
        <v>279</v>
      </c>
      <c r="O189" s="484" t="s">
        <v>280</v>
      </c>
      <c r="P189" s="485" t="s">
        <v>883</v>
      </c>
    </row>
    <row r="190" spans="2:16" ht="18" customHeight="1" x14ac:dyDescent="0.3">
      <c r="B190" s="15"/>
      <c r="C190" s="8"/>
      <c r="D190" s="18"/>
      <c r="E190" s="18"/>
      <c r="F190" s="18"/>
      <c r="G190" s="18"/>
      <c r="H190" s="18"/>
      <c r="I190" s="18"/>
      <c r="J190" s="18"/>
      <c r="K190" s="18"/>
      <c r="L190" s="18"/>
      <c r="M190" s="18"/>
      <c r="N190" s="18"/>
      <c r="O190" s="18"/>
      <c r="P190" s="15"/>
    </row>
    <row r="191" spans="2:16" ht="18" customHeight="1" x14ac:dyDescent="0.3">
      <c r="B191" s="29" t="s">
        <v>1093</v>
      </c>
      <c r="C191" s="496">
        <f>SUBTOTAL(109,Table_KeHoach_VonVay[Column1])</f>
        <v>0</v>
      </c>
      <c r="D191" s="496">
        <f>SUBTOTAL(109,Table_KeHoach_VonVay[Tháng 1])</f>
        <v>0</v>
      </c>
      <c r="E191" s="496">
        <f>SUBTOTAL(109,Table_KeHoach_VonVay[Tháng 2])</f>
        <v>0</v>
      </c>
      <c r="F191" s="496">
        <f>SUBTOTAL(109,Table_KeHoach_VonVay[Tháng 3])</f>
        <v>0</v>
      </c>
      <c r="G191" s="496">
        <f>SUBTOTAL(109,Table_KeHoach_VonVay[Tháng 4])</f>
        <v>0</v>
      </c>
      <c r="H191" s="496">
        <f>SUBTOTAL(109,Table_KeHoach_VonVay[Tháng 5])</f>
        <v>0</v>
      </c>
      <c r="I191" s="496">
        <f>SUBTOTAL(109,Table_KeHoach_VonVay[Tháng 6])</f>
        <v>0</v>
      </c>
      <c r="J191" s="496">
        <f>SUBTOTAL(109,Table_KeHoach_VonVay[Tháng 7])</f>
        <v>0</v>
      </c>
      <c r="K191" s="496">
        <f>SUBTOTAL(109,Table_KeHoach_VonVay[Tháng 8])</f>
        <v>0</v>
      </c>
      <c r="L191" s="496">
        <f>SUBTOTAL(109,Table_KeHoach_VonVay[Tháng 9])</f>
        <v>0</v>
      </c>
      <c r="M191" s="496">
        <f>SUBTOTAL(109,Table_KeHoach_VonVay[Tháng 10])</f>
        <v>0</v>
      </c>
      <c r="N191" s="496">
        <f>SUBTOTAL(109,Table_KeHoach_VonVay[Tháng 11])</f>
        <v>0</v>
      </c>
      <c r="O191" s="496">
        <f>SUBTOTAL(109,Table_KeHoach_VonVay[Tháng 12])</f>
        <v>0</v>
      </c>
      <c r="P191" s="29"/>
    </row>
    <row r="193" spans="2:16" ht="18" customHeight="1" x14ac:dyDescent="0.3">
      <c r="B193" s="7" t="s">
        <v>1088</v>
      </c>
    </row>
    <row r="194" spans="2:16" ht="18" customHeight="1" x14ac:dyDescent="0.3">
      <c r="B194" s="495" t="s">
        <v>1087</v>
      </c>
      <c r="C194" s="497" t="s">
        <v>1041</v>
      </c>
      <c r="D194" s="484" t="s">
        <v>269</v>
      </c>
      <c r="E194" s="484" t="s">
        <v>270</v>
      </c>
      <c r="F194" s="484" t="s">
        <v>271</v>
      </c>
      <c r="G194" s="484" t="s">
        <v>272</v>
      </c>
      <c r="H194" s="484" t="s">
        <v>273</v>
      </c>
      <c r="I194" s="484" t="s">
        <v>274</v>
      </c>
      <c r="J194" s="484" t="s">
        <v>275</v>
      </c>
      <c r="K194" s="484" t="s">
        <v>276</v>
      </c>
      <c r="L194" s="484" t="s">
        <v>277</v>
      </c>
      <c r="M194" s="484" t="s">
        <v>278</v>
      </c>
      <c r="N194" s="484" t="s">
        <v>279</v>
      </c>
      <c r="O194" s="484" t="s">
        <v>280</v>
      </c>
      <c r="P194" s="485" t="s">
        <v>883</v>
      </c>
    </row>
    <row r="195" spans="2:16" ht="18" customHeight="1" x14ac:dyDescent="0.3">
      <c r="B195" s="15"/>
      <c r="C195" s="493"/>
      <c r="D195" s="18"/>
      <c r="E195" s="18"/>
      <c r="F195" s="18"/>
      <c r="G195" s="18"/>
      <c r="H195" s="18"/>
      <c r="I195" s="18"/>
      <c r="J195" s="18"/>
      <c r="K195" s="18"/>
      <c r="L195" s="18"/>
      <c r="M195" s="18"/>
      <c r="N195" s="18"/>
      <c r="O195" s="18"/>
      <c r="P195" s="15"/>
    </row>
    <row r="196" spans="2:16" ht="18" customHeight="1" x14ac:dyDescent="0.3">
      <c r="B196" s="29" t="s">
        <v>1094</v>
      </c>
      <c r="C196" s="496">
        <f>SUBTOTAL(109,Table_KeHoach_VonGop[Column1])</f>
        <v>0</v>
      </c>
      <c r="D196" s="496">
        <f>SUBTOTAL(109,Table_KeHoach_VonGop[Tháng 1])</f>
        <v>0</v>
      </c>
      <c r="E196" s="496">
        <f>SUBTOTAL(109,Table_KeHoach_VonGop[Tháng 2])</f>
        <v>0</v>
      </c>
      <c r="F196" s="496">
        <f>SUBTOTAL(109,Table_KeHoach_VonGop[Tháng 3])</f>
        <v>0</v>
      </c>
      <c r="G196" s="496">
        <f>SUBTOTAL(109,Table_KeHoach_VonGop[Tháng 4])</f>
        <v>0</v>
      </c>
      <c r="H196" s="496">
        <f>SUBTOTAL(109,Table_KeHoach_VonGop[Tháng 5])</f>
        <v>0</v>
      </c>
      <c r="I196" s="496">
        <f>SUBTOTAL(109,Table_KeHoach_VonGop[Tháng 6])</f>
        <v>0</v>
      </c>
      <c r="J196" s="496">
        <f>SUBTOTAL(109,Table_KeHoach_VonGop[Tháng 7])</f>
        <v>0</v>
      </c>
      <c r="K196" s="496">
        <f>SUBTOTAL(109,Table_KeHoach_VonGop[Tháng 8])</f>
        <v>0</v>
      </c>
      <c r="L196" s="496">
        <f>SUBTOTAL(109,Table_KeHoach_VonGop[Tháng 9])</f>
        <v>0</v>
      </c>
      <c r="M196" s="496">
        <f>SUBTOTAL(109,Table_KeHoach_VonGop[Tháng 10])</f>
        <v>0</v>
      </c>
      <c r="N196" s="496">
        <f>SUBTOTAL(109,Table_KeHoach_VonGop[Tháng 11])</f>
        <v>0</v>
      </c>
      <c r="O196" s="496">
        <f>SUBTOTAL(109,Table_KeHoach_VonGop[Tháng 12])</f>
        <v>0</v>
      </c>
      <c r="P196" s="29"/>
    </row>
    <row r="198" spans="2:16" ht="18" customHeight="1" x14ac:dyDescent="0.3">
      <c r="B198" s="7" t="s">
        <v>1067</v>
      </c>
    </row>
    <row r="199" spans="2:16" ht="18" customHeight="1" x14ac:dyDescent="0.3">
      <c r="B199" s="460" t="s">
        <v>1017</v>
      </c>
      <c r="C199" s="499" t="s">
        <v>1018</v>
      </c>
      <c r="D199" s="497" t="s">
        <v>269</v>
      </c>
      <c r="E199" s="497" t="s">
        <v>270</v>
      </c>
      <c r="F199" s="497" t="s">
        <v>271</v>
      </c>
      <c r="G199" s="497" t="s">
        <v>272</v>
      </c>
      <c r="H199" s="497" t="s">
        <v>273</v>
      </c>
      <c r="I199" s="497" t="s">
        <v>274</v>
      </c>
      <c r="J199" s="497" t="s">
        <v>275</v>
      </c>
      <c r="K199" s="497" t="s">
        <v>276</v>
      </c>
      <c r="L199" s="497" t="s">
        <v>277</v>
      </c>
      <c r="M199" s="497" t="s">
        <v>278</v>
      </c>
      <c r="N199" s="497" t="s">
        <v>279</v>
      </c>
      <c r="O199" s="497" t="s">
        <v>280</v>
      </c>
      <c r="P199" s="485" t="s">
        <v>883</v>
      </c>
    </row>
    <row r="200" spans="2:16" ht="18" customHeight="1" x14ac:dyDescent="0.3">
      <c r="C200" s="494" t="e">
        <f>VLOOKUP(Table_KeHoach_CoTuc[[#This Row],[Kế hoạch cổ tức]],Table_CoDong[],COUNTA(Table_CoDong[[#Headers],[Mã Cổ đông]:[Tỷ lệ chia lợi nhuận]]),0)</f>
        <v>#N/A</v>
      </c>
      <c r="D200" s="18" t="e">
        <f>Table_KeHoach_CoTuc[[#This Row],[Tỷ lệ lợi ích]]*D$46</f>
        <v>#N/A</v>
      </c>
      <c r="E200" s="18" t="e">
        <f>Table_KeHoach_CoTuc[[#This Row],[Tỷ lệ lợi ích]]*E$46</f>
        <v>#N/A</v>
      </c>
      <c r="F200" s="18" t="e">
        <f>Table_KeHoach_CoTuc[[#This Row],[Tỷ lệ lợi ích]]*F$46</f>
        <v>#N/A</v>
      </c>
      <c r="G200" s="18" t="e">
        <f>Table_KeHoach_CoTuc[[#This Row],[Tỷ lệ lợi ích]]*G$46</f>
        <v>#N/A</v>
      </c>
      <c r="H200" s="18" t="e">
        <f>Table_KeHoach_CoTuc[[#This Row],[Tỷ lệ lợi ích]]*H$46</f>
        <v>#N/A</v>
      </c>
      <c r="I200" s="18" t="e">
        <f>Table_KeHoach_CoTuc[[#This Row],[Tỷ lệ lợi ích]]*I$46</f>
        <v>#N/A</v>
      </c>
      <c r="J200" s="18" t="e">
        <f>Table_KeHoach_CoTuc[[#This Row],[Tỷ lệ lợi ích]]*J$46</f>
        <v>#N/A</v>
      </c>
      <c r="K200" s="18" t="e">
        <f>Table_KeHoach_CoTuc[[#This Row],[Tỷ lệ lợi ích]]*K$46</f>
        <v>#N/A</v>
      </c>
      <c r="L200" s="18" t="e">
        <f>Table_KeHoach_CoTuc[[#This Row],[Tỷ lệ lợi ích]]*L$46</f>
        <v>#N/A</v>
      </c>
      <c r="M200" s="18" t="e">
        <f>Table_KeHoach_CoTuc[[#This Row],[Tỷ lệ lợi ích]]*M$46</f>
        <v>#N/A</v>
      </c>
      <c r="N200" s="18" t="e">
        <f>Table_KeHoach_CoTuc[[#This Row],[Tỷ lệ lợi ích]]*N$46</f>
        <v>#N/A</v>
      </c>
      <c r="O200" s="18" t="e">
        <f>Table_KeHoach_CoTuc[[#This Row],[Tỷ lệ lợi ích]]*O$46</f>
        <v>#N/A</v>
      </c>
      <c r="P200" s="18"/>
    </row>
    <row r="201" spans="2:16" ht="18" customHeight="1" x14ac:dyDescent="0.3">
      <c r="B201" s="29" t="s">
        <v>1095</v>
      </c>
      <c r="C201" s="500" t="e">
        <f>SUBTOTAL(109,Table_KeHoach_CoTuc[Tỷ lệ lợi ích])</f>
        <v>#N/A</v>
      </c>
      <c r="D201" s="496" t="e">
        <f>SUBTOTAL(109,Table_KeHoach_CoTuc[Tháng 1])</f>
        <v>#N/A</v>
      </c>
      <c r="E201" s="496" t="e">
        <f>SUBTOTAL(109,Table_KeHoach_CoTuc[Tháng 2])</f>
        <v>#N/A</v>
      </c>
      <c r="F201" s="496" t="e">
        <f>SUBTOTAL(109,Table_KeHoach_CoTuc[Tháng 3])</f>
        <v>#N/A</v>
      </c>
      <c r="G201" s="496" t="e">
        <f>SUBTOTAL(109,Table_KeHoach_CoTuc[Tháng 4])</f>
        <v>#N/A</v>
      </c>
      <c r="H201" s="496" t="e">
        <f>SUBTOTAL(109,Table_KeHoach_CoTuc[Tháng 5])</f>
        <v>#N/A</v>
      </c>
      <c r="I201" s="496" t="e">
        <f>SUBTOTAL(109,Table_KeHoach_CoTuc[Tháng 6])</f>
        <v>#N/A</v>
      </c>
      <c r="J201" s="496" t="e">
        <f>SUBTOTAL(109,Table_KeHoach_CoTuc[Tháng 7])</f>
        <v>#N/A</v>
      </c>
      <c r="K201" s="496" t="e">
        <f>SUBTOTAL(109,Table_KeHoach_CoTuc[Tháng 8])</f>
        <v>#N/A</v>
      </c>
      <c r="L201" s="496" t="e">
        <f>SUBTOTAL(109,Table_KeHoach_CoTuc[Tháng 9])</f>
        <v>#N/A</v>
      </c>
      <c r="M201" s="496" t="e">
        <f>SUBTOTAL(109,Table_KeHoach_CoTuc[Tháng 10])</f>
        <v>#N/A</v>
      </c>
      <c r="N201" s="496" t="e">
        <f>SUBTOTAL(109,Table_KeHoach_CoTuc[Tháng 11])</f>
        <v>#N/A</v>
      </c>
      <c r="O201" s="496" t="e">
        <f>SUBTOTAL(109,Table_KeHoach_CoTuc[Tháng 12])</f>
        <v>#N/A</v>
      </c>
      <c r="P201" s="29"/>
    </row>
  </sheetData>
  <sheetProtection algorithmName="SHA-512" hashValue="E2tYTl3R6vEXvNeVgCb3EwiS50Lk0ZRhX7eDz8S+d7+i+ngC+69tzlcPKBnIHB0QECbBBNZ4lj1Vur5Q08To4Q==" saltValue="xQ7Yrm40WF1gCEThbdnfJQ==" spinCount="100000" sheet="1" scenarios="1" formatCells="0" formatColumns="0" formatRows="0" insertColumns="0" insertRows="0" deleteColumns="0" deleteRows="0" sort="0" autoFilter="0" pivotTables="0"/>
  <protectedRanges>
    <protectedRange sqref="B13 B23 B10 B49:P49 Q1:S1 B52:P52 B155:P156 T208:T1048576 X208:X1048576 T55:T56 X55:X56 P50:P51 P54:P56 R49:S49 P59:P60 R50:T52 X59:X60 T59:T60 T63:T65 X63:X65 V57:W57 R57:S57 V61:W61 R61:S61 X68:X70 T68:T70 T73:T74 X73:X74 V66:W66 V71:W71 X77:X78 T77:T78 Q86 Q90 T81:T82 X81:X82 V75:W75 V79:W79 X85:X86 T85:T86 Q94 T89:T90 X89:X90 V83:W83 Q102 V87:W87 X93:X94 T93:T94 T97:T98 X97:X98 V91:W91 Q106 Q110 V95:W95 X101:X102 T101:T102 T105:T106 X105:X106 V99:W99 Q114 Q118 V103:W103 X109:X110 T109:T110 T113:T115 X113:X115 V107:W107 Q122 Q126 V111:W111 X118:X119 T118:T119 T122:T123 X122:X123 V116:W116 Q131 Q134 V120:W120 X126:X127 T126:T127 T130:T133 X130:X133 V124:W124 Q138 V128:W128 T136:T138 P146:P148 T141:T144 X141:X144 V134:W134 V139:W139 V50:X52 Q81 U219:U1048576 Y219:Y1048576 Q71 B158 P63 P73:P74 P77:P78 P82:P83 P87:P88 P92:P94 P107:P108 P111:P112 P115:P116 P120:P121 P125:P126 P129:P130 P134:P135 P139:P142 P152 P199 B159:P163 B165 P165 Q164:Q167 V145:W145 Y6:XFD52 P170 B170 R166:S172 P158 T6:T37 X6:X37 P6:P48 Q2:Q52 T1:XFD5 A6:A52 U63:U66 X136:X138 R54:T54 V54:X54 Y54:XFD57 Q54:Q57 A54:A57 Y59:XFD61 Q59:Q61 A59:A61 Y63:XFD66 Q63:Q66 A63:A66 B53 U68:U71 Y68:XFD71 P68:Q68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U147:W152 Y147:XFD152 A147:A152 U154:W157 Y154:XFD157 A154:A157 U159:W161 Y159:XFD161 B166:P168 U163:U170 Y163:XFD170 Q147 Q141 A159:A161 P98:P99 P102:P103 B171:Q172 P174 B175:P177 P179 B180:P182 B186:P187 B185:C185 P184:P185 B191:P192 B190:C190 P189:P190 Q173:S1048576 Z171:XFD1048576 V163:W1048576 B196:P197 P194:P195 B200:H1048576 J200:P1048576 I200:I201 I203:I1048576 B195:C195 A163:A1048576" name="Range1_63"/>
    <protectedRange sqref="D21:O21 B8:B9 C7 C11 V6:W6 R6:S6 C24:C30 C39 C32 C14:C21 B6:C6 B33 B35:B48 D18:O18" name="Range1_63_63_1"/>
    <protectedRange sqref="B21 C22:O22 C12:O12" name="Range1_5_1_3_1"/>
    <protectedRange sqref="B141:B142 B153:B154 B148" name="Range1_2_2"/>
    <protectedRange sqref="B19" name="Range1_5_1"/>
    <protectedRange sqref="B11" name="Range1_5_2"/>
    <protectedRange sqref="B7" name="Range1_5_3"/>
    <protectedRange sqref="B34" name="Range1_63_63_1_1"/>
    <protectedRange sqref="C31" name="Range1_63_63_1_3"/>
    <protectedRange sqref="R13:S13 R23:S23 R10:S10" name="Range1_63_1"/>
    <protectedRange sqref="R8:S9 R33:S34 R38:S38 R42:S42" name="Range1_63_63_1_6"/>
    <protectedRange sqref="R21:S21" name="Range1_5_1_3_1_2"/>
    <protectedRange sqref="R19:S19" name="Range1_5_1_1"/>
    <protectedRange sqref="R7:S7" name="Range1_5_4"/>
    <protectedRange sqref="R11:S11" name="Range1_5_2_1"/>
    <protectedRange sqref="V13:W13 V23:W23 V10:W10" name="Range1_63_2"/>
    <protectedRange sqref="V8:W9 V47:W48 V33:W34 V38:W38 V42:W42" name="Range1_63_63_1_7"/>
    <protectedRange sqref="V21:W21" name="Range1_5_1_3_1_2_1"/>
    <protectedRange sqref="V19:W19" name="Range1_5_1_2"/>
    <protectedRange sqref="V7:W7" name="Range1_5_5"/>
    <protectedRange sqref="V11:W11" name="Range1_5_2_2"/>
    <protectedRange sqref="R47:R48" name="Range1_63_3"/>
    <protectedRange sqref="S47:S48" name="Range1_63_4"/>
    <protectedRange sqref="S2 S4:S5 S3" name="Range1_63_5"/>
    <protectedRange sqref="R4:R5" name="Range1_63_6"/>
    <protectedRange sqref="S53:XFD53 P53 A53 B58" name="Range1_63_7"/>
    <protectedRange sqref="Q58:R58 U58:XFD58 A58 Q62:R62 U62:XFD62 A62:B62" name="Range1_63_8"/>
    <protectedRange sqref="Y67:XFD67 U67:W67 A67:B67" name="Range1_63_9"/>
    <protectedRange sqref="Y72:XFD72 U72:W72 S72 A72:B72" name="Range1_63_10"/>
    <protectedRange sqref="S76:XFD76 A76:B76" name="Range1_63_11"/>
    <protectedRange sqref="S80:XFD80 B81 A80" name="Range1_63_12"/>
    <protectedRange sqref="S84:XFD84 B86 A84" name="Range1_63_13"/>
    <protectedRange sqref="S88:XFD88 B91 A88" name="Range1_63_14"/>
    <protectedRange sqref="S92:XFD92 B97 A92" name="Range1_63_16"/>
    <protectedRange sqref="S96:XFD96 B101 A96" name="Range1_63_17"/>
    <protectedRange sqref="S100:XFD100 B106 A100" name="Range1_63_18"/>
    <protectedRange sqref="S104:XFD104 B110 A104" name="Range1_63_19"/>
    <protectedRange sqref="A108 S108:XFD108" name="Range1_63_20"/>
    <protectedRange sqref="Q112:R112 A112 T112:XFD112" name="Range1_63_21"/>
    <protectedRange sqref="S117 A117 Y117:XFD117 U117:W117" name="Range1_63_22"/>
    <protectedRange sqref="A121 S121:XFD121" name="Range1_63_23"/>
    <protectedRange sqref="A125 S125:XFD125" name="Range1_63_24"/>
    <protectedRange sqref="A129 S129:XFD129" name="Range1_63_25"/>
    <protectedRange sqref="A135 S135:XFD135" name="Range1_63_26"/>
    <protectedRange sqref="A140 S140:XFD140" name="Range1_63_27"/>
    <protectedRange sqref="Y146:XFD146 A146 W146 C157:O157" name="Range1_63_28"/>
    <protectedRange sqref="X153:XFD153 A153 T153:V153" name="Range1_63_29"/>
    <protectedRange sqref="C164:O164" name="Range1_63_3_1"/>
    <protectedRange sqref="X158:XFD158 A158 T158:V158" name="Range1_63_30"/>
    <protectedRange sqref="P169" name="Range1_63_3_2"/>
    <protectedRange sqref="B169:O169" name="Range1_63_4_1"/>
    <protectedRange sqref="A162 T162:V162 X162:XFD162" name="Range1_63_31"/>
    <protectedRange sqref="B198:P198 B173:P173 B178:P178 B183:P183 B193:P193 B188:P188" name="Range1_63_4_2"/>
    <protectedRange sqref="R3" name="Range1_63_5_1"/>
    <protectedRange sqref="R2" name="Range1_63_5_1_1"/>
  </protectedRanges>
  <dataConsolidate link="1"/>
  <phoneticPr fontId="14" type="noConversion"/>
  <conditionalFormatting sqref="B126">
    <cfRule type="duplicateValues" dxfId="1948" priority="244"/>
  </conditionalFormatting>
  <conditionalFormatting sqref="B130">
    <cfRule type="duplicateValues" dxfId="1947" priority="245"/>
  </conditionalFormatting>
  <conditionalFormatting sqref="B135">
    <cfRule type="duplicateValues" dxfId="1946" priority="246"/>
  </conditionalFormatting>
  <dataValidations disablePrompts="1" count="8">
    <dataValidation type="list" allowBlank="1" showInputMessage="1" showErrorMessage="1" sqref="B103 B55 B99 B64 B51 B60 B78 B74 B76" xr:uid="{013536CD-67B8-4385-ADA6-80C28315C80B}">
      <formula1>Ma_SKU</formula1>
    </dataValidation>
    <dataValidation type="list" allowBlank="1" showInputMessage="1" showErrorMessage="1" sqref="B112 B108 B116" xr:uid="{20FCE550-D25C-4631-B117-3A8EE8A547D3}">
      <formula1>MaTaiKhoan</formula1>
    </dataValidation>
    <dataValidation type="list" allowBlank="1" showInputMessage="1" showErrorMessage="1" sqref="B135 B126 B130" xr:uid="{94439D58-9D87-433C-96D6-0EC0AC620345}">
      <formula1>MaNhanVien</formula1>
    </dataValidation>
    <dataValidation type="list" allowBlank="1" showInputMessage="1" showErrorMessage="1" sqref="B83 B86" xr:uid="{AFAB2C1A-AFB4-45BD-8469-21BF7600BB9A}">
      <formula1>MaNguyenLieu</formula1>
    </dataValidation>
    <dataValidation type="list" allowBlank="1" showInputMessage="1" showErrorMessage="1" sqref="B200 B195" xr:uid="{C905500D-B607-462A-965C-6F8158474686}">
      <formula1>MaCoDong</formula1>
    </dataValidation>
    <dataValidation type="list" allowBlank="1" showInputMessage="1" showErrorMessage="1" sqref="B175" xr:uid="{3E1FEBB2-C9DE-4EC0-A9F4-C7847722CBAB}">
      <formula1>MaTaiSan</formula1>
    </dataValidation>
    <dataValidation type="list" allowBlank="1" showInputMessage="1" showErrorMessage="1" sqref="B180 B185" xr:uid="{21265826-A0EE-442E-A282-736567944CAB}">
      <formula1>MaDauTu</formula1>
    </dataValidation>
    <dataValidation type="list" allowBlank="1" showInputMessage="1" showErrorMessage="1" sqref="B190"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6" id="{8FDBA642-DE3F-4297-8F37-5F29D79C75AB}">
            <xm:f>Security!$A$1="NO VBA"</xm:f>
            <x14:dxf>
              <font>
                <color theme="0"/>
              </font>
              <border>
                <vertical/>
                <horizontal/>
              </border>
            </x14:dxf>
          </x14:cfRule>
          <xm:sqref>C6:O6 B50:O50 B54:O54 B59:O59 B51:P52 B55:P57 B63:O63 B68:O68 B73:O73 B77:O77 B82:O82 B87:O87 B92:O92 B98:O98 B102:O102 B107:O107 B111:O111 B115:O115 B120:O120 B125:O125 B129:O129 B134:O134 B139:O139 B146:O146 B152:O152 B158:C158 B199:O199 B163:P163 B166:P166 B168:P168 B171:P172 B170 Q2:Q3 F4:Q5 Q1:R1 U1:V1 Y1:XFD1 B60:P61 B64:P66 B69:P71 B108:P109 B112:P113 B126:P127 B153:P156 A4:D5 T47:T48 T2:XFD3 A6:A52 U6:U52 Y6:XFD52 Q6:Q52 R49:T52 Q54:XFD57 A54:A57 A59:A61 Q59:XFD61 Q63:XFD66 A63:A66 A68:A71 Q68:XFD71 Q73:XFD75 A73:A75 A77:A79 Q77:XFD79 Q81:XFD83 A81:A83 A85:A87 Q85:XFD87 Q89:XFD91 A89:A91 Q97:XFD99 A97:A99 A101:A103 Q101:XFD103 A109:A111 Q109:XFD111 Q113:XFD116 A113:A116 A126:A128 Q126:XFD128 Q130:XFD134 A130:A134 Q141:XFD145 A141:A145 A147:A152 Q147:XFD152 Q154:XFD157 A154:A157 B74:P75 B78:P78 B80:P80 B83:P83 B85:P85 B88:P88 B90:P90 A118:A120 Q118:XFD120 A93:XFD94 A95 Q95:XFD95 B96:P96 A136:A139 Q136:XFD139 B105:P105 A159:XFD161 A105:A107 Q105:XFD107 B103:P103 B99:P100 A122:A124 Q122:XFD124 B121:P123 B116:P116 B118:P118 B132:P132 B135:P135 B137:P137 B140:P142 B144:P144 B147:P148 B150:P150 B200:P200 B177:P177 B174:B175 C175:P175 B182:P182 B179:B180 C180:P180 B187:P187 B185:P185 B192:P192 B189:B190 C190:P190 B197:P197 B194:B195 B202:H202 J202:P202 B203:P1048576 B195:P195 Q163:XFD1048576 A163:A1048576 R7:T46 V7:X52 B130:P130 B7:P48 T5:XFD5 U4:XFD4 A1:O3</xm:sqref>
        </x14:conditionalFormatting>
        <x14:conditionalFormatting xmlns:xm="http://schemas.microsoft.com/office/excel/2006/main">
          <x14:cfRule type="expression" priority="65"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4" id="{27A67DF0-42FA-4AED-B5F2-39F20D48E4B2}">
            <xm:f>Security!$A$1="NO VBA"</xm:f>
            <x14:dxf>
              <font>
                <color theme="0"/>
              </font>
              <border>
                <vertical/>
                <horizontal/>
              </border>
            </x14:dxf>
          </x14:cfRule>
          <xm:sqref>P50</xm:sqref>
        </x14:conditionalFormatting>
        <x14:conditionalFormatting xmlns:xm="http://schemas.microsoft.com/office/excel/2006/main">
          <x14:cfRule type="expression" priority="63" id="{3738111B-B3D6-4679-9737-B6E001D6A241}">
            <xm:f>Security!$A$1="NO VBA"</xm:f>
            <x14:dxf>
              <font>
                <color theme="0"/>
              </font>
              <border>
                <vertical/>
                <horizontal/>
              </border>
            </x14:dxf>
          </x14:cfRule>
          <xm:sqref>P54</xm:sqref>
        </x14:conditionalFormatting>
        <x14:conditionalFormatting xmlns:xm="http://schemas.microsoft.com/office/excel/2006/main">
          <x14:cfRule type="expression" priority="62" id="{2F5F0532-5D5F-4E60-A862-808F997170FD}">
            <xm:f>Security!$A$1="NO VBA"</xm:f>
            <x14:dxf>
              <font>
                <color theme="0"/>
              </font>
              <border>
                <vertical/>
                <horizontal/>
              </border>
            </x14:dxf>
          </x14:cfRule>
          <xm:sqref>P59</xm:sqref>
        </x14:conditionalFormatting>
        <x14:conditionalFormatting xmlns:xm="http://schemas.microsoft.com/office/excel/2006/main">
          <x14:cfRule type="expression" priority="61"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0"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59"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58"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57"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0" id="{57EA9CB5-4A03-4848-930B-9D985A56D6D6}">
            <xm:f>Security!$A$1="NO VBA"</xm:f>
            <x14:dxf>
              <font>
                <color theme="0"/>
              </font>
              <border>
                <vertical/>
                <horizontal/>
              </border>
            </x14:dxf>
          </x14:cfRule>
          <xm:sqref>P63</xm:sqref>
        </x14:conditionalFormatting>
        <x14:conditionalFormatting xmlns:xm="http://schemas.microsoft.com/office/excel/2006/main">
          <x14:cfRule type="expression" priority="49" id="{73C94914-A139-4648-91CD-80AAA8BF9D66}">
            <xm:f>Security!$A$1="NO VBA"</xm:f>
            <x14:dxf>
              <font>
                <color theme="0"/>
              </font>
              <border>
                <vertical/>
                <horizontal/>
              </border>
            </x14:dxf>
          </x14:cfRule>
          <xm:sqref>P68</xm:sqref>
        </x14:conditionalFormatting>
        <x14:conditionalFormatting xmlns:xm="http://schemas.microsoft.com/office/excel/2006/main">
          <x14:cfRule type="expression" priority="48" id="{DB82F2D6-F053-41F7-AAFC-16CC469EF4C2}">
            <xm:f>Security!$A$1="NO VBA"</xm:f>
            <x14:dxf>
              <font>
                <color theme="0"/>
              </font>
              <border>
                <vertical/>
                <horizontal/>
              </border>
            </x14:dxf>
          </x14:cfRule>
          <xm:sqref>P73</xm:sqref>
        </x14:conditionalFormatting>
        <x14:conditionalFormatting xmlns:xm="http://schemas.microsoft.com/office/excel/2006/main">
          <x14:cfRule type="expression" priority="47" id="{97E18889-0B1D-4CF4-9806-8A12D7442620}">
            <xm:f>Security!$A$1="NO VBA"</xm:f>
            <x14:dxf>
              <font>
                <color theme="0"/>
              </font>
              <border>
                <vertical/>
                <horizontal/>
              </border>
            </x14:dxf>
          </x14:cfRule>
          <xm:sqref>P77</xm:sqref>
        </x14:conditionalFormatting>
        <x14:conditionalFormatting xmlns:xm="http://schemas.microsoft.com/office/excel/2006/main">
          <x14:cfRule type="expression" priority="46" id="{A79EEE6B-3808-469C-9667-8F4F4BD2F973}">
            <xm:f>Security!$A$1="NO VBA"</xm:f>
            <x14:dxf>
              <font>
                <color theme="0"/>
              </font>
              <border>
                <vertical/>
                <horizontal/>
              </border>
            </x14:dxf>
          </x14:cfRule>
          <xm:sqref>P82</xm:sqref>
        </x14:conditionalFormatting>
        <x14:conditionalFormatting xmlns:xm="http://schemas.microsoft.com/office/excel/2006/main">
          <x14:cfRule type="expression" priority="45" id="{06C818ED-40A0-4EEE-B6B7-E4813360AABF}">
            <xm:f>Security!$A$1="NO VBA"</xm:f>
            <x14:dxf>
              <font>
                <color theme="0"/>
              </font>
              <border>
                <vertical/>
                <horizontal/>
              </border>
            </x14:dxf>
          </x14:cfRule>
          <xm:sqref>P87</xm:sqref>
        </x14:conditionalFormatting>
        <x14:conditionalFormatting xmlns:xm="http://schemas.microsoft.com/office/excel/2006/main">
          <x14:cfRule type="expression" priority="44" id="{D135D4BA-7832-4C9E-98A2-D4A94665A57E}">
            <xm:f>Security!$A$1="NO VBA"</xm:f>
            <x14:dxf>
              <font>
                <color theme="0"/>
              </font>
              <border>
                <vertical/>
                <horizontal/>
              </border>
            </x14:dxf>
          </x14:cfRule>
          <xm:sqref>P92</xm:sqref>
        </x14:conditionalFormatting>
        <x14:conditionalFormatting xmlns:xm="http://schemas.microsoft.com/office/excel/2006/main">
          <x14:cfRule type="expression" priority="43" id="{8D60DA36-23E8-481A-B237-80A434031EAA}">
            <xm:f>Security!$A$1="NO VBA"</xm:f>
            <x14:dxf>
              <font>
                <color theme="0"/>
              </font>
              <border>
                <vertical/>
                <horizontal/>
              </border>
            </x14:dxf>
          </x14:cfRule>
          <xm:sqref>P98</xm:sqref>
        </x14:conditionalFormatting>
        <x14:conditionalFormatting xmlns:xm="http://schemas.microsoft.com/office/excel/2006/main">
          <x14:cfRule type="expression" priority="42" id="{6C78D690-3438-42C1-86AD-037AC753EB27}">
            <xm:f>Security!$A$1="NO VBA"</xm:f>
            <x14:dxf>
              <font>
                <color theme="0"/>
              </font>
              <border>
                <vertical/>
                <horizontal/>
              </border>
            </x14:dxf>
          </x14:cfRule>
          <xm:sqref>P102</xm:sqref>
        </x14:conditionalFormatting>
        <x14:conditionalFormatting xmlns:xm="http://schemas.microsoft.com/office/excel/2006/main">
          <x14:cfRule type="expression" priority="41" id="{E68582C2-EB54-46C5-8F2B-60709A105FA2}">
            <xm:f>Security!$A$1="NO VBA"</xm:f>
            <x14:dxf>
              <font>
                <color theme="0"/>
              </font>
              <border>
                <vertical/>
                <horizontal/>
              </border>
            </x14:dxf>
          </x14:cfRule>
          <xm:sqref>P107</xm:sqref>
        </x14:conditionalFormatting>
        <x14:conditionalFormatting xmlns:xm="http://schemas.microsoft.com/office/excel/2006/main">
          <x14:cfRule type="expression" priority="40" id="{50B1FB18-4CBC-4A27-A4AE-BDCBBCCABE9D}">
            <xm:f>Security!$A$1="NO VBA"</xm:f>
            <x14:dxf>
              <font>
                <color theme="0"/>
              </font>
              <border>
                <vertical/>
                <horizontal/>
              </border>
            </x14:dxf>
          </x14:cfRule>
          <xm:sqref>P111</xm:sqref>
        </x14:conditionalFormatting>
        <x14:conditionalFormatting xmlns:xm="http://schemas.microsoft.com/office/excel/2006/main">
          <x14:cfRule type="expression" priority="39" id="{E1F1352F-0A5F-4ADC-B417-5312CA7D3049}">
            <xm:f>Security!$A$1="NO VBA"</xm:f>
            <x14:dxf>
              <font>
                <color theme="0"/>
              </font>
              <border>
                <vertical/>
                <horizontal/>
              </border>
            </x14:dxf>
          </x14:cfRule>
          <xm:sqref>P115</xm:sqref>
        </x14:conditionalFormatting>
        <x14:conditionalFormatting xmlns:xm="http://schemas.microsoft.com/office/excel/2006/main">
          <x14:cfRule type="expression" priority="38" id="{0C48B664-FF57-4E7D-88BA-BFC94AB9A0D6}">
            <xm:f>Security!$A$1="NO VBA"</xm:f>
            <x14:dxf>
              <font>
                <color theme="0"/>
              </font>
              <border>
                <vertical/>
                <horizontal/>
              </border>
            </x14:dxf>
          </x14:cfRule>
          <xm:sqref>P120</xm:sqref>
        </x14:conditionalFormatting>
        <x14:conditionalFormatting xmlns:xm="http://schemas.microsoft.com/office/excel/2006/main">
          <x14:cfRule type="expression" priority="37" id="{981165A7-C1B0-447B-B86C-58CFF89704E4}">
            <xm:f>Security!$A$1="NO VBA"</xm:f>
            <x14:dxf>
              <font>
                <color theme="0"/>
              </font>
              <border>
                <vertical/>
                <horizontal/>
              </border>
            </x14:dxf>
          </x14:cfRule>
          <xm:sqref>P125</xm:sqref>
        </x14:conditionalFormatting>
        <x14:conditionalFormatting xmlns:xm="http://schemas.microsoft.com/office/excel/2006/main">
          <x14:cfRule type="expression" priority="36" id="{A5F8DDDA-1BF9-4FE4-B91D-6552E39EE139}">
            <xm:f>Security!$A$1="NO VBA"</xm:f>
            <x14:dxf>
              <font>
                <color theme="0"/>
              </font>
              <border>
                <vertical/>
                <horizontal/>
              </border>
            </x14:dxf>
          </x14:cfRule>
          <xm:sqref>P129</xm:sqref>
        </x14:conditionalFormatting>
        <x14:conditionalFormatting xmlns:xm="http://schemas.microsoft.com/office/excel/2006/main">
          <x14:cfRule type="expression" priority="35" id="{A3486581-7C78-4B0F-869F-0F739C31464F}">
            <xm:f>Security!$A$1="NO VBA"</xm:f>
            <x14:dxf>
              <font>
                <color theme="0"/>
              </font>
              <border>
                <vertical/>
                <horizontal/>
              </border>
            </x14:dxf>
          </x14:cfRule>
          <xm:sqref>P134</xm:sqref>
        </x14:conditionalFormatting>
        <x14:conditionalFormatting xmlns:xm="http://schemas.microsoft.com/office/excel/2006/main">
          <x14:cfRule type="expression" priority="34" id="{DD2A23B2-1EE1-47E2-8B68-003771148DEA}">
            <xm:f>Security!$A$1="NO VBA"</xm:f>
            <x14:dxf>
              <font>
                <color theme="0"/>
              </font>
              <border>
                <vertical/>
                <horizontal/>
              </border>
            </x14:dxf>
          </x14:cfRule>
          <xm:sqref>P139</xm:sqref>
        </x14:conditionalFormatting>
        <x14:conditionalFormatting xmlns:xm="http://schemas.microsoft.com/office/excel/2006/main">
          <x14:cfRule type="expression" priority="33" id="{D76DC358-6F52-4A0E-8C9F-BA80314D82C0}">
            <xm:f>Security!$A$1="NO VBA"</xm:f>
            <x14:dxf>
              <font>
                <color theme="0"/>
              </font>
              <border>
                <vertical/>
                <horizontal/>
              </border>
            </x14:dxf>
          </x14:cfRule>
          <xm:sqref>P146</xm:sqref>
        </x14:conditionalFormatting>
        <x14:conditionalFormatting xmlns:xm="http://schemas.microsoft.com/office/excel/2006/main">
          <x14:cfRule type="expression" priority="32" id="{C3A42E95-3140-4C9B-94E4-AC4E3AA624FF}">
            <xm:f>Security!$A$1="NO VBA"</xm:f>
            <x14:dxf>
              <font>
                <color theme="0"/>
              </font>
              <border>
                <vertical/>
                <horizontal/>
              </border>
            </x14:dxf>
          </x14:cfRule>
          <xm:sqref>P152</xm:sqref>
        </x14:conditionalFormatting>
        <x14:conditionalFormatting xmlns:xm="http://schemas.microsoft.com/office/excel/2006/main">
          <x14:cfRule type="expression" priority="30" id="{8D7CB896-4D90-4EB2-808E-28F93E91A3E0}">
            <xm:f>Security!$A$1="NO VBA"</xm:f>
            <x14:dxf>
              <font>
                <color theme="0"/>
              </font>
              <border>
                <vertical/>
                <horizontal/>
              </border>
            </x14:dxf>
          </x14:cfRule>
          <xm:sqref>P199</xm:sqref>
        </x14:conditionalFormatting>
        <x14:conditionalFormatting xmlns:xm="http://schemas.microsoft.com/office/excel/2006/main">
          <x14:cfRule type="expression" priority="29" id="{0E875358-084C-427B-9FD6-477C9D10318E}">
            <xm:f>Security!$A$1="NO VBA"</xm:f>
            <x14:dxf>
              <font>
                <color theme="0"/>
              </font>
              <border>
                <vertical/>
                <horizontal/>
              </border>
            </x14:dxf>
          </x14:cfRule>
          <xm:sqref>D158:O158</xm:sqref>
        </x14:conditionalFormatting>
        <x14:conditionalFormatting xmlns:xm="http://schemas.microsoft.com/office/excel/2006/main">
          <x14:cfRule type="expression" priority="28" id="{D9BA7C7B-B73B-4592-8B51-EAEF65199CFD}">
            <xm:f>Security!$A$1="NO VBA"</xm:f>
            <x14:dxf>
              <font>
                <color theme="0"/>
              </font>
              <border>
                <vertical/>
                <horizontal/>
              </border>
            </x14:dxf>
          </x14:cfRule>
          <xm:sqref>P158</xm:sqref>
        </x14:conditionalFormatting>
        <x14:conditionalFormatting xmlns:xm="http://schemas.microsoft.com/office/excel/2006/main">
          <x14:cfRule type="expression" priority="27" id="{FDC44543-CF9C-43F0-A9B8-D47D23DA5A50}">
            <xm:f>Security!$A$1="NO VBA"</xm:f>
            <x14:dxf>
              <font>
                <color theme="0"/>
              </font>
              <border>
                <vertical/>
                <horizontal/>
              </border>
            </x14:dxf>
          </x14:cfRule>
          <xm:sqref>B165:C165</xm:sqref>
        </x14:conditionalFormatting>
        <x14:conditionalFormatting xmlns:xm="http://schemas.microsoft.com/office/excel/2006/main">
          <x14:cfRule type="expression" priority="26" id="{717AC35C-36FA-48FA-8858-91F77AF2A102}">
            <xm:f>Security!$A$1="NO VBA"</xm:f>
            <x14:dxf>
              <font>
                <color theme="0"/>
              </font>
              <border>
                <vertical/>
                <horizontal/>
              </border>
            </x14:dxf>
          </x14:cfRule>
          <xm:sqref>D165:O165</xm:sqref>
        </x14:conditionalFormatting>
        <x14:conditionalFormatting xmlns:xm="http://schemas.microsoft.com/office/excel/2006/main">
          <x14:cfRule type="expression" priority="25" id="{57E83F62-33A9-4706-91CD-EF4E7AE8419A}">
            <xm:f>Security!$A$1="NO VBA"</xm:f>
            <x14:dxf>
              <font>
                <color theme="0"/>
              </font>
              <border>
                <vertical/>
                <horizontal/>
              </border>
            </x14:dxf>
          </x14:cfRule>
          <xm:sqref>P165</xm:sqref>
        </x14:conditionalFormatting>
        <x14:conditionalFormatting xmlns:xm="http://schemas.microsoft.com/office/excel/2006/main">
          <x14:cfRule type="expression" priority="24" id="{1D71745C-7079-4D0B-BCCE-2F705E8B2B16}">
            <xm:f>Security!$A$1="NO VBA"</xm:f>
            <x14:dxf>
              <font>
                <color theme="0"/>
              </font>
              <border>
                <vertical/>
                <horizontal/>
              </border>
            </x14:dxf>
          </x14:cfRule>
          <xm:sqref>C170</xm:sqref>
        </x14:conditionalFormatting>
        <x14:conditionalFormatting xmlns:xm="http://schemas.microsoft.com/office/excel/2006/main">
          <x14:cfRule type="expression" priority="23" id="{573DFCAF-4F10-46AE-9809-6A819C393F31}">
            <xm:f>Security!$A$1="NO VBA"</xm:f>
            <x14:dxf>
              <font>
                <color theme="0"/>
              </font>
              <border>
                <vertical/>
                <horizontal/>
              </border>
            </x14:dxf>
          </x14:cfRule>
          <xm:sqref>D170:O170</xm:sqref>
        </x14:conditionalFormatting>
        <x14:conditionalFormatting xmlns:xm="http://schemas.microsoft.com/office/excel/2006/main">
          <x14:cfRule type="expression" priority="22" id="{08BC403E-5645-48B3-B223-6338ECF5B35A}">
            <xm:f>Security!$A$1="NO VBA"</xm:f>
            <x14:dxf>
              <font>
                <color theme="0"/>
              </font>
              <border>
                <vertical/>
                <horizontal/>
              </border>
            </x14:dxf>
          </x14:cfRule>
          <xm:sqref>P170</xm:sqref>
        </x14:conditionalFormatting>
        <x14:conditionalFormatting xmlns:xm="http://schemas.microsoft.com/office/excel/2006/main">
          <x14:cfRule type="expression" priority="21"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19" id="{50E087D5-036F-44A5-BBB3-8289586706AF}">
            <xm:f>Security!$A$1="NO VBA"</xm:f>
            <x14:dxf>
              <font>
                <color theme="0"/>
              </font>
              <border>
                <vertical/>
                <horizontal/>
              </border>
            </x14:dxf>
          </x14:cfRule>
          <xm:sqref>C174</xm:sqref>
        </x14:conditionalFormatting>
        <x14:conditionalFormatting xmlns:xm="http://schemas.microsoft.com/office/excel/2006/main">
          <x14:cfRule type="expression" priority="18" id="{2C4C2525-7C21-4170-A323-4E962FDBF38E}">
            <xm:f>Security!$A$1="NO VBA"</xm:f>
            <x14:dxf>
              <font>
                <color theme="0"/>
              </font>
              <border>
                <vertical/>
                <horizontal/>
              </border>
            </x14:dxf>
          </x14:cfRule>
          <xm:sqref>D174:O174</xm:sqref>
        </x14:conditionalFormatting>
        <x14:conditionalFormatting xmlns:xm="http://schemas.microsoft.com/office/excel/2006/main">
          <x14:cfRule type="expression" priority="17" id="{BA6E6235-10B3-4F86-8F42-B8A3E0B12AAA}">
            <xm:f>Security!$A$1="NO VBA"</xm:f>
            <x14:dxf>
              <font>
                <color theme="0"/>
              </font>
              <border>
                <vertical/>
                <horizontal/>
              </border>
            </x14:dxf>
          </x14:cfRule>
          <xm:sqref>P174</xm:sqref>
        </x14:conditionalFormatting>
        <x14:conditionalFormatting xmlns:xm="http://schemas.microsoft.com/office/excel/2006/main">
          <x14:cfRule type="expression" priority="16" id="{DF1DD268-E783-4C6F-9F51-39A066F73B49}">
            <xm:f>Security!$A$1="NO VBA"</xm:f>
            <x14:dxf>
              <font>
                <color theme="0"/>
              </font>
              <border>
                <vertical/>
                <horizontal/>
              </border>
            </x14:dxf>
          </x14:cfRule>
          <xm:sqref>C179</xm:sqref>
        </x14:conditionalFormatting>
        <x14:conditionalFormatting xmlns:xm="http://schemas.microsoft.com/office/excel/2006/main">
          <x14:cfRule type="expression" priority="15" id="{9FABA559-A8CA-4CFA-B7FD-FD07EF371D95}">
            <xm:f>Security!$A$1="NO VBA"</xm:f>
            <x14:dxf>
              <font>
                <color theme="0"/>
              </font>
              <border>
                <vertical/>
                <horizontal/>
              </border>
            </x14:dxf>
          </x14:cfRule>
          <xm:sqref>D179:O179</xm:sqref>
        </x14:conditionalFormatting>
        <x14:conditionalFormatting xmlns:xm="http://schemas.microsoft.com/office/excel/2006/main">
          <x14:cfRule type="expression" priority="14" id="{0BA0C8C3-CE56-4ACA-90C0-A2ACDDF6FA21}">
            <xm:f>Security!$A$1="NO VBA"</xm:f>
            <x14:dxf>
              <font>
                <color theme="0"/>
              </font>
              <border>
                <vertical/>
                <horizontal/>
              </border>
            </x14:dxf>
          </x14:cfRule>
          <xm:sqref>P179</xm:sqref>
        </x14:conditionalFormatting>
        <x14:conditionalFormatting xmlns:xm="http://schemas.microsoft.com/office/excel/2006/main">
          <x14:cfRule type="expression" priority="13" id="{AC2C341A-A4E0-4EA4-808E-31C51EB153B9}">
            <xm:f>Security!$A$1="NO VBA"</xm:f>
            <x14:dxf>
              <font>
                <color theme="0"/>
              </font>
              <border>
                <vertical/>
                <horizontal/>
              </border>
            </x14:dxf>
          </x14:cfRule>
          <xm:sqref>C184</xm:sqref>
        </x14:conditionalFormatting>
        <x14:conditionalFormatting xmlns:xm="http://schemas.microsoft.com/office/excel/2006/main">
          <x14:cfRule type="expression" priority="12" id="{48BA94AC-B811-473F-B96E-C3FBA3B16212}">
            <xm:f>Security!$A$1="NO VBA"</xm:f>
            <x14:dxf>
              <font>
                <color theme="0"/>
              </font>
              <border>
                <vertical/>
                <horizontal/>
              </border>
            </x14:dxf>
          </x14:cfRule>
          <xm:sqref>D184:O184</xm:sqref>
        </x14:conditionalFormatting>
        <x14:conditionalFormatting xmlns:xm="http://schemas.microsoft.com/office/excel/2006/main">
          <x14:cfRule type="expression" priority="11" id="{12794AC0-F5A1-4CA8-98B1-60ED6E350A56}">
            <xm:f>Security!$A$1="NO VBA"</xm:f>
            <x14:dxf>
              <font>
                <color theme="0"/>
              </font>
              <border>
                <vertical/>
                <horizontal/>
              </border>
            </x14:dxf>
          </x14:cfRule>
          <xm:sqref>P184</xm:sqref>
        </x14:conditionalFormatting>
        <x14:conditionalFormatting xmlns:xm="http://schemas.microsoft.com/office/excel/2006/main">
          <x14:cfRule type="expression" priority="7" id="{9A2C555B-40D9-451C-97E5-4798563A0A53}">
            <xm:f>Security!$A$1="NO VBA"</xm:f>
            <x14:dxf>
              <font>
                <color theme="0"/>
              </font>
              <border>
                <vertical/>
                <horizontal/>
              </border>
            </x14:dxf>
          </x14:cfRule>
          <xm:sqref>C189</xm:sqref>
        </x14:conditionalFormatting>
        <x14:conditionalFormatting xmlns:xm="http://schemas.microsoft.com/office/excel/2006/main">
          <x14:cfRule type="expression" priority="6" id="{7E368F59-BDA0-4502-8249-54FC031257BB}">
            <xm:f>Security!$A$1="NO VBA"</xm:f>
            <x14:dxf>
              <font>
                <color theme="0"/>
              </font>
              <border>
                <vertical/>
                <horizontal/>
              </border>
            </x14:dxf>
          </x14:cfRule>
          <xm:sqref>D189:O189</xm:sqref>
        </x14:conditionalFormatting>
        <x14:conditionalFormatting xmlns:xm="http://schemas.microsoft.com/office/excel/2006/main">
          <x14:cfRule type="expression" priority="5" id="{6EB0E0A4-00E8-4643-8B23-4DD6D3CC989B}">
            <xm:f>Security!$A$1="NO VBA"</xm:f>
            <x14:dxf>
              <font>
                <color theme="0"/>
              </font>
              <border>
                <vertical/>
                <horizontal/>
              </border>
            </x14:dxf>
          </x14:cfRule>
          <xm:sqref>P189</xm:sqref>
        </x14:conditionalFormatting>
        <x14:conditionalFormatting xmlns:xm="http://schemas.microsoft.com/office/excel/2006/main">
          <x14:cfRule type="expression" priority="3" id="{3D33BADA-6010-4525-BB4A-7ADAA75274F2}">
            <xm:f>Security!$A$1="NO VBA"</xm:f>
            <x14:dxf>
              <font>
                <color theme="0"/>
              </font>
              <border>
                <vertical/>
                <horizontal/>
              </border>
            </x14:dxf>
          </x14:cfRule>
          <xm:sqref>D194:O194</xm:sqref>
        </x14:conditionalFormatting>
        <x14:conditionalFormatting xmlns:xm="http://schemas.microsoft.com/office/excel/2006/main">
          <x14:cfRule type="expression" priority="2" id="{E77E04FE-29F4-4567-B7BE-58687ADDE315}">
            <xm:f>Security!$A$1="NO VBA"</xm:f>
            <x14:dxf>
              <font>
                <color theme="0"/>
              </font>
              <border>
                <vertical/>
                <horizontal/>
              </border>
            </x14:dxf>
          </x14:cfRule>
          <xm:sqref>P194</xm:sqref>
        </x14:conditionalFormatting>
        <x14:conditionalFormatting xmlns:xm="http://schemas.microsoft.com/office/excel/2006/main">
          <x14:cfRule type="expression" priority="1" id="{4A8FBDCB-EB97-497E-9149-C491172A9C9C}">
            <xm:f>Security!$A$1="NO VBA"</xm:f>
            <x14:dxf>
              <font>
                <color theme="0"/>
              </font>
              <border>
                <vertical/>
                <horizontal/>
              </border>
            </x14:dxf>
          </x14:cfRule>
          <xm:sqref>C194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771351B2-004C-4306-ADA0-02C528AA95BA}">
          <x14:formula1>
            <xm:f>Sheet_ChiPhiKD!$G$14:$G$18</xm:f>
          </x14:formula1>
          <xm:sqref>B93:B94 B88 B90:B91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7"/>
  <sheetViews>
    <sheetView showGridLines="0" topLeftCell="O32" workbookViewId="0">
      <selection activeCell="V49" sqref="V49"/>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16384" width="9" style="7"/>
  </cols>
  <sheetData>
    <row r="1" spans="2:22" ht="18" customHeight="1" x14ac:dyDescent="0.3">
      <c r="B1" s="242"/>
      <c r="C1" s="7" t="s">
        <v>2</v>
      </c>
      <c r="D1" s="242">
        <v>1</v>
      </c>
      <c r="E1" s="242">
        <v>2</v>
      </c>
      <c r="F1" s="242">
        <v>3</v>
      </c>
      <c r="G1" s="242">
        <v>4</v>
      </c>
      <c r="H1" s="242">
        <v>5</v>
      </c>
      <c r="I1" s="242">
        <v>6</v>
      </c>
      <c r="J1" s="242">
        <v>7</v>
      </c>
      <c r="K1" s="242">
        <v>8</v>
      </c>
      <c r="L1" s="242">
        <v>9</v>
      </c>
      <c r="M1" s="242">
        <v>10</v>
      </c>
      <c r="N1" s="242">
        <v>11</v>
      </c>
      <c r="O1" s="242">
        <v>12</v>
      </c>
      <c r="P1" s="242">
        <v>13</v>
      </c>
      <c r="Q1" s="242"/>
      <c r="R1" s="242"/>
      <c r="S1" s="323"/>
      <c r="T1" s="242"/>
      <c r="U1" s="242"/>
      <c r="V1" s="324"/>
    </row>
    <row r="2" spans="2:22" ht="18" customHeight="1" x14ac:dyDescent="0.3">
      <c r="B2" s="242"/>
      <c r="C2" s="323"/>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2"/>
      <c r="R2" s="242"/>
    </row>
    <row r="3" spans="2:22" ht="18" customHeight="1" x14ac:dyDescent="0.3">
      <c r="B3" s="4" t="s">
        <v>884</v>
      </c>
      <c r="C3" s="4" t="s">
        <v>353</v>
      </c>
      <c r="D3" s="16" t="s">
        <v>269</v>
      </c>
      <c r="E3" s="16" t="s">
        <v>270</v>
      </c>
      <c r="F3" s="16" t="s">
        <v>271</v>
      </c>
      <c r="G3" s="16" t="s">
        <v>272</v>
      </c>
      <c r="H3" s="16" t="s">
        <v>273</v>
      </c>
      <c r="I3" s="16" t="s">
        <v>274</v>
      </c>
      <c r="J3" s="16" t="s">
        <v>275</v>
      </c>
      <c r="K3" s="16" t="s">
        <v>276</v>
      </c>
      <c r="L3" s="16" t="s">
        <v>277</v>
      </c>
      <c r="M3" s="16" t="s">
        <v>278</v>
      </c>
      <c r="N3" s="16" t="s">
        <v>279</v>
      </c>
      <c r="O3" s="16" t="s">
        <v>280</v>
      </c>
      <c r="P3" s="4" t="s">
        <v>281</v>
      </c>
      <c r="Q3" s="242"/>
      <c r="R3" s="4" t="s">
        <v>884</v>
      </c>
      <c r="S3" s="4" t="s">
        <v>883</v>
      </c>
      <c r="T3" s="242"/>
      <c r="U3" s="4" t="s">
        <v>884</v>
      </c>
      <c r="V3" s="4" t="s">
        <v>883</v>
      </c>
    </row>
    <row r="4" spans="2:22" ht="18" customHeight="1" x14ac:dyDescent="0.3">
      <c r="B4" s="74" t="s">
        <v>354</v>
      </c>
      <c r="C4" s="325"/>
      <c r="D4" s="326"/>
      <c r="E4" s="326"/>
      <c r="F4" s="326"/>
      <c r="G4" s="326"/>
      <c r="H4" s="326"/>
      <c r="I4" s="326"/>
      <c r="J4" s="326"/>
      <c r="K4" s="326"/>
      <c r="L4" s="326"/>
      <c r="M4" s="326"/>
      <c r="N4" s="326"/>
      <c r="O4" s="326"/>
      <c r="P4" s="327"/>
      <c r="Q4" s="242"/>
      <c r="R4" s="74" t="s">
        <v>354</v>
      </c>
      <c r="S4" s="326"/>
      <c r="T4" s="242"/>
      <c r="U4" s="74" t="s">
        <v>354</v>
      </c>
      <c r="V4" s="326"/>
    </row>
    <row r="5" spans="2:22" ht="18" customHeight="1" outlineLevel="1" x14ac:dyDescent="0.3">
      <c r="B5" s="74" t="s">
        <v>73</v>
      </c>
      <c r="C5" s="328"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8"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8"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8"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8"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8"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8"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8"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8"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8"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8"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8"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8"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6"/>
      <c r="Q5" s="242"/>
      <c r="R5" s="74" t="s">
        <v>73</v>
      </c>
      <c r="S5" s="328"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2"/>
      <c r="U5" s="74" t="s">
        <v>73</v>
      </c>
      <c r="V5" s="328"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282</v>
      </c>
      <c r="C6" s="104" t="e">
        <f>(-C21/(C19/C5))/12</f>
        <v>#DIV/0!</v>
      </c>
      <c r="D6" s="104" t="e">
        <f t="shared" ref="D6:O6" si="1">(-D21/(D19/D5))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9"/>
      <c r="Q6" s="242"/>
      <c r="R6" s="87" t="s">
        <v>282</v>
      </c>
      <c r="S6" s="104" t="e">
        <f>(-S21/(S19/S5))/12</f>
        <v>#DIV/0!</v>
      </c>
      <c r="T6" s="242"/>
      <c r="U6" s="87" t="s">
        <v>282</v>
      </c>
      <c r="V6" s="104" t="e">
        <f>(-V21/(V19/V5))</f>
        <v>#DIV/0!</v>
      </c>
    </row>
    <row r="7" spans="2:22" ht="18" customHeight="1" outlineLevel="1" x14ac:dyDescent="0.3">
      <c r="B7" s="87" t="s">
        <v>283</v>
      </c>
      <c r="C7" s="104" t="e">
        <f>(-C21/(C19/C5))/365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9"/>
      <c r="Q7" s="242"/>
      <c r="R7" s="87" t="s">
        <v>283</v>
      </c>
      <c r="S7" s="104" t="e">
        <f>S6/(365.25/12)</f>
        <v>#DIV/0!</v>
      </c>
      <c r="T7" s="242"/>
      <c r="U7" s="87" t="s">
        <v>283</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9"/>
      <c r="Q8" s="242"/>
      <c r="R8" s="54" t="s">
        <v>75</v>
      </c>
      <c r="S8" s="210" t="e">
        <f>(S5/_xlfn.DAYS(DATE(S1+1,1,1), DATE(S1,1,1)))/S7-1</f>
        <v>#DIV/0!</v>
      </c>
      <c r="T8" s="242"/>
      <c r="U8" s="54" t="s">
        <v>75</v>
      </c>
      <c r="V8" s="110" t="e">
        <f>(V5/_xlfn.DAYS(DATE(YEAR(V$1),MONTH(V$1)+1,1),V$1))/V7-1</f>
        <v>#DIV/0!</v>
      </c>
    </row>
    <row r="9" spans="2:22" ht="18" customHeight="1" outlineLevel="1" x14ac:dyDescent="0.3">
      <c r="B9" s="74" t="s">
        <v>33</v>
      </c>
      <c r="C9" s="330" cm="1">
        <f t="array" ref="C9">IFERROR(SUM(
_xlfn._xlws.FILTER(Table_Main[Thành tiền niêm yết],
NOT(ISBLANK(Table_Main[Đơn bán]))*
(Table_Main[Ngày lên đơn] &gt;= D2)*
(Table_Main[Ngày lên đơn] &lt; P2)
)),0)</f>
        <v>0</v>
      </c>
      <c r="D9" s="330" cm="1">
        <f t="array" ref="D9">IFERROR(SUM(
_xlfn._xlws.FILTER(Table_Main[Thành tiền niêm yết],
NOT(ISBLANK(Table_Main[Đơn bán]))*
(Table_Main[Ngày lên đơn] &gt;= D2)*
(Table_Main[Ngày lên đơn] &lt; E2)
)),0)</f>
        <v>0</v>
      </c>
      <c r="E9" s="330" cm="1">
        <f t="array" ref="E9">IFERROR(SUM(
_xlfn._xlws.FILTER(Table_Main[Thành tiền niêm yết],
NOT(ISBLANK(Table_Main[Đơn bán]))*
(Table_Main[Ngày lên đơn] &gt;= E2)*
(Table_Main[Ngày lên đơn] &lt; F2)
)),0)</f>
        <v>0</v>
      </c>
      <c r="F9" s="330" cm="1">
        <f t="array" ref="F9">IFERROR(SUM(
_xlfn._xlws.FILTER(Table_Main[Thành tiền niêm yết],
NOT(ISBLANK(Table_Main[Đơn bán]))*
(Table_Main[Ngày lên đơn] &gt;= F2)*
(Table_Main[Ngày lên đơn] &lt; G2)
)),0)</f>
        <v>0</v>
      </c>
      <c r="G9" s="330" cm="1">
        <f t="array" ref="G9">IFERROR(SUM(
_xlfn._xlws.FILTER(Table_Main[Thành tiền niêm yết],
NOT(ISBLANK(Table_Main[Đơn bán]))*
(Table_Main[Ngày lên đơn] &gt;= G2)*
(Table_Main[Ngày lên đơn] &lt; H2)
)),0)</f>
        <v>0</v>
      </c>
      <c r="H9" s="330" cm="1">
        <f t="array" ref="H9">IFERROR(SUM(
_xlfn._xlws.FILTER(Table_Main[Thành tiền niêm yết],
NOT(ISBLANK(Table_Main[Đơn bán]))*
(Table_Main[Ngày lên đơn] &gt;= H2)*
(Table_Main[Ngày lên đơn] &lt; I2)
)),0)</f>
        <v>0</v>
      </c>
      <c r="I9" s="330" cm="1">
        <f t="array" ref="I9">IFERROR(SUM(
_xlfn._xlws.FILTER(Table_Main[Thành tiền niêm yết],
NOT(ISBLANK(Table_Main[Đơn bán]))*
(Table_Main[Ngày lên đơn] &gt;= I2)*
(Table_Main[Ngày lên đơn] &lt; J2)
)),0)</f>
        <v>0</v>
      </c>
      <c r="J9" s="330" cm="1">
        <f t="array" ref="J9">IFERROR(SUM(
_xlfn._xlws.FILTER(Table_Main[Thành tiền niêm yết],
NOT(ISBLANK(Table_Main[Đơn bán]))*
(Table_Main[Ngày lên đơn] &gt;= J2)*
(Table_Main[Ngày lên đơn] &lt; K2)
)),0)</f>
        <v>0</v>
      </c>
      <c r="K9" s="330" cm="1">
        <f t="array" ref="K9">IFERROR(SUM(
_xlfn._xlws.FILTER(Table_Main[Thành tiền niêm yết],
NOT(ISBLANK(Table_Main[Đơn bán]))*
(Table_Main[Ngày lên đơn] &gt;= K2)*
(Table_Main[Ngày lên đơn] &lt; L2)
)),0)</f>
        <v>0</v>
      </c>
      <c r="L9" s="330" cm="1">
        <f t="array" ref="L9">IFERROR(SUM(
_xlfn._xlws.FILTER(Table_Main[Thành tiền niêm yết],
NOT(ISBLANK(Table_Main[Đơn bán]))*
(Table_Main[Ngày lên đơn] &gt;= L2)*
(Table_Main[Ngày lên đơn] &lt; M2)
)),0)</f>
        <v>0</v>
      </c>
      <c r="M9" s="330" cm="1">
        <f t="array" ref="M9">IFERROR(SUM(
_xlfn._xlws.FILTER(Table_Main[Thành tiền niêm yết],
NOT(ISBLANK(Table_Main[Đơn bán]))*
(Table_Main[Ngày lên đơn] &gt;= M2)*
(Table_Main[Ngày lên đơn] &lt; N2)
)),0)</f>
        <v>0</v>
      </c>
      <c r="N9" s="330" cm="1">
        <f t="array" ref="N9">IFERROR(SUM(
_xlfn._xlws.FILTER(Table_Main[Thành tiền niêm yết],
NOT(ISBLANK(Table_Main[Đơn bán]))*
(Table_Main[Ngày lên đơn] &gt;= N2)*
(Table_Main[Ngày lên đơn] &lt; O2)
)),0)</f>
        <v>0</v>
      </c>
      <c r="O9" s="330" cm="1">
        <f t="array" ref="O9">IFERROR(SUM(
_xlfn._xlws.FILTER(Table_Main[Thành tiền niêm yết],
NOT(ISBLANK(Table_Main[Đơn bán]))*
(Table_Main[Ngày lên đơn] &gt;= O2)*
(Table_Main[Ngày lên đơn] &lt; P2)
)),0)</f>
        <v>0</v>
      </c>
      <c r="P9" s="326"/>
      <c r="Q9" s="242"/>
      <c r="R9" s="74" t="s">
        <v>33</v>
      </c>
      <c r="S9" s="330" cm="1">
        <f t="array" ref="S9">IFERROR(SUM(
_xlfn._xlws.FILTER(Table_Main[Thành tiền niêm yết],
NOT(ISBLANK(Table_Main[Đơn bán]))*
(Table_Main[Ngày lên đơn] &gt;= DATE(S$1,1,1))*
(Table_Main[Ngày lên đơn] &lt;DATE(S$1+1,1,1))
)),0)</f>
        <v>0</v>
      </c>
      <c r="T9" s="242"/>
      <c r="U9" s="74" t="s">
        <v>33</v>
      </c>
      <c r="V9" s="103" cm="1">
        <f t="array" ref="V9">IFERROR(SUM(
_xlfn._xlws.FILTER(Table_Main[Thành tiền niêm yết],
NOT(ISBLANK(Table_Main[Đơn bán]))*
(Table_Main[Ngày lên đơn] &gt;= V$1)*
(Table_Main[Ngày lên đơn] &lt;DATE(YEAR(V$1),MONTH(V$1)+1,1))
)),0)</f>
        <v>0</v>
      </c>
    </row>
    <row r="10" spans="2:22" ht="18" customHeight="1" outlineLevel="1" x14ac:dyDescent="0.3">
      <c r="B10" s="99" t="s">
        <v>284</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6"/>
      <c r="Q10" s="242"/>
      <c r="R10" s="99" t="s">
        <v>284</v>
      </c>
      <c r="S10" s="109">
        <f>IFERROR((S9+S11)/S9,0)</f>
        <v>0</v>
      </c>
      <c r="T10" s="242"/>
      <c r="U10" s="99" t="s">
        <v>284</v>
      </c>
      <c r="V10" s="109">
        <f>IFERROR((V9+V11)/V9,0)</f>
        <v>0</v>
      </c>
    </row>
    <row r="11" spans="2:22" ht="18" customHeight="1" outlineLevel="1" x14ac:dyDescent="0.3">
      <c r="B11" s="54" t="s">
        <v>77</v>
      </c>
      <c r="C11" s="325">
        <f t="shared" ref="C11:O11" si="5">SUM(C12:C18)</f>
        <v>0</v>
      </c>
      <c r="D11" s="325">
        <f t="shared" si="5"/>
        <v>0</v>
      </c>
      <c r="E11" s="325">
        <f t="shared" si="5"/>
        <v>0</v>
      </c>
      <c r="F11" s="325">
        <f t="shared" si="5"/>
        <v>0</v>
      </c>
      <c r="G11" s="325">
        <f t="shared" si="5"/>
        <v>0</v>
      </c>
      <c r="H11" s="325">
        <f t="shared" si="5"/>
        <v>0</v>
      </c>
      <c r="I11" s="325">
        <f t="shared" si="5"/>
        <v>0</v>
      </c>
      <c r="J11" s="325">
        <f t="shared" si="5"/>
        <v>0</v>
      </c>
      <c r="K11" s="325">
        <f t="shared" si="5"/>
        <v>0</v>
      </c>
      <c r="L11" s="325">
        <f t="shared" si="5"/>
        <v>0</v>
      </c>
      <c r="M11" s="325">
        <f t="shared" si="5"/>
        <v>0</v>
      </c>
      <c r="N11" s="325">
        <f t="shared" si="5"/>
        <v>0</v>
      </c>
      <c r="O11" s="325">
        <f t="shared" si="5"/>
        <v>0</v>
      </c>
      <c r="P11" s="326"/>
      <c r="Q11" s="242"/>
      <c r="R11" s="54" t="s">
        <v>77</v>
      </c>
      <c r="S11" s="325">
        <f>SUM(S12:S18)</f>
        <v>0</v>
      </c>
      <c r="T11" s="242"/>
      <c r="U11" s="54" t="s">
        <v>77</v>
      </c>
      <c r="V11" s="325">
        <f>SUM(V12:V18)</f>
        <v>0</v>
      </c>
    </row>
    <row r="12" spans="2:22" ht="18" customHeight="1" outlineLevel="2" x14ac:dyDescent="0.3">
      <c r="B12" s="73" t="s">
        <v>285</v>
      </c>
      <c r="C12" s="331" cm="1">
        <f t="array" ref="C12">-IFERROR(SUM(
_xlfn._xlws.FILTER(Table_Main[Giá trị CK],
NOT(ISBLANK(Table_Main[Đơn bán]))*
(Table_Main[Ngày lên đơn] &gt;= D2)*
(Table_Main[Ngày lên đơn] &lt; P2)
)),0)
-IFERROR(SUM(
_xlfn._xlws.FILTER(Table_DonBan[Giá trị CK],
( Table_DonBan[Ngày lập]&gt;= D2)*
(Table_DonBan[Ngày lập] &lt; P2)
)),0)</f>
        <v>0</v>
      </c>
      <c r="D12" s="331" cm="1">
        <f t="array" ref="D12">-IFERROR(SUM(
_xlfn._xlws.FILTER(Table_Main[Giá trị CK],
NOT(ISBLANK(Table_Main[Đơn bán]))*
(Table_Main[Ngày lên đơn] &gt;= D2)*
(Table_Main[Ngày lên đơn] &lt; E2)
)),0)
-IFERROR(SUM(
_xlfn._xlws.FILTER(Table_DonBan[Giá trị CK],
( Table_DonBan[Ngày lập]&gt;= D2)*
(Table_DonBan[Ngày lập] &lt; E2)
)),0)</f>
        <v>0</v>
      </c>
      <c r="E12" s="331" cm="1">
        <f t="array" ref="E12">-IFERROR(SUM(
_xlfn._xlws.FILTER(Table_Main[Giá trị CK],
NOT(ISBLANK(Table_Main[Đơn bán]))*
(Table_Main[Ngày lên đơn] &gt;= E2)*
(Table_Main[Ngày lên đơn] &lt; F2)
)),0)
-IFERROR(SUM(
_xlfn._xlws.FILTER(Table_DonBan[Giá trị CK],
( Table_DonBan[Ngày lập]&gt;= E2)*
(Table_DonBan[Ngày lập] &lt; F2)
)),0)</f>
        <v>0</v>
      </c>
      <c r="F12" s="331" cm="1">
        <f t="array" ref="F12">-IFERROR(SUM(
_xlfn._xlws.FILTER(Table_Main[Giá trị CK],
NOT(ISBLANK(Table_Main[Đơn bán]))*
(Table_Main[Ngày lên đơn] &gt;= F2)*
(Table_Main[Ngày lên đơn] &lt; G2)
)),0)
-IFERROR(SUM(
_xlfn._xlws.FILTER(Table_DonBan[Giá trị CK],
( Table_DonBan[Ngày lập]&gt;= F2)*
(Table_DonBan[Ngày lập] &lt; G2)
)),0)</f>
        <v>0</v>
      </c>
      <c r="G12" s="331" cm="1">
        <f t="array" ref="G12">-IFERROR(SUM(
_xlfn._xlws.FILTER(Table_Main[Giá trị CK],
NOT(ISBLANK(Table_Main[Đơn bán]))*
(Table_Main[Ngày lên đơn] &gt;= G2)*
(Table_Main[Ngày lên đơn] &lt; H2)
)),0)
-IFERROR(SUM(
_xlfn._xlws.FILTER(Table_DonBan[Giá trị CK],
( Table_DonBan[Ngày lập]&gt;= G2)*
(Table_DonBan[Ngày lập] &lt; H2)
)),0)</f>
        <v>0</v>
      </c>
      <c r="H12" s="331" cm="1">
        <f t="array" ref="H12">-IFERROR(SUM(
_xlfn._xlws.FILTER(Table_Main[Giá trị CK],
NOT(ISBLANK(Table_Main[Đơn bán]))*
(Table_Main[Ngày lên đơn] &gt;= H2)*
(Table_Main[Ngày lên đơn] &lt; I2)
)),0)
-IFERROR(SUM(
_xlfn._xlws.FILTER(Table_DonBan[Giá trị CK],
( Table_DonBan[Ngày lập]&gt;= H2)*
(Table_DonBan[Ngày lập] &lt; I2)
)),0)</f>
        <v>0</v>
      </c>
      <c r="I12" s="331" cm="1">
        <f t="array" ref="I12">-IFERROR(SUM(
_xlfn._xlws.FILTER(Table_Main[Giá trị CK],
NOT(ISBLANK(Table_Main[Đơn bán]))*
(Table_Main[Ngày lên đơn] &gt;= I2)*
(Table_Main[Ngày lên đơn] &lt; J2)
)),0)
-IFERROR(SUM(
_xlfn._xlws.FILTER(Table_DonBan[Giá trị CK],
( Table_DonBan[Ngày lập]&gt;= I2)*
(Table_DonBan[Ngày lập] &lt; J2)
)),0)</f>
        <v>0</v>
      </c>
      <c r="J12" s="331" cm="1">
        <f t="array" ref="J12">-IFERROR(SUM(
_xlfn._xlws.FILTER(Table_Main[Giá trị CK],
NOT(ISBLANK(Table_Main[Đơn bán]))*
(Table_Main[Ngày lên đơn] &gt;= J2)*
(Table_Main[Ngày lên đơn] &lt; K2)
)),0)
-IFERROR(SUM(
_xlfn._xlws.FILTER(Table_DonBan[Giá trị CK],
( Table_DonBan[Ngày lập]&gt;= J2)*
(Table_DonBan[Ngày lập] &lt; K2)
)),0)</f>
        <v>0</v>
      </c>
      <c r="K12" s="331" cm="1">
        <f t="array" ref="K12">-IFERROR(SUM(
_xlfn._xlws.FILTER(Table_Main[Giá trị CK],
NOT(ISBLANK(Table_Main[Đơn bán]))*
(Table_Main[Ngày lên đơn] &gt;= K2)*
(Table_Main[Ngày lên đơn] &lt; L2)
)),0)
-IFERROR(SUM(
_xlfn._xlws.FILTER(Table_DonBan[Giá trị CK],
( Table_DonBan[Ngày lập]&gt;= K2)*
(Table_DonBan[Ngày lập] &lt; L2)
)),0)</f>
        <v>0</v>
      </c>
      <c r="L12" s="331" cm="1">
        <f t="array" ref="L12">-IFERROR(SUM(
_xlfn._xlws.FILTER(Table_Main[Giá trị CK],
NOT(ISBLANK(Table_Main[Đơn bán]))*
(Table_Main[Ngày lên đơn] &gt;= L2)*
(Table_Main[Ngày lên đơn] &lt; M2)
)),0)
-IFERROR(SUM(
_xlfn._xlws.FILTER(Table_DonBan[Giá trị CK],
( Table_DonBan[Ngày lập]&gt;= L2)*
(Table_DonBan[Ngày lập] &lt; M2)
)),0)</f>
        <v>0</v>
      </c>
      <c r="M12" s="331" cm="1">
        <f t="array" ref="M12">-IFERROR(SUM(
_xlfn._xlws.FILTER(Table_Main[Giá trị CK],
NOT(ISBLANK(Table_Main[Đơn bán]))*
(Table_Main[Ngày lên đơn] &gt;= M2)*
(Table_Main[Ngày lên đơn] &lt; N2)
)),0)
-IFERROR(SUM(
_xlfn._xlws.FILTER(Table_DonBan[Giá trị CK],
( Table_DonBan[Ngày lập]&gt;= M2)*
(Table_DonBan[Ngày lập] &lt; N2)
)),0)</f>
        <v>0</v>
      </c>
      <c r="N12" s="331" cm="1">
        <f t="array" ref="N12">-IFERROR(SUM(
_xlfn._xlws.FILTER(Table_Main[Giá trị CK],
NOT(ISBLANK(Table_Main[Đơn bán]))*
(Table_Main[Ngày lên đơn] &gt;= N2)*
(Table_Main[Ngày lên đơn] &lt; O2)
)),0)
-IFERROR(SUM(
_xlfn._xlws.FILTER(Table_DonBan[Giá trị CK],
( Table_DonBan[Ngày lập]&gt;= N2)*
(Table_DonBan[Ngày lập] &lt; O2)
)),0)</f>
        <v>0</v>
      </c>
      <c r="O12" s="331" cm="1">
        <f t="array" ref="O12">-IFERROR(SUM(
_xlfn._xlws.FILTER(Table_Main[Giá trị CK],
NOT(ISBLANK(Table_Main[Đơn bán]))*
(Table_Main[Ngày lên đơn] &gt;= O2)*
(Table_Main[Ngày lên đơn] &lt; P2)
)),0)
-IFERROR(SUM(
_xlfn._xlws.FILTER(Table_DonBan[Giá trị CK],
( Table_DonBan[Ngày lập]&gt;= O2)*
(Table_DonBan[Ngày lập] &lt; P2)
)),0)</f>
        <v>0</v>
      </c>
      <c r="P12" s="327"/>
      <c r="Q12" s="242"/>
      <c r="R12" s="73" t="s">
        <v>285</v>
      </c>
      <c r="S12" s="331" cm="1">
        <f t="array" ref="S12">-IFERROR(SUM(
_xlfn._xlws.FILTER(Table_Main[Giá trị CK],
NOT(ISBLANK(Table_Main[Đơn bán]))*
(Table_Main[Ngày lên đơn] &gt;= DATE(S$1,1,1))*
(Table_Main[Ngày lên đơn] &lt; DATE(S$1+1,1,1))
)),0)
-IFERROR(SUM(
_xlfn._xlws.FILTER(Table_DonBan[Giá trị CK],
( Table_DonBan[Ngày lập]&gt;= DATE(S$1,1,1))*
(Table_DonBan[Ngày lập] &lt; DATE(S$1+1,1,1))
)),0)</f>
        <v>0</v>
      </c>
      <c r="T12" s="242"/>
      <c r="U12" s="73" t="s">
        <v>285</v>
      </c>
      <c r="V12" s="331" cm="1">
        <f t="array" ref="V12">-IFERROR(SUM(
_xlfn._xlws.FILTER(Table_Main[Giá trị CK],
NOT(ISBLANK(Table_Main[Đơn bán]))*
(Table_Main[Ngày lên đơn] &gt;= V$1)*
(Table_Main[Ngày lên đơn] &lt; DATE(YEAR(V$1),MONTH(V$1)+1,1))
)),0)
-IFERROR(SUM(
_xlfn._xlws.FILTER(Table_DonBan[Giá trị CK],
( Table_DonBan[Ngày lập]&gt;= V$1)*
(Table_DonBan[Ngày lập] &lt; DATE(YEAR(V$1),MONTH(V$1)+1,1))
)),0)</f>
        <v>0</v>
      </c>
    </row>
    <row r="13" spans="2:22" ht="18" customHeight="1" outlineLevel="2" x14ac:dyDescent="0.3">
      <c r="B13" s="73" t="s">
        <v>286</v>
      </c>
      <c r="C13" s="331" cm="1">
        <f t="array" ref="C13">-IFERROR(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3" s="331" cm="1">
        <f t="array" ref="D13">-IFERROR(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3" s="331" cm="1">
        <f t="array" ref="E13">-IFERROR(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3" s="331" cm="1">
        <f t="array" ref="F13">-IFERROR(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3" s="331" cm="1">
        <f t="array" ref="G13">-IFERROR(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3" s="331" cm="1">
        <f t="array" ref="H13">-IFERROR(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3" s="331" cm="1">
        <f t="array" ref="I13">-IFERROR(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3" s="331" cm="1">
        <f t="array" ref="J13">-IFERROR(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3" s="331" cm="1">
        <f t="array" ref="K13">-IFERROR(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3" s="331" cm="1">
        <f t="array" ref="L13">-IFERROR(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3" s="331" cm="1">
        <f t="array" ref="M13">-IFERROR(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3" s="331" cm="1">
        <f t="array" ref="N13">-IFERROR(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3" s="331" cm="1">
        <f t="array" ref="O13">-IFERROR(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3" s="326"/>
      <c r="Q13" s="242"/>
      <c r="R13" s="73" t="s">
        <v>286</v>
      </c>
      <c r="S13" s="331" cm="1">
        <f t="array" ref="S13">-IFERROR(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3" s="242"/>
      <c r="U13" s="73" t="s">
        <v>286</v>
      </c>
      <c r="V13" s="331" cm="1">
        <f t="array" ref="V13">-IFERROR(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4" spans="2:22" ht="18" customHeight="1" outlineLevel="2" x14ac:dyDescent="0.3">
      <c r="B14" s="73" t="s">
        <v>287</v>
      </c>
      <c r="C14" s="331" cm="1">
        <f t="array" ref="C14" xml:space="preserve">
-IFERROR(
SUMPRODUCT(
_xlfn._xlws.FILTER(Table_ChiPhiKD[Giá trị],
(Table_ChiPhiKD[Năm] = C$2) *
(NOT(ISBLANK(Table_ChiPhiKD[Tháng])))*
(VLOOKUP(
Table_ChiPhiKD[Nhóm chi phí],
Table_ChiPhiKD_PhanNhom[],
COUNTA(Table_ChiPhiKD_PhanNhom[[#Headers],[Nhóm chi phí]:[Chức năng]]),
0) = "Chưa phân bổ" )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4" s="332" cm="1">
        <f t="array" ref="D14">-
IFERROR(
SUMPRODUCT(
_xlfn._xlws.FILTER(Table_ChiPhiKD[Giá trị],
(Table_ChiPhiKD[Kỳ] = D$2) *
(NOT(ISBLANK(Table_ChiPhiKD[Tháng])))*
(VLOOKUP(Table_ChiPhiKD[Nhóm chi phí],Table_ChiPhiKD_PhanNhom[],Sheet_ChiPhiKD!$H$2,0) = "Chưa phân bổ"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E$2)*
(Table_ChiPhiKD[Phân bổ đến] &gt; D$2)*
(VLOOKUP(Table_ChiPhiKD[Nhóm chi phí],Table_ChiPhiKD_PhanNhom[],Sheet_ChiPhiKD!$H$2,0) = "Chưa phân bổ" )),
_xlfn._xlws.FILTER(Table_ChiPhiKD_PhanBo[Tỷ lệ phân bổ],
(ISBLANK(Table_ChiPhiKD_PhanBo[Tháng])) *
(Table_ChiPhiKD_PhanBo[Phân bổ từ] &lt; E$2)*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E$2)*
(Table_ChiPhiKD[Phân bổ đến] &gt; D$2)*
(VLOOKUP(Table_ChiPhiKD[Nhóm chi phí],Table_ChiPhiKD_PhanNhom[],Sheet_ChiPhiKD!$H$2,0) = "Chưa phân bổ" ))
), 0)</f>
        <v>0</v>
      </c>
      <c r="E14" s="332" cm="1">
        <f t="array" ref="E14">-
IFERROR(
SUMPRODUCT(
_xlfn._xlws.FILTER(Table_ChiPhiKD[Giá trị],
(Table_ChiPhiKD[Kỳ] = E$2) *
(NOT(ISBLANK(Table_ChiPhiKD[Tháng])))*
(VLOOKUP(Table_ChiPhiKD[Nhóm chi phí],Table_ChiPhiKD_PhanNhom[],Sheet_ChiPhiKD!$H$2,0) = "Chưa phân bổ"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F$2)*
(Table_ChiPhiKD[Phân bổ đến] &gt; E$2)*
(VLOOKUP(Table_ChiPhiKD[Nhóm chi phí],Table_ChiPhiKD_PhanNhom[],Sheet_ChiPhiKD!$H$2,0) = "Chưa phân bổ" )),
_xlfn._xlws.FILTER(Table_ChiPhiKD_PhanBo[Tỷ lệ phân bổ],
(ISBLANK(Table_ChiPhiKD_PhanBo[Tháng])) *
(Table_ChiPhiKD_PhanBo[Phân bổ từ] &lt; F$2)*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F$2)*
(Table_ChiPhiKD[Phân bổ đến] &gt; E$2)*
(VLOOKUP(Table_ChiPhiKD[Nhóm chi phí],Table_ChiPhiKD_PhanNhom[],Sheet_ChiPhiKD!$H$2,0) = "Chưa phân bổ" ))
), 0)</f>
        <v>0</v>
      </c>
      <c r="F14" s="332" cm="1">
        <f t="array" ref="F14">-
IFERROR(
SUMPRODUCT(
_xlfn._xlws.FILTER(Table_ChiPhiKD[Giá trị],
(Table_ChiPhiKD[Kỳ] = F$2) *
(NOT(ISBLANK(Table_ChiPhiKD[Tháng])))*
(VLOOKUP(Table_ChiPhiKD[Nhóm chi phí],Table_ChiPhiKD_PhanNhom[],Sheet_ChiPhiKD!$H$2,0) = "Chưa phân bổ"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G$2)*
(Table_ChiPhiKD[Phân bổ đến] &gt; F$2)*
(VLOOKUP(Table_ChiPhiKD[Nhóm chi phí],Table_ChiPhiKD_PhanNhom[],Sheet_ChiPhiKD!$H$2,0) = "Chưa phân bổ" )),
_xlfn._xlws.FILTER(Table_ChiPhiKD_PhanBo[Tỷ lệ phân bổ],
(ISBLANK(Table_ChiPhiKD_PhanBo[Tháng])) *
(Table_ChiPhiKD_PhanBo[Phân bổ từ] &lt; G$2)*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G$2)*
(Table_ChiPhiKD[Phân bổ đến] &gt; F$2)*
(VLOOKUP(Table_ChiPhiKD[Nhóm chi phí],Table_ChiPhiKD_PhanNhom[],Sheet_ChiPhiKD!$H$2,0) = "Chưa phân bổ" ))
), 0)</f>
        <v>0</v>
      </c>
      <c r="G14" s="332" cm="1">
        <f t="array" ref="G14">-
IFERROR(
SUMPRODUCT(
_xlfn._xlws.FILTER(Table_ChiPhiKD[Giá trị],
(Table_ChiPhiKD[Kỳ] = G$2) *
(NOT(ISBLANK(Table_ChiPhiKD[Tháng])))*
(VLOOKUP(Table_ChiPhiKD[Nhóm chi phí],Table_ChiPhiKD_PhanNhom[],Sheet_ChiPhiKD!$H$2,0) = "Chưa phân bổ"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H$2)*
(Table_ChiPhiKD[Phân bổ đến] &gt; G$2)*
(VLOOKUP(Table_ChiPhiKD[Nhóm chi phí],Table_ChiPhiKD_PhanNhom[],Sheet_ChiPhiKD!$H$2,0) = "Chưa phân bổ" )),
_xlfn._xlws.FILTER(Table_ChiPhiKD_PhanBo[Tỷ lệ phân bổ],
(ISBLANK(Table_ChiPhiKD_PhanBo[Tháng])) *
(Table_ChiPhiKD_PhanBo[Phân bổ từ] &lt; H$2)*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H$2)*
(Table_ChiPhiKD[Phân bổ đến] &gt; G$2)*
(VLOOKUP(Table_ChiPhiKD[Nhóm chi phí],Table_ChiPhiKD_PhanNhom[],Sheet_ChiPhiKD!$H$2,0) = "Chưa phân bổ" ))
), 0)</f>
        <v>0</v>
      </c>
      <c r="H14" s="332" cm="1">
        <f t="array" ref="H14">-
IFERROR(
SUMPRODUCT(
_xlfn._xlws.FILTER(Table_ChiPhiKD[Giá trị],
(Table_ChiPhiKD[Kỳ] = H$2) *
(NOT(ISBLANK(Table_ChiPhiKD[Tháng])))*
(VLOOKUP(Table_ChiPhiKD[Nhóm chi phí],Table_ChiPhiKD_PhanNhom[],Sheet_ChiPhiKD!$H$2,0) = "Chưa phân bổ"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I$2)*
(Table_ChiPhiKD[Phân bổ đến] &gt; H$2)*
(VLOOKUP(Table_ChiPhiKD[Nhóm chi phí],Table_ChiPhiKD_PhanNhom[],Sheet_ChiPhiKD!$H$2,0) = "Chưa phân bổ" )),
_xlfn._xlws.FILTER(Table_ChiPhiKD_PhanBo[Tỷ lệ phân bổ],
(ISBLANK(Table_ChiPhiKD_PhanBo[Tháng])) *
(Table_ChiPhiKD_PhanBo[Phân bổ từ] &lt; I$2)*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I$2)*
(Table_ChiPhiKD[Phân bổ đến] &gt; H$2)*
(VLOOKUP(Table_ChiPhiKD[Nhóm chi phí],Table_ChiPhiKD_PhanNhom[],Sheet_ChiPhiKD!$H$2,0) = "Chưa phân bổ" ))
), 0)</f>
        <v>0</v>
      </c>
      <c r="I14" s="332" cm="1">
        <f t="array" ref="I14">-
IFERROR(
SUMPRODUCT(
_xlfn._xlws.FILTER(Table_ChiPhiKD[Giá trị],
(Table_ChiPhiKD[Kỳ] = I$2) *
(NOT(ISBLANK(Table_ChiPhiKD[Tháng])))*
(VLOOKUP(Table_ChiPhiKD[Nhóm chi phí],Table_ChiPhiKD_PhanNhom[],Sheet_ChiPhiKD!$H$2,0) = "Chưa phân bổ"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J$2)*
(Table_ChiPhiKD[Phân bổ đến] &gt; I$2)*
(VLOOKUP(Table_ChiPhiKD[Nhóm chi phí],Table_ChiPhiKD_PhanNhom[],Sheet_ChiPhiKD!$H$2,0) = "Chưa phân bổ" )),
_xlfn._xlws.FILTER(Table_ChiPhiKD_PhanBo[Tỷ lệ phân bổ],
(ISBLANK(Table_ChiPhiKD_PhanBo[Tháng])) *
(Table_ChiPhiKD_PhanBo[Phân bổ từ] &lt; J$2)*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J$2)*
(Table_ChiPhiKD[Phân bổ đến] &gt; I$2)*
(VLOOKUP(Table_ChiPhiKD[Nhóm chi phí],Table_ChiPhiKD_PhanNhom[],Sheet_ChiPhiKD!$H$2,0) = "Chưa phân bổ" ))
), 0)</f>
        <v>0</v>
      </c>
      <c r="J14" s="332" cm="1">
        <f t="array" ref="J14">-
IFERROR(
SUMPRODUCT(
_xlfn._xlws.FILTER(Table_ChiPhiKD[Giá trị],
(Table_ChiPhiKD[Kỳ] = J$2) *
(NOT(ISBLANK(Table_ChiPhiKD[Tháng])))*
(VLOOKUP(Table_ChiPhiKD[Nhóm chi phí],Table_ChiPhiKD_PhanNhom[],Sheet_ChiPhiKD!$H$2,0) = "Chưa phân bổ"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K$2)*
(Table_ChiPhiKD[Phân bổ đến] &gt; J$2)*
(VLOOKUP(Table_ChiPhiKD[Nhóm chi phí],Table_ChiPhiKD_PhanNhom[],Sheet_ChiPhiKD!$H$2,0) = "Chưa phân bổ" )),
_xlfn._xlws.FILTER(Table_ChiPhiKD_PhanBo[Tỷ lệ phân bổ],
(ISBLANK(Table_ChiPhiKD_PhanBo[Tháng])) *
(Table_ChiPhiKD_PhanBo[Phân bổ từ] &lt; K$2)*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K$2)*
(Table_ChiPhiKD[Phân bổ đến] &gt; J$2)*
(VLOOKUP(Table_ChiPhiKD[Nhóm chi phí],Table_ChiPhiKD_PhanNhom[],Sheet_ChiPhiKD!$H$2,0) = "Chưa phân bổ" ))
), 0)</f>
        <v>0</v>
      </c>
      <c r="K14" s="332" cm="1">
        <f t="array" ref="K14">-
IFERROR(
SUMPRODUCT(
_xlfn._xlws.FILTER(Table_ChiPhiKD[Giá trị],
(Table_ChiPhiKD[Kỳ] = K$2) *
(NOT(ISBLANK(Table_ChiPhiKD[Tháng])))*
(VLOOKUP(Table_ChiPhiKD[Nhóm chi phí],Table_ChiPhiKD_PhanNhom[],Sheet_ChiPhiKD!$H$2,0) = "Chưa phân bổ"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L$2)*
(Table_ChiPhiKD[Phân bổ đến] &gt; K$2)*
(VLOOKUP(Table_ChiPhiKD[Nhóm chi phí],Table_ChiPhiKD_PhanNhom[],Sheet_ChiPhiKD!$H$2,0) = "Chưa phân bổ" )),
_xlfn._xlws.FILTER(Table_ChiPhiKD_PhanBo[Tỷ lệ phân bổ],
(ISBLANK(Table_ChiPhiKD_PhanBo[Tháng])) *
(Table_ChiPhiKD_PhanBo[Phân bổ từ] &lt; L$2)*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L$2)*
(Table_ChiPhiKD[Phân bổ đến] &gt; K$2)*
(VLOOKUP(Table_ChiPhiKD[Nhóm chi phí],Table_ChiPhiKD_PhanNhom[],Sheet_ChiPhiKD!$H$2,0) = "Chưa phân bổ" ))
), 0)</f>
        <v>0</v>
      </c>
      <c r="L14" s="332" cm="1">
        <f t="array" ref="L14">-
IFERROR(
SUMPRODUCT(
_xlfn._xlws.FILTER(Table_ChiPhiKD[Giá trị],
(Table_ChiPhiKD[Kỳ] = L$2) *
(NOT(ISBLANK(Table_ChiPhiKD[Tháng])))*
(VLOOKUP(Table_ChiPhiKD[Nhóm chi phí],Table_ChiPhiKD_PhanNhom[],Sheet_ChiPhiKD!$H$2,0) = "Chưa phân bổ"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M$2)*
(Table_ChiPhiKD[Phân bổ đến] &gt; L$2)*
(VLOOKUP(Table_ChiPhiKD[Nhóm chi phí],Table_ChiPhiKD_PhanNhom[],Sheet_ChiPhiKD!$H$2,0) = "Chưa phân bổ" )),
_xlfn._xlws.FILTER(Table_ChiPhiKD_PhanBo[Tỷ lệ phân bổ],
(ISBLANK(Table_ChiPhiKD_PhanBo[Tháng])) *
(Table_ChiPhiKD_PhanBo[Phân bổ từ] &lt; M$2)*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M$2)*
(Table_ChiPhiKD[Phân bổ đến] &gt; L$2)*
(VLOOKUP(Table_ChiPhiKD[Nhóm chi phí],Table_ChiPhiKD_PhanNhom[],Sheet_ChiPhiKD!$H$2,0) = "Chưa phân bổ" ))
), 0)</f>
        <v>0</v>
      </c>
      <c r="M14" s="332" cm="1">
        <f t="array" ref="M14">-
IFERROR(
SUMPRODUCT(
_xlfn._xlws.FILTER(Table_ChiPhiKD[Giá trị],
(Table_ChiPhiKD[Kỳ] = M$2) *
(NOT(ISBLANK(Table_ChiPhiKD[Tháng])))*
(VLOOKUP(Table_ChiPhiKD[Nhóm chi phí],Table_ChiPhiKD_PhanNhom[],Sheet_ChiPhiKD!$H$2,0) = "Chưa phân bổ"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N$2)*
(Table_ChiPhiKD[Phân bổ đến] &gt; M$2)*
(VLOOKUP(Table_ChiPhiKD[Nhóm chi phí],Table_ChiPhiKD_PhanNhom[],Sheet_ChiPhiKD!$H$2,0) = "Chưa phân bổ" )),
_xlfn._xlws.FILTER(Table_ChiPhiKD_PhanBo[Tỷ lệ phân bổ],
(ISBLANK(Table_ChiPhiKD_PhanBo[Tháng])) *
(Table_ChiPhiKD_PhanBo[Phân bổ từ] &lt; N$2)*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N$2)*
(Table_ChiPhiKD[Phân bổ đến] &gt; M$2)*
(VLOOKUP(Table_ChiPhiKD[Nhóm chi phí],Table_ChiPhiKD_PhanNhom[],Sheet_ChiPhiKD!$H$2,0) = "Chưa phân bổ" ))
), 0)</f>
        <v>0</v>
      </c>
      <c r="N14" s="332" cm="1">
        <f t="array" ref="N14">-
IFERROR(
SUMPRODUCT(
_xlfn._xlws.FILTER(Table_ChiPhiKD[Giá trị],
(Table_ChiPhiKD[Kỳ] = N$2) *
(NOT(ISBLANK(Table_ChiPhiKD[Tháng])))*
(VLOOKUP(Table_ChiPhiKD[Nhóm chi phí],Table_ChiPhiKD_PhanNhom[],Sheet_ChiPhiKD!$H$2,0) = "Chưa phân bổ"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O$2)*
(Table_ChiPhiKD[Phân bổ đến] &gt; N$2)*
(VLOOKUP(Table_ChiPhiKD[Nhóm chi phí],Table_ChiPhiKD_PhanNhom[],Sheet_ChiPhiKD!$H$2,0) = "Chưa phân bổ" )),
_xlfn._xlws.FILTER(Table_ChiPhiKD_PhanBo[Tỷ lệ phân bổ],
(ISBLANK(Table_ChiPhiKD_PhanBo[Tháng])) *
(Table_ChiPhiKD_PhanBo[Phân bổ từ] &lt; O$2)*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O$2)*
(Table_ChiPhiKD[Phân bổ đến] &gt; N$2)*
(VLOOKUP(Table_ChiPhiKD[Nhóm chi phí],Table_ChiPhiKD_PhanNhom[],Sheet_ChiPhiKD!$H$2,0) = "Chưa phân bổ" ))
), 0)</f>
        <v>0</v>
      </c>
      <c r="O14" s="332" cm="1">
        <f t="array" ref="O14">-
IFERROR(
SUMPRODUCT(
_xlfn._xlws.FILTER(Table_ChiPhiKD[Giá trị],
(Table_ChiPhiKD[Kỳ] = O$2) *
(NOT(ISBLANK(Table_ChiPhiKD[Tháng])))*
(VLOOKUP(Table_ChiPhiKD[Nhóm chi phí],Table_ChiPhiKD_PhanNhom[],Sheet_ChiPhiKD!$H$2,0) = "Chưa phân bổ"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P$2)*
(Table_ChiPhiKD[Phân bổ đến] &gt; O$2)*
(VLOOKUP(Table_ChiPhiKD[Nhóm chi phí],Table_ChiPhiKD_PhanNhom[],Sheet_ChiPhiKD!$H$2,0) = "Chưa phân bổ" )),
_xlfn._xlws.FILTER(Table_ChiPhiKD_PhanBo[Tỷ lệ phân bổ],
(ISBLANK(Table_ChiPhiKD_PhanBo[Tháng])) *
(Table_ChiPhiKD_PhanBo[Phân bổ từ] &lt; P$2)*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P$2)*
(Table_ChiPhiKD[Phân bổ đến] &gt; O$2)*
(VLOOKUP(Table_ChiPhiKD[Nhóm chi phí],Table_ChiPhiKD_PhanNhom[],Sheet_ChiPhiKD!$H$2,0) = "Chưa phân bổ" ))
), 0)</f>
        <v>0</v>
      </c>
      <c r="P14" s="326"/>
      <c r="Q14" s="242"/>
      <c r="R14" s="73" t="s">
        <v>287</v>
      </c>
      <c r="S14" s="331" cm="1">
        <f t="array" ref="S14" xml:space="preserve">
-IFERROR(
SUMPRODUCT(
_xlfn._xlws.FILTER(Table_ChiPhiKD[Giá trị],
(Table_ChiPhiKD[Năm] = S$1) *
(NOT(ISBLANK(Table_ChiPhiKD[Tháng])))*
(VLOOKUP(
Table_ChiPhiKD[Nhóm chi phí],
Table_ChiPhiKD_PhanNhom[],
COUNTA(Table_ChiPhiKD_PhanNhom[[#Headers],[Nhóm chi phí]:[Chức năng]]),
0) = "Chưa phân bổ" )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4" s="242"/>
      <c r="U14" s="73" t="s">
        <v>287</v>
      </c>
      <c r="V14" s="332" cm="1">
        <f t="array" ref="V14">-
IFERROR(
SUMPRODUCT(
_xlfn._xlws.FILTER(Table_ChiPhiKD[Giá trị],
(Table_ChiPhiKD[Kỳ] = V$1) *
(NOT(ISBLANK(Table_ChiPhiKD[Tháng])))*
(VLOOKUP(Table_ChiPhiKD[Nhóm chi phí],Table_ChiPhiKD_PhanNhom[],Sheet_ChiPhiKD!$H$2,0) = "Chưa phân bổ"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15" spans="2:22" ht="18" customHeight="1" outlineLevel="2" x14ac:dyDescent="0.3">
      <c r="B15" s="73" t="s">
        <v>288</v>
      </c>
      <c r="C15" s="331" cm="1">
        <f t="array" ref="C15">-IFERROR(SUM(
_xlfn._xlws.FILTER(Table_Main[Hoa hồng],
(Table_Main[Ngày lên đơn] &gt;= DATE(C$2,1,1))*
(Table_Main[Ngày lên đơn] &lt; DATE(C$2+1,1,1))
)),0)
-IFERROR(SUM(
_xlfn._xlws.FILTER(Table_Main[CK kênh],
(Table_Main[Ngày lên đơn] &gt;= DATE(C$2,1,1))*
(Table_Main[Ngày lên đơn] &lt; DATE(C$2+1,1,1))
)),0)</f>
        <v>0</v>
      </c>
      <c r="D15" s="331" cm="1">
        <f t="array" ref="D15">-IFERROR(SUM(
_xlfn._xlws.FILTER(Table_Main[Hoa hồng],
(Table_Main[Ngày lên đơn] &gt;= D$2)*
(Table_Main[Ngày lên đơn] &lt; DATE(YEAR(D$2),MONTH(D$2)+1,1))
)),0)
-IFERROR(SUM(
_xlfn._xlws.FILTER(Table_Main[CK kênh],
(Table_Main[Ngày lên đơn] &gt;= D$2)*
(Table_Main[Ngày lên đơn] &lt; DATE(YEAR(D$2),MONTH(D$2)+1,1))
)),0)</f>
        <v>0</v>
      </c>
      <c r="E15" s="331" cm="1">
        <f t="array" ref="E15">-IFERROR(SUM(
_xlfn._xlws.FILTER(Table_Main[Hoa hồng],
(Table_Main[Ngày lên đơn] &gt;= E$2)*
(Table_Main[Ngày lên đơn] &lt; DATE(YEAR(E$2),MONTH(E$2)+1,1))
)),0)
-IFERROR(SUM(
_xlfn._xlws.FILTER(Table_Main[CK kênh],
(Table_Main[Ngày lên đơn] &gt;= E$2)*
(Table_Main[Ngày lên đơn] &lt; DATE(YEAR(E$2),MONTH(E$2)+1,1))
)),0)</f>
        <v>0</v>
      </c>
      <c r="F15" s="331" cm="1">
        <f t="array" ref="F15">-IFERROR(SUM(
_xlfn._xlws.FILTER(Table_Main[Hoa hồng],
(Table_Main[Ngày lên đơn] &gt;= F$2)*
(Table_Main[Ngày lên đơn] &lt; DATE(YEAR(F$2),MONTH(F$2)+1,1))
)),0)
-IFERROR(SUM(
_xlfn._xlws.FILTER(Table_Main[CK kênh],
(Table_Main[Ngày lên đơn] &gt;= F$2)*
(Table_Main[Ngày lên đơn] &lt; DATE(YEAR(F$2),MONTH(F$2)+1,1))
)),0)</f>
        <v>0</v>
      </c>
      <c r="G15" s="331" cm="1">
        <f t="array" ref="G15">-IFERROR(SUM(
_xlfn._xlws.FILTER(Table_Main[Hoa hồng],
(Table_Main[Ngày lên đơn] &gt;= G$2)*
(Table_Main[Ngày lên đơn] &lt; DATE(YEAR(G$2),MONTH(G$2)+1,1))
)),0)
-IFERROR(SUM(
_xlfn._xlws.FILTER(Table_Main[CK kênh],
(Table_Main[Ngày lên đơn] &gt;= G$2)*
(Table_Main[Ngày lên đơn] &lt; DATE(YEAR(G$2),MONTH(G$2)+1,1))
)),0)</f>
        <v>0</v>
      </c>
      <c r="H15" s="331" cm="1">
        <f t="array" ref="H15">-IFERROR(SUM(
_xlfn._xlws.FILTER(Table_Main[Hoa hồng],
(Table_Main[Ngày lên đơn] &gt;= H$2)*
(Table_Main[Ngày lên đơn] &lt; DATE(YEAR(H$2),MONTH(H$2)+1,1))
)),0)
-IFERROR(SUM(
_xlfn._xlws.FILTER(Table_Main[CK kênh],
(Table_Main[Ngày lên đơn] &gt;= H$2)*
(Table_Main[Ngày lên đơn] &lt; DATE(YEAR(H$2),MONTH(H$2)+1,1))
)),0)</f>
        <v>0</v>
      </c>
      <c r="I15" s="331" cm="1">
        <f t="array" ref="I15">-IFERROR(SUM(
_xlfn._xlws.FILTER(Table_Main[Hoa hồng],
(Table_Main[Ngày lên đơn] &gt;= I$2)*
(Table_Main[Ngày lên đơn] &lt; DATE(YEAR(I$2),MONTH(I$2)+1,1))
)),0)
-IFERROR(SUM(
_xlfn._xlws.FILTER(Table_Main[CK kênh],
(Table_Main[Ngày lên đơn] &gt;= I$2)*
(Table_Main[Ngày lên đơn] &lt; DATE(YEAR(I$2),MONTH(I$2)+1,1))
)),0)</f>
        <v>0</v>
      </c>
      <c r="J15" s="331" cm="1">
        <f t="array" ref="J15">-IFERROR(SUM(
_xlfn._xlws.FILTER(Table_Main[Hoa hồng],
(Table_Main[Ngày lên đơn] &gt;= J$2)*
(Table_Main[Ngày lên đơn] &lt; DATE(YEAR(J$2),MONTH(J$2)+1,1))
)),0)
-IFERROR(SUM(
_xlfn._xlws.FILTER(Table_Main[CK kênh],
(Table_Main[Ngày lên đơn] &gt;= J$2)*
(Table_Main[Ngày lên đơn] &lt; DATE(YEAR(J$2),MONTH(J$2)+1,1))
)),0)</f>
        <v>0</v>
      </c>
      <c r="K15" s="331" cm="1">
        <f t="array" ref="K15">-IFERROR(SUM(
_xlfn._xlws.FILTER(Table_Main[Hoa hồng],
(Table_Main[Ngày lên đơn] &gt;= K$2)*
(Table_Main[Ngày lên đơn] &lt; DATE(YEAR(K$2),MONTH(K$2)+1,1))
)),0)
-IFERROR(SUM(
_xlfn._xlws.FILTER(Table_Main[CK kênh],
(Table_Main[Ngày lên đơn] &gt;= K$2)*
(Table_Main[Ngày lên đơn] &lt; DATE(YEAR(K$2),MONTH(K$2)+1,1))
)),0)</f>
        <v>0</v>
      </c>
      <c r="L15" s="331" cm="1">
        <f t="array" ref="L15">-IFERROR(SUM(
_xlfn._xlws.FILTER(Table_Main[Hoa hồng],
(Table_Main[Ngày lên đơn] &gt;= L$2)*
(Table_Main[Ngày lên đơn] &lt; DATE(YEAR(L$2),MONTH(L$2)+1,1))
)),0)
-IFERROR(SUM(
_xlfn._xlws.FILTER(Table_Main[CK kênh],
(Table_Main[Ngày lên đơn] &gt;= L$2)*
(Table_Main[Ngày lên đơn] &lt; DATE(YEAR(L$2),MONTH(L$2)+1,1))
)),0)</f>
        <v>0</v>
      </c>
      <c r="M15" s="331" cm="1">
        <f t="array" ref="M15">-IFERROR(SUM(
_xlfn._xlws.FILTER(Table_Main[Hoa hồng],
(Table_Main[Ngày lên đơn] &gt;= M$2)*
(Table_Main[Ngày lên đơn] &lt; DATE(YEAR(M$2),MONTH(M$2)+1,1))
)),0)
-IFERROR(SUM(
_xlfn._xlws.FILTER(Table_Main[CK kênh],
(Table_Main[Ngày lên đơn] &gt;= M$2)*
(Table_Main[Ngày lên đơn] &lt; DATE(YEAR(M$2),MONTH(M$2)+1,1))
)),0)</f>
        <v>0</v>
      </c>
      <c r="N15" s="331" cm="1">
        <f t="array" ref="N15">-IFERROR(SUM(
_xlfn._xlws.FILTER(Table_Main[Hoa hồng],
(Table_Main[Ngày lên đơn] &gt;= N$2)*
(Table_Main[Ngày lên đơn] &lt; DATE(YEAR(N$2),MONTH(N$2)+1,1))
)),0)
-IFERROR(SUM(
_xlfn._xlws.FILTER(Table_Main[CK kênh],
(Table_Main[Ngày lên đơn] &gt;= N$2)*
(Table_Main[Ngày lên đơn] &lt; DATE(YEAR(N$2),MONTH(N$2)+1,1))
)),0)</f>
        <v>0</v>
      </c>
      <c r="O15" s="331" cm="1">
        <f t="array" ref="O15">-IFERROR(SUM(
_xlfn._xlws.FILTER(Table_Main[Hoa hồng],
(Table_Main[Ngày lên đơn] &gt;= O$2)*
(Table_Main[Ngày lên đơn] &lt; DATE(YEAR(O$2),MONTH(O$2)+1,1))
)),0)
-IFERROR(SUM(
_xlfn._xlws.FILTER(Table_Main[CK kênh],
(Table_Main[Ngày lên đơn] &gt;= O$2)*
(Table_Main[Ngày lên đơn] &lt; DATE(YEAR(O$2),MONTH(O$2)+1,1))
)),0)</f>
        <v>0</v>
      </c>
      <c r="P15" s="326"/>
      <c r="Q15" s="242"/>
      <c r="R15" s="73" t="s">
        <v>224</v>
      </c>
      <c r="S15" s="331" cm="1">
        <f t="array" ref="S15">-IFERROR(SUM(
_xlfn._xlws.FILTER(Table_Main[Hoa hồng],
(Table_Main[Ngày lên đơn] &gt;= DATE(S$1,1,1))*
(Table_Main[Ngày lên đơn] &lt; DATE(S$1+1,1,1))
)),0)
-IFERROR(SUM(
_xlfn._xlws.FILTER(Table_Main[CK kênh],
(Table_Main[Ngày lên đơn] &gt;= DATE(S$1,1,1))*
(Table_Main[Ngày lên đơn] &lt; DATE(S$1+1,1,1))
)),0)</f>
        <v>0</v>
      </c>
      <c r="T15" s="242"/>
      <c r="U15" s="73" t="s">
        <v>224</v>
      </c>
      <c r="V15" s="331" cm="1">
        <f t="array" ref="V15">-IFERROR(SUM(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6" spans="2:22" ht="18" customHeight="1" outlineLevel="2" x14ac:dyDescent="0.3">
      <c r="B16" s="73" t="s">
        <v>289</v>
      </c>
      <c r="C16" s="331" cm="1">
        <f t="array" ref="C16" xml:space="preserve">
-IFERROR(
SUM(_xlfn._xlws.FILTER(Table_KPI[Thưởng KPI],
(Table_KPI[Năm] = C2)
)),0)</f>
        <v>0</v>
      </c>
      <c r="D16" s="332" cm="1">
        <f t="array" ref="D16" xml:space="preserve">
-IFERROR(
SUM(_xlfn._xlws.FILTER(Table_KPI[Thưởng KPI],
(NOT(ISBLANK(Table_KPI[Tháng]))) *
(Table_KPI[Kỳ] = D2)
)),0)
-IFERROR(
SUM(_xlfn._xlws.FILTER(Table_KPI[Thưởng KPI],
(Table_KPI[Năm]  = YEAR(D2))*
(ISBLANK(Table_KPI[Tháng]))
)) / 12, 0)</f>
        <v>0</v>
      </c>
      <c r="E16" s="332" cm="1">
        <f t="array" ref="E16" xml:space="preserve">
-IFERROR(
SUM(_xlfn._xlws.FILTER(Table_KPI[Thưởng KPI],
(NOT(ISBLANK(Table_KPI[Tháng]))) *
(Table_KPI[Kỳ] = E2)
)),0)
-IFERROR(
SUM(_xlfn._xlws.FILTER(Table_KPI[Thưởng KPI],
(Table_KPI[Năm]  = YEAR(E2))*
(ISBLANK(Table_KPI[Tháng]))
)) / 12, 0)</f>
        <v>0</v>
      </c>
      <c r="F16" s="332" cm="1">
        <f t="array" ref="F16" xml:space="preserve">
-IFERROR(
SUM(_xlfn._xlws.FILTER(Table_KPI[Thưởng KPI],
(NOT(ISBLANK(Table_KPI[Tháng]))) *
(Table_KPI[Kỳ] = F2)
)),0)
-IFERROR(
SUM(_xlfn._xlws.FILTER(Table_KPI[Thưởng KPI],
(Table_KPI[Năm]  = YEAR(F2))*
(ISBLANK(Table_KPI[Tháng]))
)) / 12, 0)</f>
        <v>0</v>
      </c>
      <c r="G16" s="332" cm="1">
        <f t="array" ref="G16" xml:space="preserve">
-IFERROR(
SUM(_xlfn._xlws.FILTER(Table_KPI[Thưởng KPI],
(NOT(ISBLANK(Table_KPI[Tháng]))) *
(Table_KPI[Kỳ] = G2)
)),0)
-IFERROR(
SUM(_xlfn._xlws.FILTER(Table_KPI[Thưởng KPI],
(Table_KPI[Năm]  = YEAR(G2))*
(ISBLANK(Table_KPI[Tháng]))
)) / 12, 0)</f>
        <v>0</v>
      </c>
      <c r="H16" s="332" cm="1">
        <f t="array" ref="H16" xml:space="preserve">
-IFERROR(
SUM(_xlfn._xlws.FILTER(Table_KPI[Thưởng KPI],
(NOT(ISBLANK(Table_KPI[Tháng]))) *
(Table_KPI[Kỳ] = H2)
)),0)
-IFERROR(
SUM(_xlfn._xlws.FILTER(Table_KPI[Thưởng KPI],
(Table_KPI[Năm]  = YEAR(H2))*
(ISBLANK(Table_KPI[Tháng]))
)) / 12, 0)</f>
        <v>0</v>
      </c>
      <c r="I16" s="332" cm="1">
        <f t="array" ref="I16" xml:space="preserve">
-IFERROR(
SUM(_xlfn._xlws.FILTER(Table_KPI[Thưởng KPI],
(NOT(ISBLANK(Table_KPI[Tháng]))) *
(Table_KPI[Kỳ] = I2)
)),0)
-IFERROR(
SUM(_xlfn._xlws.FILTER(Table_KPI[Thưởng KPI],
(Table_KPI[Năm]  = YEAR(I2))*
(ISBLANK(Table_KPI[Tháng]))
)) / 12, 0)</f>
        <v>0</v>
      </c>
      <c r="J16" s="332" cm="1">
        <f t="array" ref="J16" xml:space="preserve">
-IFERROR(
SUM(_xlfn._xlws.FILTER(Table_KPI[Thưởng KPI],
(NOT(ISBLANK(Table_KPI[Tháng]))) *
(Table_KPI[Kỳ] = J2)
)),0)
-IFERROR(
SUM(_xlfn._xlws.FILTER(Table_KPI[Thưởng KPI],
(Table_KPI[Năm]  = YEAR(J2))*
(ISBLANK(Table_KPI[Tháng]))
)) / 12, 0)</f>
        <v>0</v>
      </c>
      <c r="K16" s="332" cm="1">
        <f t="array" ref="K16" xml:space="preserve">
-IFERROR(
SUM(_xlfn._xlws.FILTER(Table_KPI[Thưởng KPI],
(NOT(ISBLANK(Table_KPI[Tháng]))) *
(Table_KPI[Kỳ] = K2)
)),0)
-IFERROR(
SUM(_xlfn._xlws.FILTER(Table_KPI[Thưởng KPI],
(Table_KPI[Năm]  = YEAR(K2))*
(ISBLANK(Table_KPI[Tháng]))
)) / 12, 0)</f>
        <v>0</v>
      </c>
      <c r="L16" s="332" cm="1">
        <f t="array" ref="L16" xml:space="preserve">
-IFERROR(
SUM(_xlfn._xlws.FILTER(Table_KPI[Thưởng KPI],
(NOT(ISBLANK(Table_KPI[Tháng]))) *
(Table_KPI[Kỳ] = L2)
)),0)
-IFERROR(
SUM(_xlfn._xlws.FILTER(Table_KPI[Thưởng KPI],
(Table_KPI[Năm]  = YEAR(L2))*
(ISBLANK(Table_KPI[Tháng]))
)) / 12, 0)</f>
        <v>0</v>
      </c>
      <c r="M16" s="332" cm="1">
        <f t="array" ref="M16" xml:space="preserve">
-IFERROR(
SUM(_xlfn._xlws.FILTER(Table_KPI[Thưởng KPI],
(NOT(ISBLANK(Table_KPI[Tháng]))) *
(Table_KPI[Kỳ] = M2)
)),0)
-IFERROR(
SUM(_xlfn._xlws.FILTER(Table_KPI[Thưởng KPI],
(Table_KPI[Năm]  = YEAR(M2))*
(ISBLANK(Table_KPI[Tháng]))
)) / 12, 0)</f>
        <v>0</v>
      </c>
      <c r="N16" s="332" cm="1">
        <f t="array" ref="N16" xml:space="preserve">
-IFERROR(
SUM(_xlfn._xlws.FILTER(Table_KPI[Thưởng KPI],
(NOT(ISBLANK(Table_KPI[Tháng]))) *
(Table_KPI[Kỳ] = N2)
)),0)
-IFERROR(
SUM(_xlfn._xlws.FILTER(Table_KPI[Thưởng KPI],
(Table_KPI[Năm]  = YEAR(N2))*
(ISBLANK(Table_KPI[Tháng]))
)) / 12, 0)</f>
        <v>0</v>
      </c>
      <c r="O16" s="332" cm="1">
        <f t="array" ref="O16" xml:space="preserve">
-IFERROR(
SUM(_xlfn._xlws.FILTER(Table_KPI[Thưởng KPI],
(NOT(ISBLANK(Table_KPI[Tháng]))) *
(Table_KPI[Kỳ] = O2)
)),0)
-IFERROR(
SUM(_xlfn._xlws.FILTER(Table_KPI[Thưởng KPI],
(Table_KPI[Năm]  = YEAR(O2))*
(ISBLANK(Table_KPI[Tháng]))
)) / 12, 0)</f>
        <v>0</v>
      </c>
      <c r="P16" s="326"/>
      <c r="Q16" s="242"/>
      <c r="R16" s="73" t="s">
        <v>289</v>
      </c>
      <c r="S16" s="331" cm="1">
        <f t="array" ref="S16" xml:space="preserve">
-IFERROR(
SUM(_xlfn._xlws.FILTER(Table_KPI[Thưởng KPI],
(Table_KPI[Năm] = S1)
)),0)</f>
        <v>0</v>
      </c>
      <c r="T16" s="242"/>
      <c r="U16" s="73" t="s">
        <v>289</v>
      </c>
      <c r="V16" s="332" cm="1">
        <f t="array" ref="V16" xml:space="preserve">
-IFERROR(
SUM(_xlfn._xlws.FILTER(Table_KPI[Thưởng KPI],
(NOT(ISBLANK(Table_KPI[Tháng]))) *
(Table_KPI[Kỳ] = V1)
)),0)
-IFERROR(
SUM(_xlfn._xlws.FILTER(Table_KPI[Thưởng KPI],
(Table_KPI[Năm]  = YEAR(V1))*
(ISBLANK(Table_KPI[Tháng]))
)) / 12, 0)</f>
        <v>0</v>
      </c>
    </row>
    <row r="17" spans="2:22" ht="18" customHeight="1" outlineLevel="2" x14ac:dyDescent="0.3">
      <c r="B17" s="73" t="s">
        <v>290</v>
      </c>
      <c r="C17" s="331" cm="1">
        <f t="array" ref="C17">-IFERROR(SUM(
_xlfn._xlws.FILTER(Table_ThuChiKD[Phí GD],
(Table_ThuChiKD[Ngày GD] &gt;= D2)*
(Table_ThuChiKD[Ngày GD] &lt; P2)
)),0)</f>
        <v>0</v>
      </c>
      <c r="D17" s="332" cm="1">
        <f t="array" ref="D17">-IFERROR(SUM(
_xlfn._xlws.FILTER(Table_ThuChiKD[Phí GD],
(Table_ThuChiKD[Ngày GD] &gt;= D2)*
(Table_ThuChiKD[Ngày GD] &lt; E2)
)),0)</f>
        <v>0</v>
      </c>
      <c r="E17" s="332" cm="1">
        <f t="array" ref="E17">-IFERROR(SUM(
_xlfn._xlws.FILTER(Table_ThuChiKD[Phí GD],
(Table_ThuChiKD[Ngày GD] &gt;= E2)*
(Table_ThuChiKD[Ngày GD] &lt; F2)
)),0)</f>
        <v>0</v>
      </c>
      <c r="F17" s="332" cm="1">
        <f t="array" ref="F17">-IFERROR(SUM(
_xlfn._xlws.FILTER(Table_ThuChiKD[Phí GD],
(Table_ThuChiKD[Ngày GD] &gt;= F2)*
(Table_ThuChiKD[Ngày GD] &lt; G2)
)),0)</f>
        <v>0</v>
      </c>
      <c r="G17" s="332" cm="1">
        <f t="array" ref="G17">-IFERROR(SUM(
_xlfn._xlws.FILTER(Table_ThuChiKD[Phí GD],
(Table_ThuChiKD[Ngày GD] &gt;= G2)*
(Table_ThuChiKD[Ngày GD] &lt; H2)
)),0)</f>
        <v>0</v>
      </c>
      <c r="H17" s="332" cm="1">
        <f t="array" ref="H17">-IFERROR(SUM(
_xlfn._xlws.FILTER(Table_ThuChiKD[Phí GD],
(Table_ThuChiKD[Ngày GD] &gt;= H2)*
(Table_ThuChiKD[Ngày GD] &lt; I2)
)),0)</f>
        <v>0</v>
      </c>
      <c r="I17" s="332" cm="1">
        <f t="array" ref="I17">-IFERROR(SUM(
_xlfn._xlws.FILTER(Table_ThuChiKD[Phí GD],
(Table_ThuChiKD[Ngày GD] &gt;= I2)*
(Table_ThuChiKD[Ngày GD] &lt; J2)
)),0)</f>
        <v>0</v>
      </c>
      <c r="J17" s="332" cm="1">
        <f t="array" ref="J17">-IFERROR(SUM(
_xlfn._xlws.FILTER(Table_ThuChiKD[Phí GD],
(Table_ThuChiKD[Ngày GD] &gt;= J2)*
(Table_ThuChiKD[Ngày GD] &lt; K2)
)),0)</f>
        <v>0</v>
      </c>
      <c r="K17" s="332" cm="1">
        <f t="array" ref="K17">-IFERROR(SUM(
_xlfn._xlws.FILTER(Table_ThuChiKD[Phí GD],
(Table_ThuChiKD[Ngày GD] &gt;= K2)*
(Table_ThuChiKD[Ngày GD] &lt; L2)
)),0)</f>
        <v>0</v>
      </c>
      <c r="L17" s="332" cm="1">
        <f t="array" ref="L17">-IFERROR(SUM(
_xlfn._xlws.FILTER(Table_ThuChiKD[Phí GD],
(Table_ThuChiKD[Ngày GD] &gt;= L2)*
(Table_ThuChiKD[Ngày GD] &lt; M2)
)),0)</f>
        <v>0</v>
      </c>
      <c r="M17" s="332" cm="1">
        <f t="array" ref="M17">-IFERROR(SUM(
_xlfn._xlws.FILTER(Table_ThuChiKD[Phí GD],
(Table_ThuChiKD[Ngày GD] &gt;= M2)*
(Table_ThuChiKD[Ngày GD] &lt; N2)
)),0)</f>
        <v>0</v>
      </c>
      <c r="N17" s="332" cm="1">
        <f t="array" ref="N17">-IFERROR(SUM(
_xlfn._xlws.FILTER(Table_ThuChiKD[Phí GD],
(Table_ThuChiKD[Ngày GD] &gt;= N2)*
(Table_ThuChiKD[Ngày GD] &lt; O2)
)),0)</f>
        <v>0</v>
      </c>
      <c r="O17" s="332" cm="1">
        <f t="array" ref="O17">-IFERROR(SUM(
_xlfn._xlws.FILTER(Table_ThuChiKD[Phí GD],
(Table_ThuChiKD[Ngày GD] &gt;= O2)*
(Table_ThuChiKD[Ngày GD] &lt; P2)
)),0)</f>
        <v>0</v>
      </c>
      <c r="P17" s="326"/>
      <c r="Q17" s="242"/>
      <c r="R17" s="73" t="s">
        <v>290</v>
      </c>
      <c r="S17" s="331" cm="1">
        <f t="array" ref="S17">-IFERROR(SUM(
_xlfn._xlws.FILTER(Table_ThuChiKD[Phí GD],
(Table_ThuChiKD[Ngày GD] &gt;= DATE(S$1,1,1))*
(Table_ThuChiKD[Ngày GD] &lt; DATE(S$1+1,1,1))
)),0)</f>
        <v>0</v>
      </c>
      <c r="T17" s="242"/>
      <c r="U17" s="73" t="s">
        <v>290</v>
      </c>
      <c r="V17" s="331" cm="1">
        <f t="array" ref="V17">-IFERROR(SUM(
_xlfn._xlws.FILTER(Table_ThuChiKD[Phí GD],
(Table_ThuChiKD[Ngày GD] &gt;= V$1)*
(Table_ThuChiKD[Ngày GD] &lt; DATE(YEAR(V$1),MONTH(V$1)+1,1))
)),0)</f>
        <v>0</v>
      </c>
    </row>
    <row r="18" spans="2:22" ht="18" customHeight="1" outlineLevel="2" x14ac:dyDescent="0.3">
      <c r="B18" s="73" t="s">
        <v>291</v>
      </c>
      <c r="C18" s="331" cm="1">
        <f t="array" ref="C18">-IFERROR(
SUM(_xlfn._xlws.FILTER(Table_VanDon[Phí ship],
(Table_VanDon[Bên chịu phí] = "Bên bán") *
(Table_VanDon[Ngày lập] &gt;= D2) *
(Table_VanDon[Ngày lập] &lt; P2)
)),0)</f>
        <v>0</v>
      </c>
      <c r="D18" s="331" cm="1">
        <f t="array" ref="D18">-IFERROR(
SUM(_xlfn._xlws.FILTER(Table_VanDon[Phí ship],
(Table_VanDon[Bên chịu phí] = "Bên bán") *
(Table_VanDon[Ngày lập] &gt;= D2) *
(Table_VanDon[Ngày lập] &lt; E2)
)),0)</f>
        <v>0</v>
      </c>
      <c r="E18" s="331" cm="1">
        <f t="array" ref="E18">-IFERROR(
SUM(_xlfn._xlws.FILTER(Table_VanDon[Phí ship],
(Table_VanDon[Bên chịu phí] = "Bên bán") *
(Table_VanDon[Ngày lập] &gt;= E2) *
(Table_VanDon[Ngày lập] &lt; F2)
)),0)</f>
        <v>0</v>
      </c>
      <c r="F18" s="331" cm="1">
        <f t="array" ref="F18">-IFERROR(
SUM(_xlfn._xlws.FILTER(Table_VanDon[Phí ship],
(Table_VanDon[Bên chịu phí] = "Bên bán") *
(Table_VanDon[Ngày lập] &gt;= F2) *
(Table_VanDon[Ngày lập] &lt; G2)
)),0)</f>
        <v>0</v>
      </c>
      <c r="G18" s="331" cm="1">
        <f t="array" ref="G18">-IFERROR(
SUM(_xlfn._xlws.FILTER(Table_VanDon[Phí ship],
(Table_VanDon[Bên chịu phí] = "Bên bán") *
(Table_VanDon[Ngày lập] &gt;= G2) *
(Table_VanDon[Ngày lập] &lt; H2)
)),0)</f>
        <v>0</v>
      </c>
      <c r="H18" s="331" cm="1">
        <f t="array" ref="H18">-IFERROR(
SUM(_xlfn._xlws.FILTER(Table_VanDon[Phí ship],
(Table_VanDon[Bên chịu phí] = "Bên bán") *
(Table_VanDon[Ngày lập] &gt;= H2) *
(Table_VanDon[Ngày lập] &lt; I2)
)),0)</f>
        <v>0</v>
      </c>
      <c r="I18" s="331" cm="1">
        <f t="array" ref="I18">-IFERROR(
SUM(_xlfn._xlws.FILTER(Table_VanDon[Phí ship],
(Table_VanDon[Bên chịu phí] = "Bên bán") *
(Table_VanDon[Ngày lập] &gt;= I2) *
(Table_VanDon[Ngày lập] &lt; J2)
)),0)</f>
        <v>0</v>
      </c>
      <c r="J18" s="331" cm="1">
        <f t="array" ref="J18">-IFERROR(
SUM(_xlfn._xlws.FILTER(Table_VanDon[Phí ship],
(Table_VanDon[Bên chịu phí] = "Bên bán") *
(Table_VanDon[Ngày lập] &gt;= J2) *
(Table_VanDon[Ngày lập] &lt; K2)
)),0)</f>
        <v>0</v>
      </c>
      <c r="K18" s="331" cm="1">
        <f t="array" ref="K18">-IFERROR(
SUM(_xlfn._xlws.FILTER(Table_VanDon[Phí ship],
(Table_VanDon[Bên chịu phí] = "Bên bán") *
(Table_VanDon[Ngày lập] &gt;= K2) *
(Table_VanDon[Ngày lập] &lt; L2)
)),0)</f>
        <v>0</v>
      </c>
      <c r="L18" s="331" cm="1">
        <f t="array" ref="L18">-IFERROR(
SUM(_xlfn._xlws.FILTER(Table_VanDon[Phí ship],
(Table_VanDon[Bên chịu phí] = "Bên bán") *
(Table_VanDon[Ngày lập] &gt;= L2) *
(Table_VanDon[Ngày lập] &lt; M2)
)),0)</f>
        <v>0</v>
      </c>
      <c r="M18" s="331" cm="1">
        <f t="array" ref="M18">-IFERROR(
SUM(_xlfn._xlws.FILTER(Table_VanDon[Phí ship],
(Table_VanDon[Bên chịu phí] = "Bên bán") *
(Table_VanDon[Ngày lập] &gt;= M2) *
(Table_VanDon[Ngày lập] &lt; N2)
)),0)</f>
        <v>0</v>
      </c>
      <c r="N18" s="331" cm="1">
        <f t="array" ref="N18">-IFERROR(
SUM(_xlfn._xlws.FILTER(Table_VanDon[Phí ship],
(Table_VanDon[Bên chịu phí] = "Bên bán") *
(Table_VanDon[Ngày lập] &gt;= N2) *
(Table_VanDon[Ngày lập] &lt; O2)
)),0)</f>
        <v>0</v>
      </c>
      <c r="O18" s="331" cm="1">
        <f t="array" ref="O18">-IFERROR(
SUM(_xlfn._xlws.FILTER(Table_VanDon[Phí ship],
(Table_VanDon[Bên chịu phí] = "Bên bán") *
(Table_VanDon[Ngày lập] &gt;= O2) *
(Table_VanDon[Ngày lập] &lt; P2)
)),0)</f>
        <v>0</v>
      </c>
      <c r="P18" s="326"/>
      <c r="Q18" s="242"/>
      <c r="R18" s="73" t="s">
        <v>291</v>
      </c>
      <c r="S18" s="331" cm="1">
        <f t="array" ref="S18">-IFERROR(
SUM(_xlfn._xlws.FILTER(Table_VanDon[Phí ship],
(Table_VanDon[Bên chịu phí] = "Bên bán") *
(Table_VanDon[Ngày lập] &gt;=  DATE(S$1,1,1)) *
(Table_VanDon[Ngày lập] &lt;  DATE(S$1+1,1,1))
)),0)</f>
        <v>0</v>
      </c>
      <c r="T18" s="242"/>
      <c r="U18" s="73" t="s">
        <v>291</v>
      </c>
      <c r="V18" s="331" cm="1">
        <f t="array" ref="V18">-IFERROR(
SUM(_xlfn._xlws.FILTER(Table_VanDon[Phí ship],
(Table_VanDon[Bên chịu phí] = "Bên bán") *
(Table_VanDon[Ngày lập] &gt;= V$1) *
(Table_VanDon[Ngày lập] &lt;  DATE(YEAR(V$1),MONTH(V$1)+1,1))
)),0)</f>
        <v>0</v>
      </c>
    </row>
    <row r="19" spans="2:22" ht="18" customHeight="1" outlineLevel="1" x14ac:dyDescent="0.3">
      <c r="B19" s="74" t="s">
        <v>85</v>
      </c>
      <c r="C19" s="330">
        <f t="shared" ref="C19:O19" si="6">+C9+C11</f>
        <v>0</v>
      </c>
      <c r="D19" s="330">
        <f t="shared" si="6"/>
        <v>0</v>
      </c>
      <c r="E19" s="330">
        <f t="shared" si="6"/>
        <v>0</v>
      </c>
      <c r="F19" s="330">
        <f t="shared" si="6"/>
        <v>0</v>
      </c>
      <c r="G19" s="330">
        <f t="shared" si="6"/>
        <v>0</v>
      </c>
      <c r="H19" s="330">
        <f t="shared" si="6"/>
        <v>0</v>
      </c>
      <c r="I19" s="330">
        <f t="shared" si="6"/>
        <v>0</v>
      </c>
      <c r="J19" s="330">
        <f t="shared" si="6"/>
        <v>0</v>
      </c>
      <c r="K19" s="330">
        <f t="shared" si="6"/>
        <v>0</v>
      </c>
      <c r="L19" s="330">
        <f t="shared" si="6"/>
        <v>0</v>
      </c>
      <c r="M19" s="330">
        <f t="shared" si="6"/>
        <v>0</v>
      </c>
      <c r="N19" s="330">
        <f t="shared" si="6"/>
        <v>0</v>
      </c>
      <c r="O19" s="330">
        <f t="shared" si="6"/>
        <v>0</v>
      </c>
      <c r="P19" s="326"/>
      <c r="Q19" s="242"/>
      <c r="R19" s="74" t="s">
        <v>85</v>
      </c>
      <c r="S19" s="103">
        <f>+S9+S11</f>
        <v>0</v>
      </c>
      <c r="T19" s="242"/>
      <c r="U19" s="74" t="s">
        <v>85</v>
      </c>
      <c r="V19" s="103">
        <f>+V9+V11</f>
        <v>0</v>
      </c>
    </row>
    <row r="20" spans="2:22" ht="18" customHeight="1" outlineLevel="1" x14ac:dyDescent="0.3">
      <c r="B20" s="99" t="s">
        <v>292</v>
      </c>
      <c r="C20" s="109">
        <f t="shared" ref="C20:O20" si="7">IFERROR(C21/(C21+C11),0)</f>
        <v>0</v>
      </c>
      <c r="D20" s="109">
        <f t="shared" si="7"/>
        <v>0</v>
      </c>
      <c r="E20" s="109">
        <f t="shared" si="7"/>
        <v>0</v>
      </c>
      <c r="F20" s="109">
        <f t="shared" si="7"/>
        <v>0</v>
      </c>
      <c r="G20" s="109">
        <f t="shared" si="7"/>
        <v>0</v>
      </c>
      <c r="H20" s="109">
        <f t="shared" si="7"/>
        <v>0</v>
      </c>
      <c r="I20" s="109">
        <f t="shared" si="7"/>
        <v>0</v>
      </c>
      <c r="J20" s="109">
        <f t="shared" si="7"/>
        <v>0</v>
      </c>
      <c r="K20" s="109">
        <f t="shared" si="7"/>
        <v>0</v>
      </c>
      <c r="L20" s="109">
        <f t="shared" si="7"/>
        <v>0</v>
      </c>
      <c r="M20" s="109">
        <f t="shared" si="7"/>
        <v>0</v>
      </c>
      <c r="N20" s="109">
        <f t="shared" si="7"/>
        <v>0</v>
      </c>
      <c r="O20" s="109">
        <f t="shared" si="7"/>
        <v>0</v>
      </c>
      <c r="P20" s="326"/>
      <c r="Q20" s="242"/>
      <c r="R20" s="99" t="s">
        <v>292</v>
      </c>
      <c r="S20" s="111">
        <f>IFERROR(S21/(S21+S11),0)</f>
        <v>0</v>
      </c>
      <c r="T20" s="242"/>
      <c r="U20" s="99" t="s">
        <v>292</v>
      </c>
      <c r="V20" s="109">
        <f>IFERROR(V21/(V21+V11),0)</f>
        <v>0</v>
      </c>
    </row>
    <row r="21" spans="2:22" ht="18" customHeight="1" outlineLevel="1" x14ac:dyDescent="0.3">
      <c r="B21" s="54" t="s">
        <v>87</v>
      </c>
      <c r="C21" s="325">
        <f t="shared" ref="C21:O21" si="8">+SUM(C22:C30)</f>
        <v>0</v>
      </c>
      <c r="D21" s="325">
        <f t="shared" si="8"/>
        <v>0</v>
      </c>
      <c r="E21" s="325">
        <f t="shared" si="8"/>
        <v>0</v>
      </c>
      <c r="F21" s="325">
        <f t="shared" si="8"/>
        <v>0</v>
      </c>
      <c r="G21" s="325">
        <f t="shared" si="8"/>
        <v>0</v>
      </c>
      <c r="H21" s="325">
        <f t="shared" si="8"/>
        <v>0</v>
      </c>
      <c r="I21" s="325">
        <f t="shared" si="8"/>
        <v>0</v>
      </c>
      <c r="J21" s="325">
        <f t="shared" si="8"/>
        <v>0</v>
      </c>
      <c r="K21" s="325">
        <f t="shared" si="8"/>
        <v>0</v>
      </c>
      <c r="L21" s="325">
        <f t="shared" si="8"/>
        <v>0</v>
      </c>
      <c r="M21" s="325">
        <f t="shared" si="8"/>
        <v>0</v>
      </c>
      <c r="N21" s="325">
        <f t="shared" si="8"/>
        <v>0</v>
      </c>
      <c r="O21" s="325">
        <f t="shared" si="8"/>
        <v>0</v>
      </c>
      <c r="P21" s="326"/>
      <c r="Q21" s="242"/>
      <c r="R21" s="54" t="s">
        <v>87</v>
      </c>
      <c r="S21" s="102">
        <f>+SUM(S22:S30)</f>
        <v>0</v>
      </c>
      <c r="T21" s="242"/>
      <c r="U21" s="54" t="s">
        <v>87</v>
      </c>
      <c r="V21" s="102">
        <f>+SUM(V22:V30)</f>
        <v>0</v>
      </c>
    </row>
    <row r="22" spans="2:22" ht="18" customHeight="1" outlineLevel="2" x14ac:dyDescent="0.3">
      <c r="B22" s="73" t="s">
        <v>293</v>
      </c>
      <c r="C22" s="331" cm="1">
        <f t="array" ref="C22"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2" s="331" cm="1">
        <f t="array" ref="D22">-IFERROR(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2" s="331" cm="1">
        <f t="array" ref="E22">-IFERROR(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2" s="331" cm="1">
        <f t="array" ref="F22">-IFERROR(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2" s="331" cm="1">
        <f t="array" ref="G22">-IFERROR(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2" s="331" cm="1">
        <f t="array" ref="H22">-IFERROR(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2" s="331" cm="1">
        <f t="array" ref="I22">-IFERROR(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2" s="331" cm="1">
        <f t="array" ref="J22">-IFERROR(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2" s="331" cm="1">
        <f t="array" ref="K22">-IFERROR(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2" s="331" cm="1">
        <f t="array" ref="L22">-IFERROR(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2" s="331" cm="1">
        <f t="array" ref="M22">-IFERROR(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2" s="331" cm="1">
        <f t="array" ref="N22">-IFERROR(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2" s="331" cm="1">
        <f t="array" ref="O22">-IFERROR(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2" s="326"/>
      <c r="Q22" s="242"/>
      <c r="R22" s="73" t="s">
        <v>293</v>
      </c>
      <c r="S22" s="331" cm="1">
        <f t="array" ref="S22"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2" s="242"/>
      <c r="U22" s="73" t="s">
        <v>293</v>
      </c>
      <c r="V22" s="331" cm="1">
        <f t="array" ref="V22">-IFERROR(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3" spans="2:22" ht="18" customHeight="1" outlineLevel="2" x14ac:dyDescent="0.3">
      <c r="B23" s="73" t="s">
        <v>294</v>
      </c>
      <c r="C23" s="331" cm="1">
        <f t="array" ref="C23">-IFERROR(
SUM(_xlfn._xlws.FILTER(Table_TonKho[Chi phí ghi nhận],
(Table_TonKho[Năm] = C$2) *
(Table_TonKho[Chức năng] = "Văn phòng")
)),0)
-IFERROR(
SUMPRODUCT(
_xlfn._xlws.FILTER(Table_ChiPhiKD[Giá trị],
(Table_ChiPhiKD[Năm] = C$2) *
(NOT(ISBLANK(Table_ChiPhiKD[Tháng])))*
(VLOOKUP(
Table_ChiPhiKD[Nhóm chi phí],
Table_ChiPhiKD_PhanNhom[],
COUNTA(Table_ChiPhiKD_PhanNhom[[#Headers],[Nhóm chi phí]:[Chức năng]]),
0) = "Chưa phân bổ" )
),
(1 -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3" s="331" cm="1">
        <f t="array" ref="D23">-IFERROR(
SUM(_xlfn._xlws.FILTER(Table_TonKho[Chi phí ghi nhận],
(Table_TonKho[Kỳ] = D$2) *
(Table_TonKho[Chức năng] = "Văn phòng")
)),0)
-IFERROR(
SUMPRODUCT(
_xlfn._xlws.FILTER(Table_ChiPhiKD[Giá trị],
(Table_ChiPhiKD[Kỳ] = D$2) *
(NOT(ISBLANK(Table_ChiPhiKD[Tháng])))*
(VLOOKUP(Table_ChiPhiKD[Nhóm chi phí],Table_ChiPhiKD_PhanNhom[],Sheet_ChiPhiKD!$H$2,0) = "Chưa phân bổ" )),
(1 -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DATE(YEAR(D$2),MONTH(D$2)+1,1))*
(Table_ChiPhiKD[Phân bổ đến] &gt; D$2)*
(VLOOKUP(Table_ChiPhiKD[Nhóm chi phí],Table_ChiPhiKD_PhanNhom[],Sheet_ChiPhiKD!$H$2,0) = "Chưa phân bổ" )),
(1 - _xlfn._xlws.FILTER(Table_ChiPhiKD_PhanBo[Tỷ lệ phân bổ],
(ISBLANK(Table_ChiPhiKD_PhanBo[Tháng])) *
(Table_ChiPhiKD_PhanBo[Phân bổ từ] &lt; DATE(YEAR(D$2),MONTH(D$2)+1,1))*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phí],Table_ChiPhiKD_PhanNhom[],Sheet_ChiPhiKD!$H$2,0) = "Chưa phân bổ" ))
), 0)</f>
        <v>0</v>
      </c>
      <c r="E23" s="331" cm="1">
        <f t="array" ref="E23">-IFERROR(
SUM(_xlfn._xlws.FILTER(Table_TonKho[Chi phí ghi nhận],
(Table_TonKho[Kỳ] = E$2) *
(Table_TonKho[Chức năng] = "Văn phòng")
)),0)
-IFERROR(
SUMPRODUCT(
_xlfn._xlws.FILTER(Table_ChiPhiKD[Giá trị],
(Table_ChiPhiKD[Kỳ] = E$2) *
(NOT(ISBLANK(Table_ChiPhiKD[Tháng])))*
(VLOOKUP(Table_ChiPhiKD[Nhóm chi phí],Table_ChiPhiKD_PhanNhom[],Sheet_ChiPhiKD!$H$2,0) = "Chưa phân bổ" )),
(1 -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DATE(YEAR(E$2),MONTH(E$2)+1,1))*
(Table_ChiPhiKD[Phân bổ đến] &gt; E$2)*
(VLOOKUP(Table_ChiPhiKD[Nhóm chi phí],Table_ChiPhiKD_PhanNhom[],Sheet_ChiPhiKD!$H$2,0) = "Chưa phân bổ" )),
(1 - _xlfn._xlws.FILTER(Table_ChiPhiKD_PhanBo[Tỷ lệ phân bổ],
(ISBLANK(Table_ChiPhiKD_PhanBo[Tháng])) *
(Table_ChiPhiKD_PhanBo[Phân bổ từ] &lt; DATE(YEAR(E$2),MONTH(E$2)+1,1))*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phí],Table_ChiPhiKD_PhanNhom[],Sheet_ChiPhiKD!$H$2,0) = "Chưa phân bổ" ))
), 0)</f>
        <v>0</v>
      </c>
      <c r="F23" s="331" cm="1">
        <f t="array" ref="F23">-IFERROR(
SUM(_xlfn._xlws.FILTER(Table_TonKho[Chi phí ghi nhận],
(Table_TonKho[Kỳ] = F$2) *
(Table_TonKho[Chức năng] = "Văn phòng")
)),0)
-IFERROR(
SUMPRODUCT(
_xlfn._xlws.FILTER(Table_ChiPhiKD[Giá trị],
(Table_ChiPhiKD[Kỳ] = F$2) *
(NOT(ISBLANK(Table_ChiPhiKD[Tháng])))*
(VLOOKUP(Table_ChiPhiKD[Nhóm chi phí],Table_ChiPhiKD_PhanNhom[],Sheet_ChiPhiKD!$H$2,0) = "Chưa phân bổ" )),
(1 -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DATE(YEAR(F$2),MONTH(F$2)+1,1))*
(Table_ChiPhiKD[Phân bổ đến] &gt; F$2)*
(VLOOKUP(Table_ChiPhiKD[Nhóm chi phí],Table_ChiPhiKD_PhanNhom[],Sheet_ChiPhiKD!$H$2,0) = "Chưa phân bổ" )),
(1 - _xlfn._xlws.FILTER(Table_ChiPhiKD_PhanBo[Tỷ lệ phân bổ],
(ISBLANK(Table_ChiPhiKD_PhanBo[Tháng])) *
(Table_ChiPhiKD_PhanBo[Phân bổ từ] &lt; DATE(YEAR(F$2),MONTH(F$2)+1,1))*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phí],Table_ChiPhiKD_PhanNhom[],Sheet_ChiPhiKD!$H$2,0) = "Chưa phân bổ" ))
), 0)</f>
        <v>0</v>
      </c>
      <c r="G23" s="331" cm="1">
        <f t="array" ref="G23">-IFERROR(
SUM(_xlfn._xlws.FILTER(Table_TonKho[Chi phí ghi nhận],
(Table_TonKho[Kỳ] = G$2) *
(Table_TonKho[Chức năng] = "Văn phòng")
)),0)
-IFERROR(
SUMPRODUCT(
_xlfn._xlws.FILTER(Table_ChiPhiKD[Giá trị],
(Table_ChiPhiKD[Kỳ] = G$2) *
(NOT(ISBLANK(Table_ChiPhiKD[Tháng])))*
(VLOOKUP(Table_ChiPhiKD[Nhóm chi phí],Table_ChiPhiKD_PhanNhom[],Sheet_ChiPhiKD!$H$2,0) = "Chưa phân bổ" )),
(1 -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DATE(YEAR(G$2),MONTH(G$2)+1,1))*
(Table_ChiPhiKD[Phân bổ đến] &gt; G$2)*
(VLOOKUP(Table_ChiPhiKD[Nhóm chi phí],Table_ChiPhiKD_PhanNhom[],Sheet_ChiPhiKD!$H$2,0) = "Chưa phân bổ" )),
(1 - _xlfn._xlws.FILTER(Table_ChiPhiKD_PhanBo[Tỷ lệ phân bổ],
(ISBLANK(Table_ChiPhiKD_PhanBo[Tháng])) *
(Table_ChiPhiKD_PhanBo[Phân bổ từ] &lt; DATE(YEAR(G$2),MONTH(G$2)+1,1))*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phí],Table_ChiPhiKD_PhanNhom[],Sheet_ChiPhiKD!$H$2,0) = "Chưa phân bổ" ))
), 0)</f>
        <v>0</v>
      </c>
      <c r="H23" s="331" cm="1">
        <f t="array" ref="H23">-IFERROR(
SUM(_xlfn._xlws.FILTER(Table_TonKho[Chi phí ghi nhận],
(Table_TonKho[Kỳ] = H$2) *
(Table_TonKho[Chức năng] = "Văn phòng")
)),0)
-IFERROR(
SUMPRODUCT(
_xlfn._xlws.FILTER(Table_ChiPhiKD[Giá trị],
(Table_ChiPhiKD[Kỳ] = H$2) *
(NOT(ISBLANK(Table_ChiPhiKD[Tháng])))*
(VLOOKUP(Table_ChiPhiKD[Nhóm chi phí],Table_ChiPhiKD_PhanNhom[],Sheet_ChiPhiKD!$H$2,0) = "Chưa phân bổ" )),
(1 -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DATE(YEAR(H$2),MONTH(H$2)+1,1))*
(Table_ChiPhiKD[Phân bổ đến] &gt; H$2)*
(VLOOKUP(Table_ChiPhiKD[Nhóm chi phí],Table_ChiPhiKD_PhanNhom[],Sheet_ChiPhiKD!$H$2,0) = "Chưa phân bổ" )),
(1 - _xlfn._xlws.FILTER(Table_ChiPhiKD_PhanBo[Tỷ lệ phân bổ],
(ISBLANK(Table_ChiPhiKD_PhanBo[Tháng])) *
(Table_ChiPhiKD_PhanBo[Phân bổ từ] &lt; DATE(YEAR(H$2),MONTH(H$2)+1,1))*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phí],Table_ChiPhiKD_PhanNhom[],Sheet_ChiPhiKD!$H$2,0) = "Chưa phân bổ" ))
), 0)</f>
        <v>0</v>
      </c>
      <c r="I23" s="331" cm="1">
        <f t="array" ref="I23">-IFERROR(
SUM(_xlfn._xlws.FILTER(Table_TonKho[Chi phí ghi nhận],
(Table_TonKho[Kỳ] = I$2) *
(Table_TonKho[Chức năng] = "Văn phòng")
)),0)
-IFERROR(
SUMPRODUCT(
_xlfn._xlws.FILTER(Table_ChiPhiKD[Giá trị],
(Table_ChiPhiKD[Kỳ] = I$2) *
(NOT(ISBLANK(Table_ChiPhiKD[Tháng])))*
(VLOOKUP(Table_ChiPhiKD[Nhóm chi phí],Table_ChiPhiKD_PhanNhom[],Sheet_ChiPhiKD!$H$2,0) = "Chưa phân bổ" )),
(1 -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DATE(YEAR(I$2),MONTH(I$2)+1,1))*
(Table_ChiPhiKD[Phân bổ đến] &gt; I$2)*
(VLOOKUP(Table_ChiPhiKD[Nhóm chi phí],Table_ChiPhiKD_PhanNhom[],Sheet_ChiPhiKD!$H$2,0) = "Chưa phân bổ" )),
(1 - _xlfn._xlws.FILTER(Table_ChiPhiKD_PhanBo[Tỷ lệ phân bổ],
(ISBLANK(Table_ChiPhiKD_PhanBo[Tháng])) *
(Table_ChiPhiKD_PhanBo[Phân bổ từ] &lt; DATE(YEAR(I$2),MONTH(I$2)+1,1))*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phí],Table_ChiPhiKD_PhanNhom[],Sheet_ChiPhiKD!$H$2,0) = "Chưa phân bổ" ))
), 0)</f>
        <v>0</v>
      </c>
      <c r="J23" s="331" cm="1">
        <f t="array" ref="J23">-IFERROR(
SUM(_xlfn._xlws.FILTER(Table_TonKho[Chi phí ghi nhận],
(Table_TonKho[Kỳ] = J$2) *
(Table_TonKho[Chức năng] = "Văn phòng")
)),0)
-IFERROR(
SUMPRODUCT(
_xlfn._xlws.FILTER(Table_ChiPhiKD[Giá trị],
(Table_ChiPhiKD[Kỳ] = J$2) *
(NOT(ISBLANK(Table_ChiPhiKD[Tháng])))*
(VLOOKUP(Table_ChiPhiKD[Nhóm chi phí],Table_ChiPhiKD_PhanNhom[],Sheet_ChiPhiKD!$H$2,0) = "Chưa phân bổ" )),
(1 -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DATE(YEAR(J$2),MONTH(J$2)+1,1))*
(Table_ChiPhiKD[Phân bổ đến] &gt; J$2)*
(VLOOKUP(Table_ChiPhiKD[Nhóm chi phí],Table_ChiPhiKD_PhanNhom[],Sheet_ChiPhiKD!$H$2,0) = "Chưa phân bổ" )),
(1 - _xlfn._xlws.FILTER(Table_ChiPhiKD_PhanBo[Tỷ lệ phân bổ],
(ISBLANK(Table_ChiPhiKD_PhanBo[Tháng])) *
(Table_ChiPhiKD_PhanBo[Phân bổ từ] &lt; DATE(YEAR(J$2),MONTH(J$2)+1,1))*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phí],Table_ChiPhiKD_PhanNhom[],Sheet_ChiPhiKD!$H$2,0) = "Chưa phân bổ" ))
), 0)</f>
        <v>0</v>
      </c>
      <c r="K23" s="331" cm="1">
        <f t="array" ref="K23">-IFERROR(
SUM(_xlfn._xlws.FILTER(Table_TonKho[Chi phí ghi nhận],
(Table_TonKho[Kỳ] = K$2) *
(Table_TonKho[Chức năng] = "Văn phòng")
)),0)
-IFERROR(
SUMPRODUCT(
_xlfn._xlws.FILTER(Table_ChiPhiKD[Giá trị],
(Table_ChiPhiKD[Kỳ] = K$2) *
(NOT(ISBLANK(Table_ChiPhiKD[Tháng])))*
(VLOOKUP(Table_ChiPhiKD[Nhóm chi phí],Table_ChiPhiKD_PhanNhom[],Sheet_ChiPhiKD!$H$2,0) = "Chưa phân bổ" )),
(1 -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DATE(YEAR(K$2),MONTH(K$2)+1,1))*
(Table_ChiPhiKD[Phân bổ đến] &gt; K$2)*
(VLOOKUP(Table_ChiPhiKD[Nhóm chi phí],Table_ChiPhiKD_PhanNhom[],Sheet_ChiPhiKD!$H$2,0) = "Chưa phân bổ" )),
(1 - _xlfn._xlws.FILTER(Table_ChiPhiKD_PhanBo[Tỷ lệ phân bổ],
(ISBLANK(Table_ChiPhiKD_PhanBo[Tháng])) *
(Table_ChiPhiKD_PhanBo[Phân bổ từ] &lt; DATE(YEAR(K$2),MONTH(K$2)+1,1))*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phí],Table_ChiPhiKD_PhanNhom[],Sheet_ChiPhiKD!$H$2,0) = "Chưa phân bổ" ))
), 0)</f>
        <v>0</v>
      </c>
      <c r="L23" s="331" cm="1">
        <f t="array" ref="L23">-IFERROR(
SUM(_xlfn._xlws.FILTER(Table_TonKho[Chi phí ghi nhận],
(Table_TonKho[Kỳ] = L$2) *
(Table_TonKho[Chức năng] = "Văn phòng")
)),0)
-IFERROR(
SUMPRODUCT(
_xlfn._xlws.FILTER(Table_ChiPhiKD[Giá trị],
(Table_ChiPhiKD[Kỳ] = L$2) *
(NOT(ISBLANK(Table_ChiPhiKD[Tháng])))*
(VLOOKUP(Table_ChiPhiKD[Nhóm chi phí],Table_ChiPhiKD_PhanNhom[],Sheet_ChiPhiKD!$H$2,0) = "Chưa phân bổ" )),
(1 -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DATE(YEAR(L$2),MONTH(L$2)+1,1))*
(Table_ChiPhiKD[Phân bổ đến] &gt; L$2)*
(VLOOKUP(Table_ChiPhiKD[Nhóm chi phí],Table_ChiPhiKD_PhanNhom[],Sheet_ChiPhiKD!$H$2,0) = "Chưa phân bổ" )),
(1 - _xlfn._xlws.FILTER(Table_ChiPhiKD_PhanBo[Tỷ lệ phân bổ],
(ISBLANK(Table_ChiPhiKD_PhanBo[Tháng])) *
(Table_ChiPhiKD_PhanBo[Phân bổ từ] &lt; DATE(YEAR(L$2),MONTH(L$2)+1,1))*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phí],Table_ChiPhiKD_PhanNhom[],Sheet_ChiPhiKD!$H$2,0) = "Chưa phân bổ" ))
), 0)</f>
        <v>0</v>
      </c>
      <c r="M23" s="331" cm="1">
        <f t="array" ref="M23">-IFERROR(
SUM(_xlfn._xlws.FILTER(Table_TonKho[Chi phí ghi nhận],
(Table_TonKho[Kỳ] = M$2) *
(Table_TonKho[Chức năng] = "Văn phòng")
)),0)
-IFERROR(
SUMPRODUCT(
_xlfn._xlws.FILTER(Table_ChiPhiKD[Giá trị],
(Table_ChiPhiKD[Kỳ] = M$2) *
(NOT(ISBLANK(Table_ChiPhiKD[Tháng])))*
(VLOOKUP(Table_ChiPhiKD[Nhóm chi phí],Table_ChiPhiKD_PhanNhom[],Sheet_ChiPhiKD!$H$2,0) = "Chưa phân bổ" )),
(1 -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DATE(YEAR(M$2),MONTH(M$2)+1,1))*
(Table_ChiPhiKD[Phân bổ đến] &gt; M$2)*
(VLOOKUP(Table_ChiPhiKD[Nhóm chi phí],Table_ChiPhiKD_PhanNhom[],Sheet_ChiPhiKD!$H$2,0) = "Chưa phân bổ" )),
(1 - _xlfn._xlws.FILTER(Table_ChiPhiKD_PhanBo[Tỷ lệ phân bổ],
(ISBLANK(Table_ChiPhiKD_PhanBo[Tháng])) *
(Table_ChiPhiKD_PhanBo[Phân bổ từ] &lt; DATE(YEAR(M$2),MONTH(M$2)+1,1))*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phí],Table_ChiPhiKD_PhanNhom[],Sheet_ChiPhiKD!$H$2,0) = "Chưa phân bổ" ))
), 0)</f>
        <v>0</v>
      </c>
      <c r="N23" s="331" cm="1">
        <f t="array" ref="N23">-IFERROR(
SUM(_xlfn._xlws.FILTER(Table_TonKho[Chi phí ghi nhận],
(Table_TonKho[Kỳ] = N$2) *
(Table_TonKho[Chức năng] = "Văn phòng")
)),0)
-IFERROR(
SUMPRODUCT(
_xlfn._xlws.FILTER(Table_ChiPhiKD[Giá trị],
(Table_ChiPhiKD[Kỳ] = N$2) *
(NOT(ISBLANK(Table_ChiPhiKD[Tháng])))*
(VLOOKUP(Table_ChiPhiKD[Nhóm chi phí],Table_ChiPhiKD_PhanNhom[],Sheet_ChiPhiKD!$H$2,0) = "Chưa phân bổ" )),
(1 -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DATE(YEAR(N$2),MONTH(N$2)+1,1))*
(Table_ChiPhiKD[Phân bổ đến] &gt; N$2)*
(VLOOKUP(Table_ChiPhiKD[Nhóm chi phí],Table_ChiPhiKD_PhanNhom[],Sheet_ChiPhiKD!$H$2,0) = "Chưa phân bổ" )),
(1 - _xlfn._xlws.FILTER(Table_ChiPhiKD_PhanBo[Tỷ lệ phân bổ],
(ISBLANK(Table_ChiPhiKD_PhanBo[Tháng])) *
(Table_ChiPhiKD_PhanBo[Phân bổ từ] &lt; DATE(YEAR(N$2),MONTH(N$2)+1,1))*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phí],Table_ChiPhiKD_PhanNhom[],Sheet_ChiPhiKD!$H$2,0) = "Chưa phân bổ" ))
), 0)</f>
        <v>0</v>
      </c>
      <c r="O23" s="331" cm="1">
        <f t="array" ref="O23">-IFERROR(
SUM(_xlfn._xlws.FILTER(Table_TonKho[Chi phí ghi nhận],
(Table_TonKho[Kỳ] = O$2) *
(Table_TonKho[Chức năng] = "Văn phòng")
)),0)
-IFERROR(
SUMPRODUCT(
_xlfn._xlws.FILTER(Table_ChiPhiKD[Giá trị],
(Table_ChiPhiKD[Kỳ] = O$2) *
(NOT(ISBLANK(Table_ChiPhiKD[Tháng])))*
(VLOOKUP(Table_ChiPhiKD[Nhóm chi phí],Table_ChiPhiKD_PhanNhom[],Sheet_ChiPhiKD!$H$2,0) = "Chưa phân bổ" )),
(1 -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DATE(YEAR(O$2),MONTH(O$2)+1,1))*
(Table_ChiPhiKD[Phân bổ đến] &gt; O$2)*
(VLOOKUP(Table_ChiPhiKD[Nhóm chi phí],Table_ChiPhiKD_PhanNhom[],Sheet_ChiPhiKD!$H$2,0) = "Chưa phân bổ" )),
(1 - _xlfn._xlws.FILTER(Table_ChiPhiKD_PhanBo[Tỷ lệ phân bổ],
(ISBLANK(Table_ChiPhiKD_PhanBo[Tháng])) *
(Table_ChiPhiKD_PhanBo[Phân bổ từ] &lt; DATE(YEAR(O$2),MONTH(O$2)+1,1))*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phí],Table_ChiPhiKD_PhanNhom[],Sheet_ChiPhiKD!$H$2,0) = "Chưa phân bổ" ))
), 0)</f>
        <v>0</v>
      </c>
      <c r="P23" s="326"/>
      <c r="Q23" s="242"/>
      <c r="R23" s="73" t="s">
        <v>294</v>
      </c>
      <c r="S23" s="331" cm="1">
        <f t="array" ref="S23">-IFERROR(
SUM(_xlfn._xlws.FILTER(Table_TonKho[Chi phí ghi nhận],
(Table_TonKho[Năm] = S$1) *
(Table_TonKho[Chức năng] = "Văn phòng")
)),0)
-IFERROR(
SUMPRODUCT(
_xlfn._xlws.FILTER(Table_ChiPhiKD[Giá trị],
(Table_ChiPhiKD[Năm] = S$1) *
(NOT(ISBLANK(Table_ChiPhiKD[Tháng])))*
(VLOOKUP(
Table_ChiPhiKD[Nhóm chi phí],
Table_ChiPhiKD_PhanNhom[],
COUNTA(Table_ChiPhiKD_PhanNhom[[#Headers],[Nhóm chi phí]:[Chức năng]]),
0) = "Chưa phân bổ" )
),
(1 -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3" s="242"/>
      <c r="U23" s="73" t="s">
        <v>294</v>
      </c>
      <c r="V23" s="331" cm="1">
        <f t="array" ref="V23">-IFERROR(
SUM(_xlfn._xlws.FILTER(Table_TonKho[Chi phí ghi nhận],
(Table_TonKho[Kỳ] = V$1) *
(Table_TonKho[Chức năng] = "Văn phòng")
)),0)
-IFERROR(
SUMPRODUCT(
_xlfn._xlws.FILTER(Table_ChiPhiKD[Giá trị],
(Table_ChiPhiKD[Kỳ] = V$1) *
(NOT(ISBLANK(Table_ChiPhiKD[Tháng])))*
(VLOOKUP(Table_ChiPhiKD[Nhóm chi phí],Table_ChiPhiKD_PhanNhom[],Sheet_ChiPhiKD!$H$2,0) = "Chưa phân bổ" )),
(1 -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(1 -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24" spans="2:22" ht="18" customHeight="1" outlineLevel="2" x14ac:dyDescent="0.3">
      <c r="B24" s="73" t="s">
        <v>355</v>
      </c>
      <c r="C24" s="331" cm="1">
        <f t="array" ref="C24"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4" s="333" cm="1">
        <f t="array" ref="D24"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4" s="333" cm="1">
        <f t="array" ref="E24"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4" s="333" cm="1">
        <f t="array" ref="F24"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4" s="333" cm="1">
        <f t="array" ref="G24"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4" s="333" cm="1">
        <f t="array" ref="H24"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4" s="333" cm="1">
        <f t="array" ref="I24"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4" s="333" cm="1">
        <f t="array" ref="J24"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4" s="333" cm="1">
        <f t="array" ref="K24"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4" s="333" cm="1">
        <f t="array" ref="L24"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4" s="333" cm="1">
        <f t="array" ref="M24"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4" s="333" cm="1">
        <f t="array" ref="N24"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4" s="333" cm="1">
        <f t="array" ref="O24"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4" s="326"/>
      <c r="Q24" s="242"/>
      <c r="R24" s="73" t="s">
        <v>355</v>
      </c>
      <c r="S24" s="331" cm="1">
        <f t="array" ref="S24"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4" s="242"/>
      <c r="U24" s="73" t="s">
        <v>355</v>
      </c>
      <c r="V24" s="333" cm="1">
        <f t="array" ref="V24"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5" spans="2:22" ht="18" customHeight="1" outlineLevel="2" x14ac:dyDescent="0.3">
      <c r="B25" s="73" t="s">
        <v>295</v>
      </c>
      <c r="C25" s="331" cm="1">
        <f t="array" ref="C25"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5" s="331" cm="1">
        <f t="array" ref="D25"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5" s="331" cm="1">
        <f t="array" ref="E25"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5" s="331" cm="1">
        <f t="array" ref="F25"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5" s="331" cm="1">
        <f t="array" ref="G25"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5" s="331" cm="1">
        <f t="array" ref="H25"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5" s="331" cm="1">
        <f t="array" ref="I25"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5" s="331" cm="1">
        <f t="array" ref="J25"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5" s="331" cm="1">
        <f t="array" ref="K25"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5" s="331" cm="1">
        <f t="array" ref="L25"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5" s="331" cm="1">
        <f t="array" ref="M25"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5" s="331" cm="1">
        <f t="array" ref="N25"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5" s="331" cm="1">
        <f t="array" ref="O25"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5" s="326"/>
      <c r="Q25" s="242"/>
      <c r="R25" s="73" t="s">
        <v>295</v>
      </c>
      <c r="S25" s="331" cm="1">
        <f t="array" ref="S25"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5" s="242"/>
      <c r="U25" s="73" t="s">
        <v>295</v>
      </c>
      <c r="V25" s="331" cm="1">
        <f t="array" ref="V25"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6" spans="2:22" ht="18" customHeight="1" outlineLevel="2" x14ac:dyDescent="0.3">
      <c r="B26" s="73" t="s">
        <v>296</v>
      </c>
      <c r="C26" s="331" cm="1">
        <f t="array" ref="C26">-IFERROR(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6" s="331" cm="1">
        <f t="array" ref="D26">-IFERROR(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6" s="331" cm="1">
        <f t="array" ref="E26">-IFERROR(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6" s="331" cm="1">
        <f t="array" ref="F26">-IFERROR(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6" s="331" cm="1">
        <f t="array" ref="G26">-IFERROR(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6" s="331" cm="1">
        <f t="array" ref="H26">-IFERROR(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6" s="331" cm="1">
        <f t="array" ref="I26">-IFERROR(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6" s="331" cm="1">
        <f t="array" ref="J26">-IFERROR(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6" s="331" cm="1">
        <f t="array" ref="K26">-IFERROR(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6" s="331" cm="1">
        <f t="array" ref="L26">-IFERROR(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6" s="331" cm="1">
        <f t="array" ref="M26">-IFERROR(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6" s="331" cm="1">
        <f t="array" ref="N26">-IFERROR(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6" s="331" cm="1">
        <f t="array" ref="O26">-IFERROR(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6" s="327"/>
      <c r="Q26" s="242"/>
      <c r="R26" s="73" t="s">
        <v>296</v>
      </c>
      <c r="S26" s="331" cm="1">
        <f t="array" ref="S26">-IFERROR(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6" s="242"/>
      <c r="U26" s="73" t="s">
        <v>296</v>
      </c>
      <c r="V26" s="331" cm="1">
        <f t="array" ref="V26">-IFERROR(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7" spans="2:22" ht="18" customHeight="1" outlineLevel="2" x14ac:dyDescent="0.3">
      <c r="B27" s="73" t="s">
        <v>297</v>
      </c>
      <c r="C27" s="331" cm="1">
        <f t="array" ref="C27">-IFERROR(SUM(_xlfn._xlws.FILTER(Table_TSCD_KhauHao[Khấu hao],
(Table_TSCD_KhauHao[Năm] = C$2))),0)</f>
        <v>0</v>
      </c>
      <c r="D27" s="331" cm="1">
        <f t="array" ref="D27">-IFERROR(SUM(_xlfn._xlws.FILTER(Table_TSCD_KhauHao[Khấu hao],
(Table_TSCD_KhauHao[Kỳ] = D$2))),0)</f>
        <v>0</v>
      </c>
      <c r="E27" s="331" cm="1">
        <f t="array" ref="E27">-IFERROR(SUM(_xlfn._xlws.FILTER(Table_TSCD_KhauHao[Khấu hao],
(Table_TSCD_KhauHao[Kỳ] = E$2))),0)</f>
        <v>0</v>
      </c>
      <c r="F27" s="331" cm="1">
        <f t="array" ref="F27">-IFERROR(SUM(_xlfn._xlws.FILTER(Table_TSCD_KhauHao[Khấu hao],
(Table_TSCD_KhauHao[Kỳ] = F$2))),0)</f>
        <v>0</v>
      </c>
      <c r="G27" s="331" cm="1">
        <f t="array" ref="G27">-IFERROR(SUM(_xlfn._xlws.FILTER(Table_TSCD_KhauHao[Khấu hao],
(Table_TSCD_KhauHao[Kỳ] = G$2))),0)</f>
        <v>0</v>
      </c>
      <c r="H27" s="331" cm="1">
        <f t="array" ref="H27">-IFERROR(SUM(_xlfn._xlws.FILTER(Table_TSCD_KhauHao[Khấu hao],
(Table_TSCD_KhauHao[Kỳ] = H$2))),0)</f>
        <v>0</v>
      </c>
      <c r="I27" s="331" cm="1">
        <f t="array" ref="I27">-IFERROR(SUM(_xlfn._xlws.FILTER(Table_TSCD_KhauHao[Khấu hao],
(Table_TSCD_KhauHao[Kỳ] = I$2))),0)</f>
        <v>0</v>
      </c>
      <c r="J27" s="331" cm="1">
        <f t="array" ref="J27">-IFERROR(SUM(_xlfn._xlws.FILTER(Table_TSCD_KhauHao[Khấu hao],
(Table_TSCD_KhauHao[Kỳ] = J$2))),0)</f>
        <v>0</v>
      </c>
      <c r="K27" s="331" cm="1">
        <f t="array" ref="K27">-IFERROR(SUM(_xlfn._xlws.FILTER(Table_TSCD_KhauHao[Khấu hao],
(Table_TSCD_KhauHao[Kỳ] = K$2))),0)</f>
        <v>0</v>
      </c>
      <c r="L27" s="331" cm="1">
        <f t="array" ref="L27">-IFERROR(SUM(_xlfn._xlws.FILTER(Table_TSCD_KhauHao[Khấu hao],
(Table_TSCD_KhauHao[Kỳ] = L$2))),0)</f>
        <v>0</v>
      </c>
      <c r="M27" s="331" cm="1">
        <f t="array" ref="M27">-IFERROR(SUM(_xlfn._xlws.FILTER(Table_TSCD_KhauHao[Khấu hao],
(Table_TSCD_KhauHao[Kỳ] = M$2))),0)</f>
        <v>0</v>
      </c>
      <c r="N27" s="331" cm="1">
        <f t="array" ref="N27">-IFERROR(SUM(_xlfn._xlws.FILTER(Table_TSCD_KhauHao[Khấu hao],
(Table_TSCD_KhauHao[Kỳ] = N$2))),0)</f>
        <v>0</v>
      </c>
      <c r="O27" s="331" cm="1">
        <f t="array" ref="O27">-IFERROR(SUM(_xlfn._xlws.FILTER(Table_TSCD_KhauHao[Khấu hao],
(Table_TSCD_KhauHao[Kỳ] = O$2))),0)</f>
        <v>0</v>
      </c>
      <c r="P27" s="326"/>
      <c r="Q27" s="242"/>
      <c r="R27" s="73" t="s">
        <v>297</v>
      </c>
      <c r="S27" s="331" cm="1">
        <f t="array" ref="S27">-IFERROR(SUM(_xlfn._xlws.FILTER(Table_TSCD_KhauHao[Khấu hao],
(Table_TSCD_KhauHao[Năm] = S$1))),0)</f>
        <v>0</v>
      </c>
      <c r="T27" s="242"/>
      <c r="U27" s="73" t="s">
        <v>297</v>
      </c>
      <c r="V27" s="331" cm="1">
        <f t="array" ref="V27">-IFERROR(SUM(_xlfn._xlws.FILTER(Table_TSCD_KhauHao[Khấu hao],
(Table_TSCD_KhauHao[Kỳ] = V$1))),0)</f>
        <v>0</v>
      </c>
    </row>
    <row r="28" spans="2:22" ht="18" customHeight="1" outlineLevel="2" x14ac:dyDescent="0.3">
      <c r="B28" s="73" t="s">
        <v>298</v>
      </c>
      <c r="C28" s="331" cm="1">
        <f t="array" ref="C28">-IFERROR(
SUM(_xlfn._xlws.FILTER(Table_VayNo_LichTra[Lãi vay],
(Table_VayNo_LichTra[Năm] = C$2)
)),0)</f>
        <v>0</v>
      </c>
      <c r="D28" s="331" cm="1">
        <f t="array" ref="D28"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8" s="331" cm="1">
        <f t="array" ref="E28"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8" s="331" cm="1">
        <f t="array" ref="F28"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8" s="331" cm="1">
        <f t="array" ref="G28"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8" s="331" cm="1">
        <f t="array" ref="H28"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8" s="331" cm="1">
        <f t="array" ref="I28"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8" s="331" cm="1">
        <f t="array" ref="J28"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8" s="331" cm="1">
        <f t="array" ref="K28"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8" s="331" cm="1">
        <f t="array" ref="L28"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8" s="331" cm="1">
        <f t="array" ref="M28"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8" s="331" cm="1">
        <f t="array" ref="N28"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8" s="331" cm="1">
        <f t="array" ref="O28"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8" s="326"/>
      <c r="Q28" s="242"/>
      <c r="R28" s="73" t="s">
        <v>298</v>
      </c>
      <c r="S28" s="331" cm="1">
        <f t="array" ref="S28">-IFERROR(
SUM(_xlfn._xlws.FILTER(Table_VayNo_LichTra[Lãi vay],
(Table_VayNo_LichTra[Năm] = S$1)
)),0)</f>
        <v>0</v>
      </c>
      <c r="T28" s="242"/>
      <c r="U28" s="73" t="s">
        <v>298</v>
      </c>
      <c r="V28" s="331" cm="1">
        <f t="array" ref="V28"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9" spans="2:22" ht="18" customHeight="1" outlineLevel="2" x14ac:dyDescent="0.3">
      <c r="B29" s="73" t="s">
        <v>300</v>
      </c>
      <c r="C29" s="331" cm="1">
        <f t="array" ref="C29"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9" s="333" cm="1">
        <f t="array" ref="D29">-IFERROR(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9" s="333" cm="1">
        <f t="array" ref="E29">-IFERROR(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9" s="333" cm="1">
        <f t="array" ref="F29">-IFERROR(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9" s="333" cm="1">
        <f t="array" ref="G29">-IFERROR(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9" s="333" cm="1">
        <f t="array" ref="H29">-IFERROR(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9" s="333" cm="1">
        <f t="array" ref="I29">-IFERROR(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9" s="333" cm="1">
        <f t="array" ref="J29">-IFERROR(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9" s="333" cm="1">
        <f t="array" ref="K29">-IFERROR(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9" s="333" cm="1">
        <f t="array" ref="L29">-IFERROR(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9" s="333" cm="1">
        <f t="array" ref="M29">-IFERROR(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9" s="333" cm="1">
        <f t="array" ref="N29">-IFERROR(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9" s="333" cm="1">
        <f t="array" ref="O29">-IFERROR(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9" s="326"/>
      <c r="Q29" s="242"/>
      <c r="R29" s="73" t="s">
        <v>300</v>
      </c>
      <c r="S29" s="331" cm="1">
        <f t="array" ref="S29"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9" s="242"/>
      <c r="U29" s="73" t="s">
        <v>300</v>
      </c>
      <c r="V29" s="333" cm="1">
        <f t="array" ref="V29">-IFERROR(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30" spans="2:22" ht="18" customHeight="1" outlineLevel="2" x14ac:dyDescent="0.3">
      <c r="B30" s="73" t="s">
        <v>299</v>
      </c>
      <c r="C30" s="331" cm="1">
        <f t="array" ref="C30"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30" s="331" cm="1">
        <f t="array" ref="D30">-IFERROR(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30" s="331" cm="1">
        <f t="array" ref="E30">-IFERROR(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30" s="331" cm="1">
        <f t="array" ref="F30">-IFERROR(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30" s="331" cm="1">
        <f t="array" ref="G30">-IFERROR(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30" s="331" cm="1">
        <f t="array" ref="H30">-IFERROR(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30" s="331" cm="1">
        <f t="array" ref="I30">-IFERROR(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30" s="331" cm="1">
        <f t="array" ref="J30">-IFERROR(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30" s="331" cm="1">
        <f t="array" ref="K30">-IFERROR(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30" s="331" cm="1">
        <f t="array" ref="L30">-IFERROR(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30" s="331" cm="1">
        <f t="array" ref="M30">-IFERROR(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30" s="331" cm="1">
        <f t="array" ref="N30">-IFERROR(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30" s="331" cm="1">
        <f t="array" ref="O30">-IFERROR(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30" s="326"/>
      <c r="Q30" s="242"/>
      <c r="R30" s="73" t="s">
        <v>299</v>
      </c>
      <c r="S30" s="331" cm="1">
        <f t="array" ref="S30"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30" s="242"/>
      <c r="U30" s="73" t="s">
        <v>299</v>
      </c>
      <c r="V30" s="331" cm="1">
        <f t="array" ref="V30">-IFERROR(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1" spans="2:22" ht="18" customHeight="1" outlineLevel="1" x14ac:dyDescent="0.3">
      <c r="B31" s="87" t="s">
        <v>301</v>
      </c>
      <c r="C31" s="334">
        <f t="shared" ref="C31:O31" si="9">+C19+C21</f>
        <v>0</v>
      </c>
      <c r="D31" s="334">
        <f t="shared" si="9"/>
        <v>0</v>
      </c>
      <c r="E31" s="334">
        <f t="shared" si="9"/>
        <v>0</v>
      </c>
      <c r="F31" s="334">
        <f t="shared" si="9"/>
        <v>0</v>
      </c>
      <c r="G31" s="334">
        <f t="shared" si="9"/>
        <v>0</v>
      </c>
      <c r="H31" s="334">
        <f t="shared" si="9"/>
        <v>0</v>
      </c>
      <c r="I31" s="334">
        <f t="shared" si="9"/>
        <v>0</v>
      </c>
      <c r="J31" s="334">
        <f t="shared" si="9"/>
        <v>0</v>
      </c>
      <c r="K31" s="334">
        <f t="shared" si="9"/>
        <v>0</v>
      </c>
      <c r="L31" s="334">
        <f t="shared" si="9"/>
        <v>0</v>
      </c>
      <c r="M31" s="334">
        <f t="shared" si="9"/>
        <v>0</v>
      </c>
      <c r="N31" s="334">
        <f t="shared" si="9"/>
        <v>0</v>
      </c>
      <c r="O31" s="334">
        <f t="shared" si="9"/>
        <v>0</v>
      </c>
      <c r="P31" s="326"/>
      <c r="Q31" s="242"/>
      <c r="R31" s="87" t="s">
        <v>301</v>
      </c>
      <c r="S31" s="104">
        <f>+S19+S21</f>
        <v>0</v>
      </c>
      <c r="T31" s="242"/>
      <c r="U31" s="87" t="s">
        <v>301</v>
      </c>
      <c r="V31" s="104">
        <f>+V19+V21</f>
        <v>0</v>
      </c>
    </row>
    <row r="32" spans="2:22" ht="18" customHeight="1" outlineLevel="1" x14ac:dyDescent="0.3">
      <c r="B32" s="87" t="s">
        <v>302</v>
      </c>
      <c r="C32" s="128">
        <f>C31/(-(C13+C14+C22+C23+C24+C25+C26+C28+C29+C30) +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32" s="128">
        <f>D31/(-(D13+D14+D22+D23+D24+D25+D26+D28+D29+D30)+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32" s="128">
        <f>E31/(-(E13+E14+E22+E23+E24+E25+E26+E28+E29+E30)+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32" s="128">
        <f>F31/(-(F13+F14+F22+F23+F24+F25+F26+F28+F29+F30)+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32" s="128">
        <f>G31/(-(G13+G14+G22+G23+G24+G25+G26+G28+G29+G30)+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32" s="128">
        <f>H31/(-(H13+H14+H22+H23+H24+H25+H26+H28+H29+H30)+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32" s="128">
        <f>I31/(-(I13+I14+I22+I23+I24+I25+I26+I28+I29+I30)+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32" s="128">
        <f>J31/(-(J13+J14+J22+J23+J24+J25+J26+J28+J29+J30)+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32" s="128">
        <f>K31/(-(K13+K14+K22+K23+K24+K25+K26+K28+K29+K30)+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32" s="128">
        <f>L31/(-(L13+L14+L22+L23+L24+L25+L26+L28+L29+L30)+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32" s="128">
        <f>M31/(-(M13+M14+M22+M23+M24+M25+M26+M28+M29+M30)+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32" s="128">
        <f>N31/(-(N13+N14+N22+N23+N24+N25+N26+N28+N29+N30)+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32" s="128">
        <f>O31/(-(O13+O14+O22+O23+O24+O25+O26+O28+O29+O30)+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32" s="326"/>
      <c r="Q32" s="242"/>
      <c r="R32" s="87" t="s">
        <v>302</v>
      </c>
      <c r="S32" s="128">
        <f>S31/(-(S13+S14+S22+S23+S24+S25+S26+S28+S29+S30) +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32" s="242"/>
      <c r="U32" s="87" t="s">
        <v>302</v>
      </c>
      <c r="V32" s="128">
        <f>V31/(-(V13+V14+V22+V23+V24+V25+V26+V28+V29+V30)+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33" spans="2:22" ht="18" customHeight="1" outlineLevel="1" x14ac:dyDescent="0.3">
      <c r="B33" s="126" t="s">
        <v>99</v>
      </c>
      <c r="C33" s="335">
        <f>+C34+C35+C37+C42</f>
        <v>0</v>
      </c>
      <c r="D33" s="335">
        <f t="shared" ref="D33:O33" si="10">+D34+D35+D37+D42</f>
        <v>0</v>
      </c>
      <c r="E33" s="335">
        <f t="shared" si="10"/>
        <v>0</v>
      </c>
      <c r="F33" s="335">
        <f t="shared" si="10"/>
        <v>0</v>
      </c>
      <c r="G33" s="335">
        <f t="shared" si="10"/>
        <v>0</v>
      </c>
      <c r="H33" s="335">
        <f t="shared" si="10"/>
        <v>0</v>
      </c>
      <c r="I33" s="335">
        <f t="shared" si="10"/>
        <v>0</v>
      </c>
      <c r="J33" s="335">
        <f t="shared" si="10"/>
        <v>0</v>
      </c>
      <c r="K33" s="335">
        <f t="shared" si="10"/>
        <v>0</v>
      </c>
      <c r="L33" s="335">
        <f t="shared" si="10"/>
        <v>0</v>
      </c>
      <c r="M33" s="335">
        <f t="shared" si="10"/>
        <v>0</v>
      </c>
      <c r="N33" s="335">
        <f t="shared" si="10"/>
        <v>0</v>
      </c>
      <c r="O33" s="335">
        <f t="shared" si="10"/>
        <v>0</v>
      </c>
      <c r="P33" s="336"/>
      <c r="Q33" s="242"/>
      <c r="R33" s="126" t="s">
        <v>99</v>
      </c>
      <c r="S33" s="127">
        <f>+S34+S35+S37+S42</f>
        <v>0</v>
      </c>
      <c r="T33" s="242"/>
      <c r="U33" s="126" t="s">
        <v>99</v>
      </c>
      <c r="V33" s="127">
        <f>+V34+V35+V37+V42</f>
        <v>0</v>
      </c>
    </row>
    <row r="34" spans="2:22" s="21" customFormat="1" ht="18" customHeight="1" outlineLevel="1" x14ac:dyDescent="0.3">
      <c r="B34" s="54" t="s">
        <v>303</v>
      </c>
      <c r="C34" s="331" cm="1">
        <f t="array" ref="C34">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4" s="337" cm="1">
        <f t="array" ref="D34">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4" s="337" cm="1">
        <f t="array" ref="E34">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4" s="337" cm="1">
        <f t="array" ref="F34">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4" s="337" cm="1">
        <f t="array" ref="G34">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4" s="337" cm="1">
        <f t="array" ref="H34">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4" s="337" cm="1">
        <f t="array" ref="I34">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4" s="337" cm="1">
        <f t="array" ref="J34">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4" s="337" cm="1">
        <f t="array" ref="K34">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4" s="337" cm="1">
        <f t="array" ref="L34">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4" s="337" cm="1">
        <f t="array" ref="M34">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4" s="337" cm="1">
        <f t="array" ref="N34">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4" s="337" cm="1">
        <f t="array" ref="O34">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4" s="326"/>
      <c r="Q34" s="249"/>
      <c r="R34" s="54" t="s">
        <v>303</v>
      </c>
      <c r="S34" s="331" cm="1">
        <f t="array" ref="S34">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4" s="249"/>
      <c r="U34" s="54" t="s">
        <v>303</v>
      </c>
      <c r="V34" s="337" cm="1">
        <f t="array" ref="V34">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5" spans="2:22" ht="18" customHeight="1" outlineLevel="2" x14ac:dyDescent="0.3">
      <c r="B35" s="54" t="s">
        <v>304</v>
      </c>
      <c r="C35" s="338" cm="1">
        <f t="array" ref="C35">IFERROR(
SUM(_xlfn._xlws.FILTER(Table_NopNS[Giá trị tính thuế],
(Table_NopNS[Ngân sách] = "Thuế VAT")*
(Table_NopNS[Năm]=C$2)
)),0)</f>
        <v>0</v>
      </c>
      <c r="D35" s="337" cm="1">
        <f t="array" ref="D35">IFERROR(
SUM(_xlfn._xlws.FILTER(Table_NopNS[Giá trị tính thuế],
(Table_NopNS[Ngân sách] = "Thuế VAT")*
(Table_NopNS[Năm]=YEAR(D$2))*
(Table_NopNS[Tháng] = MONTH(D$2))
)),0)</f>
        <v>0</v>
      </c>
      <c r="E35" s="337" cm="1">
        <f t="array" ref="E35">IFERROR(
SUM(_xlfn._xlws.FILTER(Table_NopNS[Giá trị tính thuế],
(Table_NopNS[Ngân sách] = "Thuế VAT")*
(Table_NopNS[Năm]=YEAR(E$2))*
(Table_NopNS[Tháng] = MONTH(E$2))
)),0)</f>
        <v>0</v>
      </c>
      <c r="F35" s="337" cm="1">
        <f t="array" ref="F35">IFERROR(
SUM(_xlfn._xlws.FILTER(Table_NopNS[Giá trị tính thuế],
(Table_NopNS[Ngân sách] = "Thuế VAT")*
(Table_NopNS[Năm]=YEAR(F$2))*
(Table_NopNS[Tháng] = MONTH(F$2))
)),0)</f>
        <v>0</v>
      </c>
      <c r="G35" s="337" cm="1">
        <f t="array" ref="G35">IFERROR(
SUM(_xlfn._xlws.FILTER(Table_NopNS[Giá trị tính thuế],
(Table_NopNS[Ngân sách] = "Thuế VAT")*
(Table_NopNS[Năm]=YEAR(G$2))*
(Table_NopNS[Tháng] = MONTH(G$2))
)),0)</f>
        <v>0</v>
      </c>
      <c r="H35" s="337" cm="1">
        <f t="array" ref="H35">IFERROR(
SUM(_xlfn._xlws.FILTER(Table_NopNS[Giá trị tính thuế],
(Table_NopNS[Ngân sách] = "Thuế VAT")*
(Table_NopNS[Năm]=YEAR(H$2))*
(Table_NopNS[Tháng] = MONTH(H$2))
)),0)</f>
        <v>0</v>
      </c>
      <c r="I35" s="337" cm="1">
        <f t="array" ref="I35">IFERROR(
SUM(_xlfn._xlws.FILTER(Table_NopNS[Giá trị tính thuế],
(Table_NopNS[Ngân sách] = "Thuế VAT")*
(Table_NopNS[Năm]=YEAR(I$2))*
(Table_NopNS[Tháng] = MONTH(I$2))
)),0)</f>
        <v>0</v>
      </c>
      <c r="J35" s="337" cm="1">
        <f t="array" ref="J35">IFERROR(
SUM(_xlfn._xlws.FILTER(Table_NopNS[Giá trị tính thuế],
(Table_NopNS[Ngân sách] = "Thuế VAT")*
(Table_NopNS[Năm]=YEAR(J$2))*
(Table_NopNS[Tháng] = MONTH(J$2))
)),0)</f>
        <v>0</v>
      </c>
      <c r="K35" s="337" cm="1">
        <f t="array" ref="K35">IFERROR(
SUM(_xlfn._xlws.FILTER(Table_NopNS[Giá trị tính thuế],
(Table_NopNS[Ngân sách] = "Thuế VAT")*
(Table_NopNS[Năm]=YEAR(K$2))*
(Table_NopNS[Tháng] = MONTH(K$2))
)),0)</f>
        <v>0</v>
      </c>
      <c r="L35" s="337" cm="1">
        <f t="array" ref="L35">IFERROR(
SUM(_xlfn._xlws.FILTER(Table_NopNS[Giá trị tính thuế],
(Table_NopNS[Ngân sách] = "Thuế VAT")*
(Table_NopNS[Năm]=YEAR(L$2))*
(Table_NopNS[Tháng] = MONTH(L$2))
)),0)</f>
        <v>0</v>
      </c>
      <c r="M35" s="337" cm="1">
        <f t="array" ref="M35">IFERROR(
SUM(_xlfn._xlws.FILTER(Table_NopNS[Giá trị tính thuế],
(Table_NopNS[Ngân sách] = "Thuế VAT")*
(Table_NopNS[Năm]=YEAR(M$2))*
(Table_NopNS[Tháng] = MONTH(M$2))
)),0)</f>
        <v>0</v>
      </c>
      <c r="N35" s="337" cm="1">
        <f t="array" ref="N35">IFERROR(
SUM(_xlfn._xlws.FILTER(Table_NopNS[Giá trị tính thuế],
(Table_NopNS[Ngân sách] = "Thuế VAT")*
(Table_NopNS[Năm]=YEAR(N$2))*
(Table_NopNS[Tháng] = MONTH(N$2))
)),0)</f>
        <v>0</v>
      </c>
      <c r="O35" s="337" cm="1">
        <f t="array" ref="O35">IFERROR(
SUM(_xlfn._xlws.FILTER(Table_NopNS[Giá trị tính thuế],
(Table_NopNS[Ngân sách] = "Thuế VAT")*
(Table_NopNS[Năm]=YEAR(O$2))*
(Table_NopNS[Tháng] = MONTH(O$2))
)),0)</f>
        <v>0</v>
      </c>
      <c r="P35" s="337"/>
      <c r="Q35" s="242"/>
      <c r="R35" s="54" t="s">
        <v>304</v>
      </c>
      <c r="S35" s="338" cm="1">
        <f t="array" ref="S35">IFERROR(
SUM(_xlfn._xlws.FILTER(Table_NopNS[Giá trị tính thuế],
(Table_NopNS[Ngân sách] = "Thuế VAT")*
(Table_NopNS[Năm]=S$1)
)),0)</f>
        <v>0</v>
      </c>
      <c r="T35" s="242"/>
      <c r="U35" s="54" t="s">
        <v>304</v>
      </c>
      <c r="V35" s="337" cm="1">
        <f t="array" ref="V35">IFERROR(
SUM(_xlfn._xlws.FILTER(Table_NopNS[Giá trị tính thuế],
(Table_NopNS[Ngân sách] = "Thuế VAT")*
(Table_NopNS[Năm]=YEAR(V$1))*
(Table_NopNS[Tháng] = MONTH(V$1))
)),0)</f>
        <v>0</v>
      </c>
    </row>
    <row r="36" spans="2:22" ht="18" customHeight="1" outlineLevel="1" x14ac:dyDescent="0.3">
      <c r="B36" s="99" t="s">
        <v>102</v>
      </c>
      <c r="C36" s="123" t="e">
        <f t="shared" ref="C36:O36" si="11">(C9-C34)/C9</f>
        <v>#DIV/0!</v>
      </c>
      <c r="D36" s="123" t="e">
        <f t="shared" si="11"/>
        <v>#DIV/0!</v>
      </c>
      <c r="E36" s="123" t="e">
        <f t="shared" si="11"/>
        <v>#DIV/0!</v>
      </c>
      <c r="F36" s="123" t="e">
        <f t="shared" si="11"/>
        <v>#DIV/0!</v>
      </c>
      <c r="G36" s="123" t="e">
        <f t="shared" si="11"/>
        <v>#DIV/0!</v>
      </c>
      <c r="H36" s="123" t="e">
        <f t="shared" si="11"/>
        <v>#DIV/0!</v>
      </c>
      <c r="I36" s="123" t="e">
        <f t="shared" si="11"/>
        <v>#DIV/0!</v>
      </c>
      <c r="J36" s="123" t="e">
        <f t="shared" si="11"/>
        <v>#DIV/0!</v>
      </c>
      <c r="K36" s="123" t="e">
        <f t="shared" si="11"/>
        <v>#DIV/0!</v>
      </c>
      <c r="L36" s="123" t="e">
        <f t="shared" si="11"/>
        <v>#DIV/0!</v>
      </c>
      <c r="M36" s="123" t="e">
        <f t="shared" si="11"/>
        <v>#DIV/0!</v>
      </c>
      <c r="N36" s="123" t="e">
        <f t="shared" si="11"/>
        <v>#DIV/0!</v>
      </c>
      <c r="O36" s="123" t="e">
        <f t="shared" si="11"/>
        <v>#DIV/0!</v>
      </c>
      <c r="P36" s="326"/>
      <c r="Q36" s="242"/>
      <c r="R36" s="99" t="s">
        <v>102</v>
      </c>
      <c r="S36" s="123" t="e">
        <f>(S9-S34)/S9</f>
        <v>#DIV/0!</v>
      </c>
      <c r="T36" s="242"/>
      <c r="U36" s="99" t="s">
        <v>102</v>
      </c>
      <c r="V36" s="123" t="e">
        <f>(V9-V34)/V9</f>
        <v>#DIV/0!</v>
      </c>
    </row>
    <row r="37" spans="2:22" ht="18" customHeight="1" outlineLevel="1" x14ac:dyDescent="0.3">
      <c r="B37" s="124" t="s">
        <v>305</v>
      </c>
      <c r="C37" s="331">
        <f>+C38+C39+C40</f>
        <v>0</v>
      </c>
      <c r="D37" s="331">
        <f t="shared" ref="D37:O37" si="12">+D38+D39+D40</f>
        <v>0</v>
      </c>
      <c r="E37" s="331">
        <f t="shared" si="12"/>
        <v>0</v>
      </c>
      <c r="F37" s="331">
        <f t="shared" si="12"/>
        <v>0</v>
      </c>
      <c r="G37" s="331">
        <f t="shared" si="12"/>
        <v>0</v>
      </c>
      <c r="H37" s="331">
        <f t="shared" si="12"/>
        <v>0</v>
      </c>
      <c r="I37" s="331">
        <f t="shared" si="12"/>
        <v>0</v>
      </c>
      <c r="J37" s="331">
        <f t="shared" si="12"/>
        <v>0</v>
      </c>
      <c r="K37" s="331">
        <f t="shared" si="12"/>
        <v>0</v>
      </c>
      <c r="L37" s="331">
        <f t="shared" si="12"/>
        <v>0</v>
      </c>
      <c r="M37" s="331">
        <f t="shared" si="12"/>
        <v>0</v>
      </c>
      <c r="N37" s="331">
        <f t="shared" si="12"/>
        <v>0</v>
      </c>
      <c r="O37" s="331">
        <f t="shared" si="12"/>
        <v>0</v>
      </c>
      <c r="P37" s="326"/>
      <c r="Q37" s="242"/>
      <c r="R37" s="124" t="s">
        <v>305</v>
      </c>
      <c r="S37" s="107">
        <f>+S38+S39+S40</f>
        <v>0</v>
      </c>
      <c r="T37" s="242"/>
      <c r="U37" s="124" t="s">
        <v>305</v>
      </c>
      <c r="V37" s="107">
        <f>+V38+V39+V40</f>
        <v>0</v>
      </c>
    </row>
    <row r="38" spans="2:22" ht="18" customHeight="1" outlineLevel="2" x14ac:dyDescent="0.3">
      <c r="B38" s="73" t="s">
        <v>306</v>
      </c>
      <c r="C38" s="331" cm="1">
        <f t="array" ref="C38">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8" s="337" cm="1">
        <f t="array" ref="D38">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8" s="337" cm="1">
        <f t="array" ref="E38">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8" s="337" cm="1">
        <f t="array" ref="F38">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8" s="337" cm="1">
        <f t="array" ref="G38">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8" s="337" cm="1">
        <f t="array" ref="H38">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8" s="337" cm="1">
        <f t="array" ref="I38">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8" s="337" cm="1">
        <f t="array" ref="J38">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8" s="337" cm="1">
        <f t="array" ref="K38">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8" s="337" cm="1">
        <f t="array" ref="L38">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8" s="337" cm="1">
        <f t="array" ref="M38">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8" s="337" cm="1">
        <f t="array" ref="N38">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8" s="337" cm="1">
        <f t="array" ref="O38">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8" s="326"/>
      <c r="Q38" s="242"/>
      <c r="R38" s="73" t="s">
        <v>306</v>
      </c>
      <c r="S38" s="331" cm="1">
        <f t="array" ref="S38">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8" s="242"/>
      <c r="U38" s="73" t="s">
        <v>306</v>
      </c>
      <c r="V38" s="337" cm="1">
        <f t="array" ref="V38">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9" spans="2:22" ht="18" customHeight="1" outlineLevel="2" x14ac:dyDescent="0.3">
      <c r="B39" s="73" t="s">
        <v>307</v>
      </c>
      <c r="C39" s="331" cm="1">
        <f t="array" ref="C39">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9" s="337" cm="1">
        <f t="array" ref="D39">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9" s="337" cm="1">
        <f t="array" ref="E39">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9" s="337" cm="1">
        <f t="array" ref="F39">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9" s="337" cm="1">
        <f t="array" ref="G39">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9" s="337" cm="1">
        <f t="array" ref="H39">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9" s="337" cm="1">
        <f t="array" ref="I39">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9" s="337" cm="1">
        <f t="array" ref="J39">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9" s="337" cm="1">
        <f t="array" ref="K39">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9" s="337" cm="1">
        <f t="array" ref="L39">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9" s="337" cm="1">
        <f t="array" ref="M39">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9" s="337" cm="1">
        <f t="array" ref="N39">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9" s="337" cm="1">
        <f t="array" ref="O39">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9" s="326"/>
      <c r="Q39" s="242"/>
      <c r="R39" s="73" t="s">
        <v>307</v>
      </c>
      <c r="S39" s="331" cm="1">
        <f t="array" ref="S39">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9" s="242"/>
      <c r="U39" s="73" t="s">
        <v>307</v>
      </c>
      <c r="V39" s="337" cm="1">
        <f t="array" ref="V39">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40" spans="2:22" ht="18" customHeight="1" outlineLevel="2" x14ac:dyDescent="0.3">
      <c r="B40" s="73" t="s">
        <v>308</v>
      </c>
      <c r="C40" s="331" cm="1">
        <f t="array" ref="C40">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40" s="337" cm="1">
        <f t="array" ref="D40">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40" s="337" cm="1">
        <f t="array" ref="E40">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40" s="337" cm="1">
        <f t="array" ref="F40">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40" s="337" cm="1">
        <f t="array" ref="G40">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40" s="337" cm="1">
        <f t="array" ref="H40">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40" s="337" cm="1">
        <f t="array" ref="I40">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40" s="337" cm="1">
        <f t="array" ref="J40">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40" s="337" cm="1">
        <f t="array" ref="K40">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40" s="337" cm="1">
        <f t="array" ref="L40">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40" s="337" cm="1">
        <f t="array" ref="M40">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40" s="337" cm="1">
        <f t="array" ref="N40">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40" s="337" cm="1">
        <f t="array" ref="O40">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40" s="326"/>
      <c r="Q40" s="242"/>
      <c r="R40" s="73" t="s">
        <v>308</v>
      </c>
      <c r="S40" s="331" cm="1">
        <f t="array" ref="S40">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40" s="242"/>
      <c r="U40" s="73" t="s">
        <v>308</v>
      </c>
      <c r="V40" s="337" cm="1">
        <f t="array" ref="V40">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1" spans="2:22" ht="18" customHeight="1" outlineLevel="2" x14ac:dyDescent="0.3">
      <c r="B41" s="99" t="s">
        <v>107</v>
      </c>
      <c r="C41" s="125" t="e">
        <f t="shared" ref="C41:O41" si="13">(SUM(C13:C16)+C18+SUM(C22:C26)-C37)/(SUM(C13:C16)+C18+SUM(C22:C26))</f>
        <v>#DIV/0!</v>
      </c>
      <c r="D41" s="125" t="e">
        <f t="shared" si="13"/>
        <v>#DIV/0!</v>
      </c>
      <c r="E41" s="125" t="e">
        <f t="shared" si="13"/>
        <v>#DIV/0!</v>
      </c>
      <c r="F41" s="125" t="e">
        <f t="shared" si="13"/>
        <v>#DIV/0!</v>
      </c>
      <c r="G41" s="125" t="e">
        <f t="shared" si="13"/>
        <v>#DIV/0!</v>
      </c>
      <c r="H41" s="125" t="e">
        <f t="shared" si="13"/>
        <v>#DIV/0!</v>
      </c>
      <c r="I41" s="125" t="e">
        <f t="shared" si="13"/>
        <v>#DIV/0!</v>
      </c>
      <c r="J41" s="125" t="e">
        <f t="shared" si="13"/>
        <v>#DIV/0!</v>
      </c>
      <c r="K41" s="125" t="e">
        <f t="shared" si="13"/>
        <v>#DIV/0!</v>
      </c>
      <c r="L41" s="125" t="e">
        <f t="shared" si="13"/>
        <v>#DIV/0!</v>
      </c>
      <c r="M41" s="125" t="e">
        <f t="shared" si="13"/>
        <v>#DIV/0!</v>
      </c>
      <c r="N41" s="125" t="e">
        <f t="shared" si="13"/>
        <v>#DIV/0!</v>
      </c>
      <c r="O41" s="125" t="e">
        <f t="shared" si="13"/>
        <v>#DIV/0!</v>
      </c>
      <c r="P41" s="326"/>
      <c r="Q41" s="242"/>
      <c r="R41" s="99" t="s">
        <v>107</v>
      </c>
      <c r="S41" s="125" t="e">
        <f>(SUM(S13:S16)+S18+SUM(S22:S26)-S37)/(SUM(S13:S16)+S18+SUM(S22:S26))</f>
        <v>#DIV/0!</v>
      </c>
      <c r="T41" s="242"/>
      <c r="U41" s="99" t="s">
        <v>107</v>
      </c>
      <c r="V41" s="125" t="e">
        <f>(SUM(V13:V16)+V18+SUM(V22:V26)-V37)/(SUM(V13:V16)+V18+SUM(V22:V26))</f>
        <v>#DIV/0!</v>
      </c>
    </row>
    <row r="42" spans="2:22" ht="18" customHeight="1" outlineLevel="1" x14ac:dyDescent="0.3">
      <c r="B42" s="124" t="s">
        <v>309</v>
      </c>
      <c r="C42" s="331" cm="1">
        <f t="array" ref="C42">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2" s="326" cm="1">
        <f t="array" ref="D42">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2" s="326" cm="1">
        <f t="array" ref="E42">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2" s="326" cm="1">
        <f t="array" ref="F42">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2" s="326" cm="1">
        <f t="array" ref="G42">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2" s="326" cm="1">
        <f t="array" ref="H42">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2" s="326" cm="1">
        <f t="array" ref="I42">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2" s="326" cm="1">
        <f t="array" ref="J42">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2" s="326" cm="1">
        <f t="array" ref="K42">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2" s="326" cm="1">
        <f t="array" ref="L42">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2" s="326" cm="1">
        <f t="array" ref="M42">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2" s="326" cm="1">
        <f t="array" ref="N42">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2" s="326" cm="1">
        <f t="array" ref="O42">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2" s="326"/>
      <c r="Q42" s="242"/>
      <c r="R42" s="124" t="s">
        <v>309</v>
      </c>
      <c r="S42" s="331" cm="1">
        <f t="array" ref="S42">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2" s="242"/>
      <c r="U42" s="124" t="s">
        <v>309</v>
      </c>
      <c r="V42" s="326" cm="1">
        <f t="array" ref="V42">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3" spans="2:22" ht="18" customHeight="1" outlineLevel="1" x14ac:dyDescent="0.3">
      <c r="B43" s="74" t="s">
        <v>310</v>
      </c>
      <c r="C43" s="328">
        <f t="shared" ref="C43:O43" si="14">+SUM(C44:C46)</f>
        <v>0</v>
      </c>
      <c r="D43" s="328">
        <f t="shared" si="14"/>
        <v>0</v>
      </c>
      <c r="E43" s="328">
        <f t="shared" si="14"/>
        <v>0</v>
      </c>
      <c r="F43" s="328">
        <f t="shared" si="14"/>
        <v>0</v>
      </c>
      <c r="G43" s="328">
        <f t="shared" si="14"/>
        <v>0</v>
      </c>
      <c r="H43" s="328">
        <f t="shared" si="14"/>
        <v>0</v>
      </c>
      <c r="I43" s="328">
        <f t="shared" si="14"/>
        <v>0</v>
      </c>
      <c r="J43" s="328">
        <f t="shared" si="14"/>
        <v>0</v>
      </c>
      <c r="K43" s="328">
        <f t="shared" si="14"/>
        <v>0</v>
      </c>
      <c r="L43" s="328">
        <f t="shared" si="14"/>
        <v>0</v>
      </c>
      <c r="M43" s="328">
        <f t="shared" si="14"/>
        <v>0</v>
      </c>
      <c r="N43" s="328">
        <f t="shared" si="14"/>
        <v>0</v>
      </c>
      <c r="O43" s="328">
        <f t="shared" si="14"/>
        <v>0</v>
      </c>
      <c r="P43" s="327"/>
      <c r="Q43" s="242"/>
      <c r="R43" s="74" t="s">
        <v>310</v>
      </c>
      <c r="S43" s="105">
        <f>+SUM(S44:S46)</f>
        <v>0</v>
      </c>
      <c r="T43" s="242"/>
      <c r="U43" s="74" t="s">
        <v>310</v>
      </c>
      <c r="V43" s="105">
        <f>+SUM(V44:V46)</f>
        <v>0</v>
      </c>
    </row>
    <row r="44" spans="2:22" ht="18" customHeight="1" outlineLevel="2" x14ac:dyDescent="0.3">
      <c r="B44" s="73" t="s">
        <v>311</v>
      </c>
      <c r="C44" s="331" cm="1">
        <f t="array" ref="C44"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4" s="337" cm="1">
        <f t="array" ref="D44"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4" s="337" cm="1">
        <f t="array" ref="E44"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4" s="337" cm="1">
        <f t="array" ref="F44"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4" s="337" cm="1">
        <f t="array" ref="G44"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4" s="337" cm="1">
        <f t="array" ref="H44"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4" s="337" cm="1">
        <f t="array" ref="I44"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4" s="337" cm="1">
        <f t="array" ref="J44"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4" s="337" cm="1">
        <f t="array" ref="K44"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4" s="337" cm="1">
        <f t="array" ref="L44"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4" s="337" cm="1">
        <f t="array" ref="M44"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4" s="337" cm="1">
        <f t="array" ref="N44"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4" s="337" cm="1">
        <f t="array" ref="O44"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4" s="326"/>
      <c r="Q44" s="242"/>
      <c r="R44" s="73" t="s">
        <v>311</v>
      </c>
      <c r="S44" s="331" cm="1">
        <f t="array" ref="S44"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4" s="242"/>
      <c r="U44" s="73" t="s">
        <v>311</v>
      </c>
      <c r="V44" s="337" cm="1">
        <f t="array" ref="V44"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5" spans="2:22" ht="18" customHeight="1" outlineLevel="2" x14ac:dyDescent="0.3">
      <c r="B45" s="73" t="s">
        <v>312</v>
      </c>
      <c r="C45" s="331" cm="1">
        <f t="array" ref="C45"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5" s="337" cm="1">
        <f t="array" ref="D45"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5" s="337" cm="1">
        <f t="array" ref="E45"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5" s="337" cm="1">
        <f t="array" ref="F45"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5" s="337" cm="1">
        <f t="array" ref="G45"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5" s="337" cm="1">
        <f t="array" ref="H45"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5" s="337" cm="1">
        <f t="array" ref="I45"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5" s="337" cm="1">
        <f t="array" ref="J45"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5" s="337" cm="1">
        <f t="array" ref="K45"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5" s="337" cm="1">
        <f t="array" ref="L45"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5" s="337" cm="1">
        <f t="array" ref="M45"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5" s="337" cm="1">
        <f t="array" ref="N45"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5" s="337" cm="1">
        <f t="array" ref="O45"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5" s="326"/>
      <c r="Q45" s="242"/>
      <c r="R45" s="73" t="s">
        <v>312</v>
      </c>
      <c r="S45" s="331" cm="1">
        <f t="array" ref="S45"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5" s="242"/>
      <c r="U45" s="73" t="s">
        <v>312</v>
      </c>
      <c r="V45" s="337" cm="1">
        <f t="array" ref="V45"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6" spans="2:22" ht="18" customHeight="1" outlineLevel="2" x14ac:dyDescent="0.3">
      <c r="B46" s="73" t="s">
        <v>313</v>
      </c>
      <c r="C46" s="331" cm="1">
        <f t="array" ref="C46"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6" s="337" cm="1">
        <f t="array" ref="D46"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6" s="337" cm="1">
        <f t="array" ref="E46"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6" s="337" cm="1">
        <f t="array" ref="F46"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6" s="337" cm="1">
        <f t="array" ref="G46"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6" s="337" cm="1">
        <f t="array" ref="H46"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6" s="337" cm="1">
        <f t="array" ref="I46"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6" s="337" cm="1">
        <f t="array" ref="J46"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6" s="337" cm="1">
        <f t="array" ref="K46"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6" s="337" cm="1">
        <f t="array" ref="L46"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6" s="337" cm="1">
        <f t="array" ref="M46"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6" s="337" cm="1">
        <f t="array" ref="N46"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6" s="337" cm="1">
        <f t="array" ref="O46"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6" s="326"/>
      <c r="Q46" s="242"/>
      <c r="R46" s="73" t="s">
        <v>313</v>
      </c>
      <c r="S46" s="331" cm="1">
        <f t="array" ref="S46"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6" s="242"/>
      <c r="U46" s="73" t="s">
        <v>313</v>
      </c>
      <c r="V46" s="337" cm="1">
        <f t="array" ref="V46"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7" spans="2:22" ht="18" customHeight="1" outlineLevel="1" x14ac:dyDescent="0.3">
      <c r="B47" s="87" t="s">
        <v>314</v>
      </c>
      <c r="C47" s="334">
        <f>+C33+C44</f>
        <v>0</v>
      </c>
      <c r="D47" s="334">
        <f t="shared" ref="D47:O47" si="15">+D33+D44</f>
        <v>0</v>
      </c>
      <c r="E47" s="334">
        <f t="shared" si="15"/>
        <v>0</v>
      </c>
      <c r="F47" s="334">
        <f t="shared" si="15"/>
        <v>0</v>
      </c>
      <c r="G47" s="334">
        <f t="shared" si="15"/>
        <v>0</v>
      </c>
      <c r="H47" s="334">
        <f t="shared" si="15"/>
        <v>0</v>
      </c>
      <c r="I47" s="334">
        <f t="shared" si="15"/>
        <v>0</v>
      </c>
      <c r="J47" s="334">
        <f t="shared" si="15"/>
        <v>0</v>
      </c>
      <c r="K47" s="334">
        <f t="shared" si="15"/>
        <v>0</v>
      </c>
      <c r="L47" s="334">
        <f t="shared" si="15"/>
        <v>0</v>
      </c>
      <c r="M47" s="334">
        <f t="shared" si="15"/>
        <v>0</v>
      </c>
      <c r="N47" s="334">
        <f t="shared" si="15"/>
        <v>0</v>
      </c>
      <c r="O47" s="334">
        <f t="shared" si="15"/>
        <v>0</v>
      </c>
      <c r="P47" s="326"/>
      <c r="Q47" s="242"/>
      <c r="R47" s="87" t="s">
        <v>314</v>
      </c>
      <c r="S47" s="104">
        <f>+S33+S44</f>
        <v>0</v>
      </c>
      <c r="T47" s="242"/>
      <c r="U47" s="87" t="s">
        <v>314</v>
      </c>
      <c r="V47" s="104">
        <f>+V33+V44</f>
        <v>0</v>
      </c>
    </row>
    <row r="48" spans="2:22" ht="18" customHeight="1" outlineLevel="1" x14ac:dyDescent="0.3">
      <c r="B48" s="87" t="s">
        <v>114</v>
      </c>
      <c r="C48" s="128">
        <f>C47/(-(C37+C42+C44)+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48" s="128">
        <f>D47/(-(D37+D42+D44)+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48" s="128">
        <f>E47/(-(E37+E42+E44)+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48" s="128">
        <f>F47/(-(F37+F42+F44)+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48" s="128">
        <f>G47/(-(G37+G42+G44)+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48" s="128">
        <f>H47/(-(H37+H42+H44)+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48" s="128">
        <f>I47/(-(I37+I42+I44)+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48" s="128">
        <f>J47/(-(J37+J42+J44)+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48" s="128">
        <f>K47/(-(K37+K42+K44)+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48" s="128">
        <f>L47/(-(L37+L42+L44)+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48" s="128">
        <f>M47/(-(M37+M42+M44)+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48" s="128">
        <f>N47/(-(N37+N42+N44)+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48" s="128">
        <f>O47/(-(O37+O42+O44)+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48" s="326"/>
      <c r="Q48" s="242"/>
      <c r="R48" s="87" t="s">
        <v>114</v>
      </c>
      <c r="S48" s="128">
        <f>S47/(-(S37+S42+S44)+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48" s="242"/>
      <c r="U48" s="87" t="s">
        <v>114</v>
      </c>
      <c r="V48" s="128">
        <f>V47/(-(V37+V42+V44)+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49" spans="2:22" ht="18" customHeight="1" outlineLevel="1" x14ac:dyDescent="0.3">
      <c r="B49" s="74" t="s">
        <v>315</v>
      </c>
      <c r="C49" s="328" cm="1">
        <f t="array" ref="C49">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+C47+SUM(C45:C46)</f>
        <v>0</v>
      </c>
      <c r="D49" s="328" cm="1">
        <f t="array" ref="D49">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+SUM($D$47:D47)+SUM($D$45:D46)</f>
        <v>0</v>
      </c>
      <c r="E49" s="328" cm="1">
        <f t="array" ref="E49">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+SUM($D$47:E47)+SUM($D$45:E46)</f>
        <v>0</v>
      </c>
      <c r="F49" s="328" cm="1">
        <f t="array" ref="F49">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+SUM($D$47:F47)+SUM($D$45:F46)</f>
        <v>0</v>
      </c>
      <c r="G49" s="328" cm="1">
        <f t="array" ref="G49">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+SUM($D$47:G47)+SUM($D$45:G46)</f>
        <v>0</v>
      </c>
      <c r="H49" s="328" cm="1">
        <f t="array" ref="H49">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+SUM($D$47:H47)+SUM($D$45:H46)</f>
        <v>0</v>
      </c>
      <c r="I49" s="328" cm="1">
        <f t="array" ref="I49">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+SUM($D$47:I47)+SUM($D$45:I46)</f>
        <v>0</v>
      </c>
      <c r="J49" s="328" cm="1">
        <f t="array" ref="J49">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+SUM($D$47:J47)+SUM($D$45:J46)</f>
        <v>0</v>
      </c>
      <c r="K49" s="328" cm="1">
        <f t="array" ref="K49">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+SUM($D$47:K47)+SUM($D$45:K46)</f>
        <v>0</v>
      </c>
      <c r="L49" s="328" cm="1">
        <f t="array" ref="L49">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+SUM($D$47:L47)+SUM($D$45:L46)</f>
        <v>0</v>
      </c>
      <c r="M49" s="328" cm="1">
        <f t="array" ref="M49">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+SUM($D$47:M47)+SUM($D$45:M46)</f>
        <v>0</v>
      </c>
      <c r="N49" s="328" cm="1">
        <f t="array" ref="N49">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+SUM($D$47:N47)+SUM($D$45:N46)</f>
        <v>0</v>
      </c>
      <c r="O49" s="328" cm="1">
        <f t="array" ref="O49">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+SUM($D$47:O47)+SUM($D$45:O46)</f>
        <v>0</v>
      </c>
      <c r="P49" s="327"/>
      <c r="Q49" s="242"/>
      <c r="R49" s="74" t="s">
        <v>315</v>
      </c>
      <c r="S49" s="328" cm="1">
        <f t="array" ref="S49">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+S47+SUM(S45:S46)</f>
        <v>0</v>
      </c>
      <c r="T49" s="242"/>
      <c r="U49" s="74" t="s">
        <v>315</v>
      </c>
      <c r="V49" s="328" cm="1">
        <f t="array" ref="V49">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+V47+SUM(V45:V46)</f>
        <v>0</v>
      </c>
    </row>
    <row r="50" spans="2:22" ht="18" customHeight="1" outlineLevel="2" x14ac:dyDescent="0.3">
      <c r="B50" s="73" t="s">
        <v>316</v>
      </c>
      <c r="C50" s="331" cm="1">
        <f t="array" ref="C50"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50" s="337" cm="1">
        <f t="array" ref="D50"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50" s="337" cm="1">
        <f t="array" ref="E50"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50" s="337" cm="1">
        <f t="array" ref="F50"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50" s="337" cm="1">
        <f t="array" ref="G50"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50" s="337" cm="1">
        <f t="array" ref="H50"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50" s="337" cm="1">
        <f t="array" ref="I50"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50" s="337" cm="1">
        <f t="array" ref="J50"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50" s="337" cm="1">
        <f t="array" ref="K50"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50" s="337" cm="1">
        <f t="array" ref="L50"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50" s="337" cm="1">
        <f t="array" ref="M50"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50" s="337" cm="1">
        <f t="array" ref="N50"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50" s="337" cm="1">
        <f t="array" ref="O50"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50" s="326"/>
      <c r="Q50" s="242"/>
      <c r="R50" s="73" t="s">
        <v>316</v>
      </c>
      <c r="S50" s="331" cm="1">
        <f t="array" ref="S50"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50" s="242"/>
      <c r="U50" s="73" t="s">
        <v>316</v>
      </c>
      <c r="V50" s="337" cm="1">
        <f t="array" ref="V50"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1" spans="2:22" ht="18" customHeight="1" outlineLevel="2" x14ac:dyDescent="0.3">
      <c r="B51" s="73" t="s">
        <v>117</v>
      </c>
      <c r="C51" s="331" cm="1">
        <f t="array" ref="C51">+IFERROR(SUM(_xlfn._xlws.FILTER(Table_ThuChiTC[Giá trị GD],
(Table_ThuChiTC[Loại GD]="THU")*
(Table_ThuChiTC[Nội dung GD]=Sheet_ThuChiTC!$F$9)*
(Table_ThuChiTC[Ngày GD]&gt;=D2)*
(Table_ThuChiTC[Ngày GD]&lt;P2)
)),0)</f>
        <v>0</v>
      </c>
      <c r="D51" s="337" cm="1">
        <f t="array" ref="D51">+IFERROR(SUM(_xlfn._xlws.FILTER(Table_ThuChiTC[Giá trị GD],
(Table_ThuChiTC[Loại GD]="THU")*
(Table_ThuChiTC[Nội dung GD]=Sheet_ThuChiTC!$F$9)*
(Table_ThuChiTC[Ngày GD]&gt;=D2)*
(Table_ThuChiTC[Ngày GD]&lt;E2)
)),0)</f>
        <v>0</v>
      </c>
      <c r="E51" s="337" cm="1">
        <f t="array" ref="E51">+IFERROR(SUM(_xlfn._xlws.FILTER(Table_ThuChiTC[Giá trị GD],
(Table_ThuChiTC[Loại GD]="THU")*
(Table_ThuChiTC[Nội dung GD]=Sheet_ThuChiTC!$F$9)*
(Table_ThuChiTC[Ngày GD]&gt;=E2)*
(Table_ThuChiTC[Ngày GD]&lt;F2)
)),0)</f>
        <v>0</v>
      </c>
      <c r="F51" s="337" cm="1">
        <f t="array" ref="F51">+IFERROR(SUM(_xlfn._xlws.FILTER(Table_ThuChiTC[Giá trị GD],
(Table_ThuChiTC[Loại GD]="THU")*
(Table_ThuChiTC[Nội dung GD]=Sheet_ThuChiTC!$F$9)*
(Table_ThuChiTC[Ngày GD]&gt;=F2)*
(Table_ThuChiTC[Ngày GD]&lt;G2)
)),0)</f>
        <v>0</v>
      </c>
      <c r="G51" s="337" cm="1">
        <f t="array" ref="G51">+IFERROR(SUM(_xlfn._xlws.FILTER(Table_ThuChiTC[Giá trị GD],
(Table_ThuChiTC[Loại GD]="THU")*
(Table_ThuChiTC[Nội dung GD]=Sheet_ThuChiTC!$F$9)*
(Table_ThuChiTC[Ngày GD]&gt;=G2)*
(Table_ThuChiTC[Ngày GD]&lt;H2)
)),0)</f>
        <v>0</v>
      </c>
      <c r="H51" s="337" cm="1">
        <f t="array" ref="H51">+IFERROR(SUM(_xlfn._xlws.FILTER(Table_ThuChiTC[Giá trị GD],
(Table_ThuChiTC[Loại GD]="THU")*
(Table_ThuChiTC[Nội dung GD]=Sheet_ThuChiTC!$F$9)*
(Table_ThuChiTC[Ngày GD]&gt;=H2)*
(Table_ThuChiTC[Ngày GD]&lt;I2)
)),0)</f>
        <v>0</v>
      </c>
      <c r="I51" s="337" cm="1">
        <f t="array" ref="I51">+IFERROR(SUM(_xlfn._xlws.FILTER(Table_ThuChiTC[Giá trị GD],
(Table_ThuChiTC[Loại GD]="THU")*
(Table_ThuChiTC[Nội dung GD]=Sheet_ThuChiTC!$F$9)*
(Table_ThuChiTC[Ngày GD]&gt;=I2)*
(Table_ThuChiTC[Ngày GD]&lt;J2)
)),0)</f>
        <v>0</v>
      </c>
      <c r="J51" s="337" cm="1">
        <f t="array" ref="J51">+IFERROR(SUM(_xlfn._xlws.FILTER(Table_ThuChiTC[Giá trị GD],
(Table_ThuChiTC[Loại GD]="THU")*
(Table_ThuChiTC[Nội dung GD]=Sheet_ThuChiTC!$F$9)*
(Table_ThuChiTC[Ngày GD]&gt;=J2)*
(Table_ThuChiTC[Ngày GD]&lt;K2)
)),0)</f>
        <v>0</v>
      </c>
      <c r="K51" s="337" cm="1">
        <f t="array" ref="K51">+IFERROR(SUM(_xlfn._xlws.FILTER(Table_ThuChiTC[Giá trị GD],
(Table_ThuChiTC[Loại GD]="THU")*
(Table_ThuChiTC[Nội dung GD]=Sheet_ThuChiTC!$F$9)*
(Table_ThuChiTC[Ngày GD]&gt;=K2)*
(Table_ThuChiTC[Ngày GD]&lt;L2)
)),0)</f>
        <v>0</v>
      </c>
      <c r="L51" s="337" cm="1">
        <f t="array" ref="L51">+IFERROR(SUM(_xlfn._xlws.FILTER(Table_ThuChiTC[Giá trị GD],
(Table_ThuChiTC[Loại GD]="THU")*
(Table_ThuChiTC[Nội dung GD]=Sheet_ThuChiTC!$F$9)*
(Table_ThuChiTC[Ngày GD]&gt;=L2)*
(Table_ThuChiTC[Ngày GD]&lt;M2)
)),0)</f>
        <v>0</v>
      </c>
      <c r="M51" s="337" cm="1">
        <f t="array" ref="M51">+IFERROR(SUM(_xlfn._xlws.FILTER(Table_ThuChiTC[Giá trị GD],
(Table_ThuChiTC[Loại GD]="THU")*
(Table_ThuChiTC[Nội dung GD]=Sheet_ThuChiTC!$F$9)*
(Table_ThuChiTC[Ngày GD]&gt;=M2)*
(Table_ThuChiTC[Ngày GD]&lt;N2)
)),0)</f>
        <v>0</v>
      </c>
      <c r="N51" s="337" cm="1">
        <f t="array" ref="N51">+IFERROR(SUM(_xlfn._xlws.FILTER(Table_ThuChiTC[Giá trị GD],
(Table_ThuChiTC[Loại GD]="THU")*
(Table_ThuChiTC[Nội dung GD]=Sheet_ThuChiTC!$F$9)*
(Table_ThuChiTC[Ngày GD]&gt;=N2)*
(Table_ThuChiTC[Ngày GD]&lt;O2)
)),0)</f>
        <v>0</v>
      </c>
      <c r="O51" s="337" cm="1">
        <f t="array" ref="O51">+IFERROR(SUM(_xlfn._xlws.FILTER(Table_ThuChiTC[Giá trị GD],
(Table_ThuChiTC[Loại GD]="THU")*
(Table_ThuChiTC[Nội dung GD]=Sheet_ThuChiTC!$F$9)*
(Table_ThuChiTC[Ngày GD]&gt;=O2)*
(Table_ThuChiTC[Ngày GD]&lt;P2)
)),0)</f>
        <v>0</v>
      </c>
      <c r="P51" s="326"/>
      <c r="Q51" s="242"/>
      <c r="R51" s="73" t="s">
        <v>117</v>
      </c>
      <c r="S51" s="331" cm="1">
        <f t="array" ref="S51">+IFERROR(SUM(_xlfn._xlws.FILTER(Table_ThuChiTC[Giá trị GD],
(Table_ThuChiTC[Loại GD]="THU")*
(Table_ThuChiTC[Nội dung GD]="Thu chi từ biến động gốc vay, thuê tài chính")*
(Table_ThuChiTC[Ngày GD]&gt;=DATE(S$1,1,1))*
(Table_ThuChiTC[Ngày GD]&lt;DATE(S$1+1,1,1))
)),0)</f>
        <v>0</v>
      </c>
      <c r="T51" s="242"/>
      <c r="U51" s="73" t="s">
        <v>117</v>
      </c>
      <c r="V51" s="337" cm="1">
        <f t="array" ref="V51">+IFERROR(SUM(_xlfn._xlws.FILTER(Table_ThuChiTC[Giá trị GD],
(Table_ThuChiTC[Loại GD]="THU")*
(Table_ThuChiTC[Nội dung GD]="Thu chi từ biến động gốc vay, thuê tài chính")*
(Table_ThuChiTC[Ngày GD]&gt;=V$1)*
(Table_ThuChiTC[Ngày GD]&lt;DATE(YEAR(V$1),MONTH(V$1)+1,1))
)),0)</f>
        <v>0</v>
      </c>
    </row>
    <row r="52" spans="2:22" ht="18" customHeight="1" outlineLevel="2" x14ac:dyDescent="0.3">
      <c r="B52" s="73" t="s">
        <v>317</v>
      </c>
      <c r="C52" s="331" cm="1">
        <f t="array" ref="C52"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2" s="337" cm="1">
        <f t="array" ref="D52"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2" s="337" cm="1">
        <f t="array" ref="E52"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2" s="337" cm="1">
        <f t="array" ref="F52"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2" s="337" cm="1">
        <f t="array" ref="G52"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2" s="337" cm="1">
        <f t="array" ref="H52"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2" s="337" cm="1">
        <f t="array" ref="I52"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2" s="337" cm="1">
        <f t="array" ref="J52"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2" s="337" cm="1">
        <f t="array" ref="K52"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2" s="337" cm="1">
        <f t="array" ref="L52"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2" s="337" cm="1">
        <f t="array" ref="M52"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2" s="337" cm="1">
        <f t="array" ref="N52"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2" s="337" cm="1">
        <f t="array" ref="O52"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2" s="326"/>
      <c r="Q52" s="242"/>
      <c r="R52" s="73" t="s">
        <v>317</v>
      </c>
      <c r="S52" s="331" cm="1">
        <f t="array" ref="S52"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2" s="242"/>
      <c r="U52" s="73" t="s">
        <v>317</v>
      </c>
      <c r="V52" s="337" cm="1">
        <f t="array" ref="V52"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3" spans="2:22" ht="18" customHeight="1" outlineLevel="1" x14ac:dyDescent="0.3">
      <c r="B53" s="99" t="s">
        <v>318</v>
      </c>
      <c r="C53" s="129" t="e">
        <f xml:space="preserve">
(+ IFERROR(HLOOKUP(C$2,Table_BCTC_Nam[],Sheet_BaoCaoTaiChinh!A108,0),Sheet_BaoCaoTaiChinh!D108)
+ IFERROR(HLOOKUP(C$2,Table_BCTC_Nam[],Sheet_BaoCaoTaiChinh!A114,0),Sheet_BaoCaoTaiChinh!D114))
/(+ IFERROR(HLOOKUP(C$2,Table_BCTC_Nam[],Sheet_BaoCaoTaiChinh!A117,0),Sheet_BaoCaoTaiChinh!D117)
+ IFERROR(HLOOKUP(C$2,Table_BCTC_Nam[],Sheet_BaoCaoTaiChinh!A119,0),Sheet_BaoCaoTaiChinh!D119))</f>
        <v>#DIV/0!</v>
      </c>
      <c r="D53" s="122" t="e">
        <f xml:space="preserve">
(+ IFERROR(HLOOKUP(D$2,Table_BCTC_Thang[],Sheet_BaoCaoTaiChinh!$A$108,0),Sheet_BaoCaoTaiChinh!$D$108)
+ IFERROR(HLOOKUP(D$2,Table_BCTC_Nam[],Sheet_BaoCaoTaiChinh!$A$114,0),Sheet_BaoCaoTaiChinh!$D$114))
/(+ IFERROR(HLOOKUP(D$2,Table_BCTC_Nam[],Sheet_BaoCaoTaiChinh!$A$117,0),Sheet_BaoCaoTaiChinh!$D$117)
+ IFERROR(HLOOKUP(D$2,Table_BCTC_Nam[],Sheet_BaoCaoTaiChinh!$A$119,0),Sheet_BaoCaoTaiChinh!$D$119))</f>
        <v>#DIV/0!</v>
      </c>
      <c r="E53" s="122" t="e">
        <f xml:space="preserve">
(+ IFERROR(HLOOKUP(E$2,Table_BCTC_Thang[],Sheet_BaoCaoTaiChinh!$A$108,0),Sheet_BaoCaoTaiChinh!$D$108)
+ IFERROR(HLOOKUP(E$2,Table_BCTC_Nam[],Sheet_BaoCaoTaiChinh!$A$114,0),Sheet_BaoCaoTaiChinh!$D$114))
/(+ IFERROR(HLOOKUP(E$2,Table_BCTC_Nam[],Sheet_BaoCaoTaiChinh!$A$117,0),Sheet_BaoCaoTaiChinh!$D$117)
+ IFERROR(HLOOKUP(E$2,Table_BCTC_Nam[],Sheet_BaoCaoTaiChinh!$A$119,0),Sheet_BaoCaoTaiChinh!$D$119))</f>
        <v>#DIV/0!</v>
      </c>
      <c r="F53" s="122" t="e">
        <f xml:space="preserve">
(+ IFERROR(HLOOKUP(F$2,Table_BCTC_Thang[],Sheet_BaoCaoTaiChinh!$A$108,0),Sheet_BaoCaoTaiChinh!$D$108)
+ IFERROR(HLOOKUP(F$2,Table_BCTC_Nam[],Sheet_BaoCaoTaiChinh!$A$114,0),Sheet_BaoCaoTaiChinh!$D$114))
/(+ IFERROR(HLOOKUP(F$2,Table_BCTC_Nam[],Sheet_BaoCaoTaiChinh!$A$117,0),Sheet_BaoCaoTaiChinh!$D$117)
+ IFERROR(HLOOKUP(F$2,Table_BCTC_Nam[],Sheet_BaoCaoTaiChinh!$A$119,0),Sheet_BaoCaoTaiChinh!$D$119))</f>
        <v>#DIV/0!</v>
      </c>
      <c r="G53" s="122" t="e">
        <f xml:space="preserve">
(+ IFERROR(HLOOKUP(G$2,Table_BCTC_Thang[],Sheet_BaoCaoTaiChinh!$A$108,0),Sheet_BaoCaoTaiChinh!$D$108)
+ IFERROR(HLOOKUP(G$2,Table_BCTC_Nam[],Sheet_BaoCaoTaiChinh!$A$114,0),Sheet_BaoCaoTaiChinh!$D$114))
/(+ IFERROR(HLOOKUP(G$2,Table_BCTC_Nam[],Sheet_BaoCaoTaiChinh!$A$117,0),Sheet_BaoCaoTaiChinh!$D$117)
+ IFERROR(HLOOKUP(G$2,Table_BCTC_Nam[],Sheet_BaoCaoTaiChinh!$A$119,0),Sheet_BaoCaoTaiChinh!$D$119))</f>
        <v>#DIV/0!</v>
      </c>
      <c r="H53" s="122" t="e">
        <f xml:space="preserve">
(+ IFERROR(HLOOKUP(H$2,Table_BCTC_Thang[],Sheet_BaoCaoTaiChinh!$A$108,0),Sheet_BaoCaoTaiChinh!$D$108)
+ IFERROR(HLOOKUP(H$2,Table_BCTC_Nam[],Sheet_BaoCaoTaiChinh!$A$114,0),Sheet_BaoCaoTaiChinh!$D$114))
/(+ IFERROR(HLOOKUP(H$2,Table_BCTC_Nam[],Sheet_BaoCaoTaiChinh!$A$117,0),Sheet_BaoCaoTaiChinh!$D$117)
+ IFERROR(HLOOKUP(H$2,Table_BCTC_Nam[],Sheet_BaoCaoTaiChinh!$A$119,0),Sheet_BaoCaoTaiChinh!$D$119))</f>
        <v>#DIV/0!</v>
      </c>
      <c r="I53" s="122" t="e">
        <f xml:space="preserve">
(+ IFERROR(HLOOKUP(I$2,Table_BCTC_Thang[],Sheet_BaoCaoTaiChinh!$A$108,0),Sheet_BaoCaoTaiChinh!$D$108)
+ IFERROR(HLOOKUP(I$2,Table_BCTC_Nam[],Sheet_BaoCaoTaiChinh!$A$114,0),Sheet_BaoCaoTaiChinh!$D$114))
/(+ IFERROR(HLOOKUP(I$2,Table_BCTC_Nam[],Sheet_BaoCaoTaiChinh!$A$117,0),Sheet_BaoCaoTaiChinh!$D$117)
+ IFERROR(HLOOKUP(I$2,Table_BCTC_Nam[],Sheet_BaoCaoTaiChinh!$A$119,0),Sheet_BaoCaoTaiChinh!$D$119))</f>
        <v>#DIV/0!</v>
      </c>
      <c r="J53" s="122" t="e">
        <f xml:space="preserve">
(+ IFERROR(HLOOKUP(J$2,Table_BCTC_Thang[],Sheet_BaoCaoTaiChinh!$A$108,0),Sheet_BaoCaoTaiChinh!$D$108)
+ IFERROR(HLOOKUP(J$2,Table_BCTC_Nam[],Sheet_BaoCaoTaiChinh!$A$114,0),Sheet_BaoCaoTaiChinh!$D$114))
/(+ IFERROR(HLOOKUP(J$2,Table_BCTC_Nam[],Sheet_BaoCaoTaiChinh!$A$117,0),Sheet_BaoCaoTaiChinh!$D$117)
+ IFERROR(HLOOKUP(J$2,Table_BCTC_Nam[],Sheet_BaoCaoTaiChinh!$A$119,0),Sheet_BaoCaoTaiChinh!$D$119))</f>
        <v>#DIV/0!</v>
      </c>
      <c r="K53" s="122" t="e">
        <f xml:space="preserve">
(+ IFERROR(HLOOKUP(K$2,Table_BCTC_Thang[],Sheet_BaoCaoTaiChinh!$A$108,0),Sheet_BaoCaoTaiChinh!$D$108)
+ IFERROR(HLOOKUP(K$2,Table_BCTC_Nam[],Sheet_BaoCaoTaiChinh!$A$114,0),Sheet_BaoCaoTaiChinh!$D$114))
/(+ IFERROR(HLOOKUP(K$2,Table_BCTC_Nam[],Sheet_BaoCaoTaiChinh!$A$117,0),Sheet_BaoCaoTaiChinh!$D$117)
+ IFERROR(HLOOKUP(K$2,Table_BCTC_Nam[],Sheet_BaoCaoTaiChinh!$A$119,0),Sheet_BaoCaoTaiChinh!$D$119))</f>
        <v>#DIV/0!</v>
      </c>
      <c r="L53" s="122" t="e">
        <f xml:space="preserve">
(+ IFERROR(HLOOKUP(L$2,Table_BCTC_Thang[],Sheet_BaoCaoTaiChinh!$A$108,0),Sheet_BaoCaoTaiChinh!$D$108)
+ IFERROR(HLOOKUP(L$2,Table_BCTC_Nam[],Sheet_BaoCaoTaiChinh!$A$114,0),Sheet_BaoCaoTaiChinh!$D$114))
/(+ IFERROR(HLOOKUP(L$2,Table_BCTC_Nam[],Sheet_BaoCaoTaiChinh!$A$117,0),Sheet_BaoCaoTaiChinh!$D$117)
+ IFERROR(HLOOKUP(L$2,Table_BCTC_Nam[],Sheet_BaoCaoTaiChinh!$A$119,0),Sheet_BaoCaoTaiChinh!$D$119))</f>
        <v>#DIV/0!</v>
      </c>
      <c r="M53" s="122" t="e">
        <f xml:space="preserve">
(+ IFERROR(HLOOKUP(M$2,Table_BCTC_Thang[],Sheet_BaoCaoTaiChinh!$A$108,0),Sheet_BaoCaoTaiChinh!$D$108)
+ IFERROR(HLOOKUP(M$2,Table_BCTC_Nam[],Sheet_BaoCaoTaiChinh!$A$114,0),Sheet_BaoCaoTaiChinh!$D$114))
/(+ IFERROR(HLOOKUP(M$2,Table_BCTC_Nam[],Sheet_BaoCaoTaiChinh!$A$117,0),Sheet_BaoCaoTaiChinh!$D$117)
+ IFERROR(HLOOKUP(M$2,Table_BCTC_Nam[],Sheet_BaoCaoTaiChinh!$A$119,0),Sheet_BaoCaoTaiChinh!$D$119))</f>
        <v>#DIV/0!</v>
      </c>
      <c r="N53" s="122" t="e">
        <f xml:space="preserve">
(+ IFERROR(HLOOKUP(N$2,Table_BCTC_Thang[],Sheet_BaoCaoTaiChinh!$A$108,0),Sheet_BaoCaoTaiChinh!$D$108)
+ IFERROR(HLOOKUP(N$2,Table_BCTC_Nam[],Sheet_BaoCaoTaiChinh!$A$114,0),Sheet_BaoCaoTaiChinh!$D$114))
/(+ IFERROR(HLOOKUP(N$2,Table_BCTC_Nam[],Sheet_BaoCaoTaiChinh!$A$117,0),Sheet_BaoCaoTaiChinh!$D$117)
+ IFERROR(HLOOKUP(N$2,Table_BCTC_Nam[],Sheet_BaoCaoTaiChinh!$A$119,0),Sheet_BaoCaoTaiChinh!$D$119))</f>
        <v>#DIV/0!</v>
      </c>
      <c r="O53" s="122" t="e">
        <f xml:space="preserve">
(+ IFERROR(HLOOKUP(O$2,Table_BCTC_Thang[],Sheet_BaoCaoTaiChinh!$A$108,0),Sheet_BaoCaoTaiChinh!$D$108)
+ IFERROR(HLOOKUP(O$2,Table_BCTC_Nam[],Sheet_BaoCaoTaiChinh!$A$114,0),Sheet_BaoCaoTaiChinh!$D$114))
/(+ IFERROR(HLOOKUP(O$2,Table_BCTC_Nam[],Sheet_BaoCaoTaiChinh!$A$117,0),Sheet_BaoCaoTaiChinh!$D$117)
+ IFERROR(HLOOKUP(O$2,Table_BCTC_Nam[],Sheet_BaoCaoTaiChinh!$A$119,0),Sheet_BaoCaoTaiChinh!$D$119))</f>
        <v>#DIV/0!</v>
      </c>
      <c r="P53" s="326"/>
      <c r="Q53" s="242"/>
      <c r="R53" s="99" t="s">
        <v>318</v>
      </c>
      <c r="S53" s="129" t="e">
        <f xml:space="preserve">
(+ IFERROR(HLOOKUP(S$1,Table_BCTC_Nam[],Sheet_BaoCaoTaiChinh!$A$108,0),Sheet_BaoCaoTaiChinh!$D$108)
+ IFERROR(HLOOKUP(S$1,Table_BCTC_Nam[],Sheet_BaoCaoTaiChinh!$A$114,0),Sheet_BaoCaoTaiChinh!$D$114))
/(+ IFERROR(HLOOKUP(S$1,Table_BCTC_Nam[],Sheet_BaoCaoTaiChinh!$A$117,0),Sheet_BaoCaoTaiChinh!$D$117)
+ IFERROR(HLOOKUP(S$1,Table_BCTC_Nam[],Sheet_BaoCaoTaiChinh!$A$119,0),Sheet_BaoCaoTaiChinh!$D$119))</f>
        <v>#DIV/0!</v>
      </c>
      <c r="T53" s="242"/>
      <c r="U53" s="99" t="s">
        <v>318</v>
      </c>
      <c r="V53" s="122" t="e">
        <f xml:space="preserve">
(+ IFERROR(HLOOKUP(V$1,Table_BCTC_Thang[],Sheet_BaoCaoTaiChinh!$A$108,0),Sheet_BaoCaoTaiChinh!$D$108)
+ IFERROR(HLOOKUP(V$1,Table_BCTC_Nam[],Sheet_BaoCaoTaiChinh!$A$114,0),Sheet_BaoCaoTaiChinh!$D$114))
/(+ IFERROR(HLOOKUP(V$1,Table_BCTC_Nam[],Sheet_BaoCaoTaiChinh!$A$117,0),Sheet_BaoCaoTaiChinh!$D$117)
+ IFERROR(HLOOKUP(V$1,Table_BCTC_Nam[],Sheet_BaoCaoTaiChinh!$A$119,0),Sheet_BaoCaoTaiChinh!$D$119))</f>
        <v>#DIV/0!</v>
      </c>
    </row>
    <row r="54" spans="2:22" s="53" customFormat="1" ht="18" customHeight="1" outlineLevel="1" x14ac:dyDescent="0.3">
      <c r="B54" s="74" t="s">
        <v>319</v>
      </c>
      <c r="C54" s="330" cm="1">
        <f t="array" ref="C54">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f>
        <v>0</v>
      </c>
      <c r="D54" s="339" cm="1">
        <f t="array" ref="D54"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f>
        <v>0</v>
      </c>
      <c r="E54" s="339" cm="1">
        <f t="array" ref="E54"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f>
        <v>0</v>
      </c>
      <c r="F54" s="339" cm="1">
        <f t="array" ref="F54"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f>
        <v>0</v>
      </c>
      <c r="G54" s="339" cm="1">
        <f t="array" ref="G54"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f>
        <v>0</v>
      </c>
      <c r="H54" s="339" cm="1">
        <f t="array" ref="H54"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f>
        <v>0</v>
      </c>
      <c r="I54" s="339" cm="1">
        <f t="array" ref="I54"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f>
        <v>0</v>
      </c>
      <c r="J54" s="339" cm="1">
        <f t="array" ref="J54"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f>
        <v>0</v>
      </c>
      <c r="K54" s="339" cm="1">
        <f t="array" ref="K54"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f>
        <v>0</v>
      </c>
      <c r="L54" s="339" cm="1">
        <f t="array" ref="L54"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f>
        <v>0</v>
      </c>
      <c r="M54" s="339" cm="1">
        <f t="array" ref="M54"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f>
        <v>0</v>
      </c>
      <c r="N54" s="339" cm="1">
        <f t="array" ref="N54"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f>
        <v>0</v>
      </c>
      <c r="O54" s="339" cm="1">
        <f t="array" ref="O54"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f>
        <v>0</v>
      </c>
      <c r="P54" s="339"/>
      <c r="Q54" s="264"/>
      <c r="R54" s="74" t="s">
        <v>319</v>
      </c>
      <c r="S54" s="330" cm="1">
        <f t="array" ref="S54">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f>
        <v>0</v>
      </c>
      <c r="T54" s="264"/>
      <c r="U54" s="74" t="s">
        <v>319</v>
      </c>
      <c r="V54" s="339" cm="1">
        <f t="array" ref="V54"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f>
        <v>0</v>
      </c>
    </row>
    <row r="55" spans="2:22" s="41" customFormat="1" ht="18" customHeight="1" outlineLevel="1" x14ac:dyDescent="0.3">
      <c r="B55" s="73" t="s">
        <v>121</v>
      </c>
      <c r="C55" s="331" cm="1">
        <f t="array" ref="C55"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5" s="337" cm="1">
        <f t="array" ref="D55"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5" s="337" cm="1">
        <f t="array" ref="E55"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5" s="337" cm="1">
        <f t="array" ref="F55"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5" s="337" cm="1">
        <f t="array" ref="G55"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5" s="337" cm="1">
        <f t="array" ref="H55"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5" s="337" cm="1">
        <f t="array" ref="I55"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5" s="337" cm="1">
        <f t="array" ref="J55"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5" s="337" cm="1">
        <f t="array" ref="K55"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5" s="337" cm="1">
        <f t="array" ref="L55"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5" s="337" cm="1">
        <f t="array" ref="M55"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5" s="337" cm="1">
        <f t="array" ref="N55"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5" s="337" cm="1">
        <f t="array" ref="O55"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5" s="326"/>
      <c r="Q55" s="266"/>
      <c r="R55" s="73" t="s">
        <v>121</v>
      </c>
      <c r="S55" s="331" cm="1">
        <f t="array" ref="S55"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5" s="266"/>
      <c r="U55" s="73" t="s">
        <v>121</v>
      </c>
      <c r="V55" s="337" cm="1">
        <f t="array" ref="V55"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6" spans="2:22" ht="18" customHeight="1" outlineLevel="1" x14ac:dyDescent="0.3">
      <c r="B56" s="87" t="s">
        <v>320</v>
      </c>
      <c r="C56" s="334" cm="1">
        <f t="array" ref="C56">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+C47+SUM(C50:C52)+SUM(C45:C46)+C55</f>
        <v>0</v>
      </c>
      <c r="D56" s="334" cm="1">
        <f t="array" ref="D56"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+SUM($D$47:D47)+SUM($D$50:D52)+SUM($D$45:D46)+SUM($D$55:D55)</f>
        <v>0</v>
      </c>
      <c r="E56" s="334" cm="1">
        <f t="array" ref="E56"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+SUM($D$47:E47)+SUM($D$50:E52)+SUM($D$45:E46)+SUM($D$55:E55)</f>
        <v>0</v>
      </c>
      <c r="F56" s="334" cm="1">
        <f t="array" ref="F56"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+SUM($D$47:F47)+SUM($D$50:F52)+SUM($D$45:F46)+SUM($D$55:F55)</f>
        <v>0</v>
      </c>
      <c r="G56" s="334" cm="1">
        <f t="array" ref="G56"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+SUM($D$47:G47)+SUM($D$50:G52)+SUM($D$45:G46)+SUM($D$55:G55)</f>
        <v>0</v>
      </c>
      <c r="H56" s="334" cm="1">
        <f t="array" ref="H56"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+SUM($D$47:H47)+SUM($D$50:H52)+SUM($D$45:H46)+SUM($D$55:H55)</f>
        <v>0</v>
      </c>
      <c r="I56" s="334" cm="1">
        <f t="array" ref="I56"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+SUM($D$47:I47)+SUM($D$50:I52)+SUM($D$45:I46)+SUM($D$55:I55)</f>
        <v>0</v>
      </c>
      <c r="J56" s="334" cm="1">
        <f t="array" ref="J56"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+SUM($D$47:J47)+SUM($D$50:J52)+SUM($D$45:J46)+SUM($D$55:J55)</f>
        <v>0</v>
      </c>
      <c r="K56" s="334" cm="1">
        <f t="array" ref="K56"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+SUM($D$47:K47)+SUM($D$50:K52)+SUM($D$45:K46)+SUM($D$55:K55)</f>
        <v>0</v>
      </c>
      <c r="L56" s="334" cm="1">
        <f t="array" ref="L56"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+SUM($D$47:L47)+SUM($D$50:L52)+SUM($D$45:L46)+SUM($D$55:L55)</f>
        <v>0</v>
      </c>
      <c r="M56" s="334" cm="1">
        <f t="array" ref="M56"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+SUM($D$47:M47)+SUM($D$50:M52)+SUM($D$45:M46)+SUM($D$55:M55)</f>
        <v>0</v>
      </c>
      <c r="N56" s="334" cm="1">
        <f t="array" ref="N56"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+SUM($D$47:N47)+SUM($D$50:N52)+SUM($D$45:N46)+SUM($D$55:N55)</f>
        <v>0</v>
      </c>
      <c r="O56" s="334" cm="1">
        <f t="array" ref="O56"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+SUM($D$47:O47)+SUM($D$50:O52)+SUM($D$45:O46)+SUM($D$55:O55)</f>
        <v>0</v>
      </c>
      <c r="P56" s="326"/>
      <c r="Q56" s="242"/>
      <c r="R56" s="87" t="s">
        <v>320</v>
      </c>
      <c r="S56" s="334" cm="1">
        <f t="array" ref="S56">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)),0)+S47+SUM(S50:S52)+SUM(S45:S46)+S55</f>
        <v>0</v>
      </c>
      <c r="T56" s="242"/>
      <c r="U56" s="87" t="s">
        <v>320</v>
      </c>
      <c r="V56" s="334" cm="1">
        <f t="array" ref="V56"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+V47+SUM(V50:V52)+SUM(V45:V46)+V55</f>
        <v>0</v>
      </c>
    </row>
    <row r="57" spans="2:22" ht="18" customHeight="1" x14ac:dyDescent="0.3">
      <c r="Q57" s="242"/>
      <c r="T57" s="242"/>
    </row>
  </sheetData>
  <sheetProtection algorithmName="SHA-512" hashValue="ya+UT3EKjrHYzsxQ/gyW2ZbOuiZq5lrgUGlT1EXJltvXN3/UAMbIH748SUlnz8ZeczsGTCPVAHlG8y5ftpG5bg==" saltValue="AlThXClv8DL4oVAQlKlLQA==" spinCount="100000" sheet="1" scenarios="1" formatCells="0" formatColumns="0" formatRows="0" insertColumns="0" insertRows="0" deleteColumns="0" deleteRows="0" sort="0" autoFilter="0" pivotTables="0"/>
  <protectedRanges>
    <protectedRange sqref="B11 B21 B8 R21 R8 S3:S4 U21 U8 R11 U11 V3:V4 P3:P56 V9 C53 S19:S21 V19:V21 S31 V31 S36:S37 V36:V37 S41 V41 S43 V43 S47 V47 S53 S33 V33" name="Range1_63"/>
    <protectedRange sqref="D19:O19 B6:B7 C22:C30 C5 C9 R6:R7 U6:U7 U3:U4 B56 B3:C4 R3:R4 U39:U40 U33 U42:U43 R42:R43 R47 U56 R56 R31 B39:B40 B33 C44:C46 B42:B43 C51:C52 B47 B31 U31 U47 R39:R40 R33 S5 V5 S9 S14 D16:O16 S16:S17 V16:V17 S44:S46 S51:S52 C54:C55 S54:S55 C12:C14 C16:C19 S22:S30" name="Range1_63_63_1"/>
    <protectedRange sqref="B19 C20:O20 R9 R5 U19 U9 R19 U5 R54 U49 U54 B49 B54 R49 C10:O10 S10 V10" name="Range1_5_1_3_1_2"/>
    <protectedRange sqref="B17 R17 U17" name="Range1_5_1"/>
    <protectedRange sqref="B5" name="Range1_5"/>
    <protectedRange sqref="B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304800</xdr:colOff>
                    <xdr:row>0</xdr:row>
                    <xdr:rowOff>28575</xdr:rowOff>
                  </from>
                  <to>
                    <xdr:col>21</xdr:col>
                    <xdr:colOff>666750</xdr:colOff>
                    <xdr:row>1</xdr:row>
                    <xdr:rowOff>57150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22</xdr:col>
                    <xdr:colOff>28575</xdr:colOff>
                    <xdr:row>0</xdr:row>
                    <xdr:rowOff>28575</xdr:rowOff>
                  </from>
                  <to>
                    <xdr:col>22</xdr:col>
                    <xdr:colOff>390525</xdr:colOff>
                    <xdr:row>1</xdr:row>
                    <xdr:rowOff>57150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T3:U3 A2:R3 W2:XFD3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S3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508"/>
  <sheetViews>
    <sheetView showGridLines="0" topLeftCell="A105" zoomScaleNormal="100" workbookViewId="0">
      <selection activeCell="D108" sqref="D108"/>
    </sheetView>
  </sheetViews>
  <sheetFormatPr defaultRowHeight="18" customHeight="1" outlineLevelRow="3"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2"/>
      <c r="B1" s="244"/>
      <c r="C1" s="41" t="s">
        <v>356</v>
      </c>
      <c r="D1" s="265"/>
      <c r="E1" s="351"/>
      <c r="F1" s="351"/>
      <c r="G1" s="244"/>
      <c r="H1" s="242"/>
      <c r="I1" s="242"/>
      <c r="J1" s="351"/>
      <c r="K1" s="351"/>
      <c r="L1" s="244"/>
      <c r="M1" s="242"/>
      <c r="N1" s="242"/>
      <c r="O1" s="351"/>
      <c r="P1" s="350"/>
      <c r="Q1" s="242"/>
      <c r="R1" s="242"/>
      <c r="S1" s="242"/>
      <c r="T1" s="242"/>
      <c r="U1" s="242"/>
      <c r="V1" s="242"/>
      <c r="W1" s="242"/>
      <c r="X1" s="242"/>
      <c r="Y1" s="242"/>
      <c r="Z1" s="242"/>
      <c r="AA1" s="242"/>
      <c r="AB1" s="242"/>
      <c r="AC1" s="242"/>
      <c r="AD1" s="242"/>
      <c r="AE1" s="242"/>
      <c r="AF1" s="242"/>
      <c r="AG1" s="242"/>
      <c r="AH1" s="242"/>
      <c r="AI1" s="242"/>
      <c r="AJ1" s="242"/>
      <c r="AK1" s="242"/>
      <c r="AL1" s="242"/>
      <c r="AM1" s="242"/>
    </row>
    <row r="2" spans="1:39" ht="18" customHeight="1" x14ac:dyDescent="0.3">
      <c r="A2" s="242"/>
      <c r="B2" s="244"/>
      <c r="C2" s="7" t="s">
        <v>889</v>
      </c>
      <c r="D2" s="457">
        <v>45915</v>
      </c>
      <c r="E2" s="352">
        <f>+E77+E90-E101-E115</f>
        <v>-4050000000</v>
      </c>
      <c r="F2" s="352">
        <f>+F77+F90-F101-F115</f>
        <v>-4050000000</v>
      </c>
      <c r="G2" s="244"/>
      <c r="H2" s="242"/>
      <c r="I2" s="242"/>
      <c r="J2" s="242"/>
      <c r="K2" s="242"/>
      <c r="L2" s="244"/>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row>
    <row r="3" spans="1:39" ht="18" customHeight="1" x14ac:dyDescent="0.3">
      <c r="A3" s="242"/>
      <c r="B3" s="3" t="s">
        <v>357</v>
      </c>
      <c r="C3" s="4" t="s">
        <v>884</v>
      </c>
      <c r="D3" s="12" t="s">
        <v>358</v>
      </c>
      <c r="E3" s="3" t="s">
        <v>359</v>
      </c>
      <c r="F3" s="4" t="s">
        <v>360</v>
      </c>
      <c r="G3" s="353"/>
      <c r="H3" s="3" t="s">
        <v>357</v>
      </c>
      <c r="I3" s="4" t="s">
        <v>884</v>
      </c>
      <c r="J3" s="4" t="s">
        <v>901</v>
      </c>
      <c r="K3" s="4" t="s">
        <v>883</v>
      </c>
      <c r="L3" s="244"/>
      <c r="M3" s="3" t="s">
        <v>357</v>
      </c>
      <c r="N3" s="4" t="s">
        <v>884</v>
      </c>
      <c r="O3" s="4" t="s">
        <v>902</v>
      </c>
      <c r="P3" s="4" t="s">
        <v>883</v>
      </c>
      <c r="Q3" s="242"/>
      <c r="R3" s="242"/>
      <c r="S3" s="242"/>
      <c r="T3" s="242"/>
      <c r="U3" s="242"/>
      <c r="V3" s="242"/>
      <c r="W3" s="242"/>
      <c r="X3" s="242"/>
      <c r="Y3" s="242"/>
      <c r="Z3" s="242"/>
      <c r="AA3" s="242"/>
      <c r="AB3" s="242"/>
      <c r="AC3" s="242"/>
      <c r="AD3" s="242"/>
      <c r="AE3" s="242"/>
      <c r="AF3" s="242"/>
      <c r="AG3" s="242"/>
      <c r="AH3" s="242"/>
      <c r="AI3" s="242"/>
      <c r="AJ3" s="242"/>
      <c r="AK3" s="242"/>
      <c r="AL3" s="242"/>
      <c r="AM3" s="242"/>
    </row>
    <row r="4" spans="1:39" s="69" customFormat="1" ht="18" customHeight="1" x14ac:dyDescent="0.3">
      <c r="A4" s="242">
        <f>+A3+1</f>
        <v>1</v>
      </c>
      <c r="B4" s="354"/>
      <c r="C4" s="74" t="s">
        <v>361</v>
      </c>
      <c r="D4" s="353"/>
      <c r="E4" s="75" t="str">
        <f>CONCATENATE(BCTC_Nam, " / Đầu kỳ")</f>
        <v xml:space="preserve"> / Đầu kỳ</v>
      </c>
      <c r="F4" s="76" t="str">
        <f>CONCATENATE(BCTC_Thang,"-",BCTC_Nam, " / Cuối kỳ")</f>
        <v>- / Cuối kỳ</v>
      </c>
      <c r="G4" s="355"/>
      <c r="H4" s="354"/>
      <c r="I4" s="74" t="s">
        <v>361</v>
      </c>
      <c r="J4" s="356"/>
      <c r="K4" s="356">
        <f>K$1</f>
        <v>0</v>
      </c>
      <c r="L4" s="357"/>
      <c r="M4" s="354"/>
      <c r="N4" s="74" t="s">
        <v>361</v>
      </c>
      <c r="O4" s="356"/>
      <c r="P4" s="76">
        <f>P$1</f>
        <v>0</v>
      </c>
      <c r="Q4" s="357"/>
      <c r="R4" s="357"/>
      <c r="S4" s="357"/>
      <c r="T4" s="357"/>
      <c r="U4" s="357"/>
      <c r="V4" s="357"/>
      <c r="W4" s="357"/>
      <c r="X4" s="357"/>
      <c r="Y4" s="357"/>
      <c r="Z4" s="357"/>
      <c r="AA4" s="357"/>
      <c r="AB4" s="357"/>
      <c r="AC4" s="357"/>
      <c r="AD4" s="357"/>
      <c r="AE4" s="357"/>
      <c r="AF4" s="357"/>
      <c r="AG4" s="357"/>
      <c r="AH4" s="357"/>
      <c r="AI4" s="357"/>
      <c r="AJ4" s="357"/>
      <c r="AK4" s="357"/>
      <c r="AL4" s="357"/>
      <c r="AM4" s="357"/>
    </row>
    <row r="5" spans="1:39" ht="18" customHeight="1" collapsed="1" x14ac:dyDescent="0.15">
      <c r="A5" s="242">
        <f t="shared" ref="A5:A68" si="0">+A4+1</f>
        <v>2</v>
      </c>
      <c r="B5" s="262"/>
      <c r="C5" s="74" t="s">
        <v>362</v>
      </c>
      <c r="D5" s="265"/>
      <c r="E5" s="358"/>
      <c r="F5" s="358"/>
      <c r="G5" s="242"/>
      <c r="H5" s="359"/>
      <c r="I5" s="74" t="s">
        <v>362</v>
      </c>
      <c r="J5" s="358"/>
      <c r="K5" s="358"/>
      <c r="L5" s="242"/>
      <c r="M5" s="359"/>
      <c r="N5" s="74" t="s">
        <v>362</v>
      </c>
      <c r="O5" s="358"/>
      <c r="P5" s="358"/>
      <c r="Q5" s="242"/>
      <c r="R5" s="242"/>
      <c r="S5" s="242"/>
      <c r="T5" s="242"/>
      <c r="U5" s="242"/>
      <c r="V5" s="242"/>
      <c r="W5" s="242"/>
      <c r="X5" s="242"/>
      <c r="Y5" s="242"/>
      <c r="Z5" s="242"/>
      <c r="AA5" s="242"/>
      <c r="AB5" s="242"/>
      <c r="AC5" s="242"/>
      <c r="AD5" s="242"/>
      <c r="AE5" s="242"/>
      <c r="AF5" s="242"/>
      <c r="AG5" s="242"/>
      <c r="AH5" s="242"/>
      <c r="AI5" s="242"/>
      <c r="AJ5" s="242"/>
      <c r="AK5" s="242"/>
      <c r="AL5" s="242"/>
      <c r="AM5" s="242"/>
    </row>
    <row r="6" spans="1:39" s="53" customFormat="1" ht="18" hidden="1" customHeight="1" outlineLevel="1" x14ac:dyDescent="0.3">
      <c r="A6" s="242">
        <f t="shared" si="0"/>
        <v>3</v>
      </c>
      <c r="B6" s="360"/>
      <c r="C6" s="72" t="s">
        <v>73</v>
      </c>
      <c r="D6" s="361"/>
      <c r="E6" s="362"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3"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62"/>
      <c r="H6" s="360"/>
      <c r="I6" s="72" t="s">
        <v>73</v>
      </c>
      <c r="J6" s="362"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62"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4"/>
      <c r="M6" s="360"/>
      <c r="N6" s="72" t="s">
        <v>73</v>
      </c>
      <c r="O6" s="363"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3"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s="53" customFormat="1" ht="18" hidden="1" customHeight="1" outlineLevel="2" x14ac:dyDescent="0.3">
      <c r="A7" s="242">
        <f t="shared" si="0"/>
        <v>4</v>
      </c>
      <c r="B7" s="259" t="s">
        <v>363</v>
      </c>
      <c r="C7" s="73" t="s">
        <v>33</v>
      </c>
      <c r="D7" s="364"/>
      <c r="E7" s="312" cm="1">
        <f t="array" ref="E7">IFERROR(SUM(
_xlfn._xlws.FILTER(Table_Main[Thành tiền niêm yết],
NOT(ISBLANK(Table_Main[Đơn bán]))*
(Table_Main[Loại] = "Xuất")*
(Table_Main[Ngày lên đơn] &gt;= DATE(BCTC_Nam, 1, 1))*
(Table_Main[Ngày lên đơn] &lt; DATE(BCTC_Nam+1, 1, 1))
)),0)</f>
        <v>0</v>
      </c>
      <c r="F7" s="312" cm="1">
        <f t="array" ref="F7">IFERROR(SUM(
_xlfn._xlws.FILTER(Table_Main[Thành tiền niêm yết],
NOT(ISBLANK(Table_Main[Đơn bán]))*
(Table_Main[Loại] = "Xuất")*
(Table_Main[Ngày lên đơn] &gt;= DATE(BCTC_Nam, BCTC_Thang, 1))*
(Table_Main[Ngày lên đơn] &lt; DATE(BCTC_Nam, BCTC_Thang+1, 1))
)),0)</f>
        <v>0</v>
      </c>
      <c r="G7" s="362"/>
      <c r="H7" s="259" t="s">
        <v>363</v>
      </c>
      <c r="I7" s="73" t="s">
        <v>33</v>
      </c>
      <c r="J7" s="312" cm="1">
        <f t="array" ref="J7">IFERROR(SUM(
_xlfn._xlws.FILTER(Table_Main[Thành tiền niêm yết],
NOT(ISBLANK(Table_Main[Đơn bán]))*
(Table_Main[Loại] = "Xuất")*
(Table_Main[Ngày lên đơn] &gt;= DATE(J$1, 1, 1))*
(Table_Main[Ngày lên đơn] &lt; DATE(J$1+1, 1, 1))
)),0)</f>
        <v>0</v>
      </c>
      <c r="K7" s="312" cm="1">
        <f t="array" ref="K7">IFERROR(SUM(
_xlfn._xlws.FILTER(Table_Main[Thành tiền niêm yết],
NOT(ISBLANK(Table_Main[Đơn bán]))*
(Table_Main[Loại] = "Xuất")*
(Table_Main[Ngày lên đơn] &gt;= DATE(K$1, 1, 1))*
(Table_Main[Ngày lên đơn] &lt; DATE(K$1+1, 1, 1))
)),0)</f>
        <v>0</v>
      </c>
      <c r="L7" s="264"/>
      <c r="M7" s="259" t="s">
        <v>363</v>
      </c>
      <c r="N7" s="73" t="s">
        <v>33</v>
      </c>
      <c r="O7" s="312" cm="1">
        <f t="array" ref="O7">IFERROR(SUM(
_xlfn._xlws.FILTER(Table_Main[Thành tiền niêm yết],
NOT(ISBLANK(Table_Main[Đơn bán]))*
(Table_Main[Loại] = "Xuất")*
(Table_Main[Ngày lên đơn] &gt;= O$1)*
(Table_Main[Ngày lên đơn] &lt; DATE(YEAR(O$1),MONTH(O$1)+1, 1))
)),0)</f>
        <v>0</v>
      </c>
      <c r="P7" s="312" cm="1">
        <f t="array" ref="P7">IFERROR(SUM(
_xlfn._xlws.FILTER(Table_Main[Thành tiền niêm yết],
NOT(ISBLANK(Table_Main[Đơn bán]))*
(Table_Main[Loại] = "Xuất")*
(Table_Main[Ngày lên đơn] &gt;= P$1)*
(Table_Main[Ngày lên đơn] &lt; DATE(YEAR(P$1),MONTH(P$1)+1, 1))
)),0)</f>
        <v>0</v>
      </c>
      <c r="Q7" s="264"/>
      <c r="R7" s="264"/>
      <c r="S7" s="264"/>
      <c r="T7" s="264"/>
      <c r="U7" s="264"/>
      <c r="V7" s="264"/>
      <c r="W7" s="264"/>
      <c r="X7" s="264"/>
      <c r="Y7" s="264"/>
      <c r="Z7" s="264"/>
      <c r="AA7" s="264"/>
      <c r="AB7" s="264"/>
      <c r="AC7" s="264"/>
      <c r="AD7" s="264"/>
      <c r="AE7" s="264"/>
      <c r="AF7" s="264"/>
      <c r="AG7" s="264"/>
      <c r="AH7" s="264"/>
      <c r="AI7" s="264"/>
      <c r="AJ7" s="264"/>
      <c r="AK7" s="264"/>
      <c r="AL7" s="264"/>
      <c r="AM7" s="264"/>
    </row>
    <row r="8" spans="1:39" ht="18" hidden="1" customHeight="1" outlineLevel="3" x14ac:dyDescent="0.15">
      <c r="A8" s="242">
        <f t="shared" si="0"/>
        <v>5</v>
      </c>
      <c r="B8" s="365"/>
      <c r="C8" s="72" t="s">
        <v>285</v>
      </c>
      <c r="D8" s="361"/>
      <c r="E8" s="362" cm="1">
        <f t="array" ref="E8">-IFERROR(SUM(
_xlfn._xlws.FILTER(Table_Main[Giá trị CK],
NOT(ISBLANK(Table_Main[Đơn bán]))*
(Table_Main[Ngày lên đơn] &gt;= DATE(BCTC_Nam, 1, 1))*
(Table_Main[Ngày lên đơn] &lt; DATE(BCTC_Nam+1, 1, 1))
)),0)
-IFERROR(SUM(
_xlfn._xlws.FILTER(Table_DonBan[Giá trị CK],
( Table_DonBan[Ngày lập]&gt;= DATE(BCTC_Nam, 1, 1))*
(Table_DonBan[Ngày lập] &lt; DATE(BCTC_Nam+1, 1, 1))
)),0)</f>
        <v>0</v>
      </c>
      <c r="F8" s="362" cm="1">
        <f t="array" ref="F8">-IFERROR(SUM(
_xlfn._xlws.FILTER(Table_Main[Giá trị CK],
NOT(ISBLANK(Table_Main[Đơn bán]))*
(Table_Main[Ngày lên đơn] &gt;= DATE(BCTC_Nam, BCTC_Thang, 1))*
(Table_Main[Ngày lên đơn] &lt; DATE(BCTC_Nam, BCTC_Thang+1, 1))
)),0)
-IFERROR(SUM(
_xlfn._xlws.FILTER(Table_DonBan[Giá trị CK],
( Table_DonBan[Ngày lập]&gt;= DATE(BCTC_Nam, BCTC_Thang, 1))*
(Table_DonBan[Ngày lập] &lt; DATE(BCTC_Nam, BCTC_Thang+1, 1))
)),0)</f>
        <v>0</v>
      </c>
      <c r="G8" s="312"/>
      <c r="H8" s="365"/>
      <c r="I8" s="72" t="s">
        <v>285</v>
      </c>
      <c r="J8" s="362" cm="1">
        <f t="array" ref="J8">-IFERROR(SUM(
_xlfn._xlws.FILTER(Table_Main[Giá trị CK],
NOT(ISBLANK(Table_Main[Đơn bán]))*
(Table_Main[Ngày lên đơn] &gt;= DATE(J$1, 1, 1))*
(Table_Main[Ngày lên đơn] &lt; DATE(J$1+1, 1, 1))
)),0)
-IFERROR(SUM(
_xlfn._xlws.FILTER(Table_DonBan[Giá trị CK],
( Table_DonBan[Ngày lập]&gt;= DATE(J$1, 1, 1))*
(Table_DonBan[Ngày lập] &lt; DATE(J$1+1, 1, 1))
)),0)</f>
        <v>0</v>
      </c>
      <c r="K8" s="362" cm="1">
        <f t="array" ref="K8">-IFERROR(SUM(
_xlfn._xlws.FILTER(Table_Main[Giá trị CK],
NOT(ISBLANK(Table_Main[Đơn bán]))*
(Table_Main[Ngày lên đơn] &gt;= DATE(K$1, 1, 1))*
(Table_Main[Ngày lên đơn] &lt; DATE(K$1+1, 1, 1))
)),0)
-IFERROR(SUM(
_xlfn._xlws.FILTER(Table_DonBan[Giá trị CK],
( Table_DonBan[Ngày lập]&gt;= DATE(K$1, 1, 1))*
(Table_DonBan[Ngày lập] &lt; DATE(K$1+1, 1, 1))
)),0)</f>
        <v>0</v>
      </c>
      <c r="L8" s="244"/>
      <c r="M8" s="365"/>
      <c r="N8" s="72" t="s">
        <v>285</v>
      </c>
      <c r="O8" s="362" cm="1">
        <f t="array" ref="O8">-IFERROR(SUM(
_xlfn._xlws.FILTER(Table_Main[Giá trị CK],
NOT(ISBLANK(Table_Main[Đơn bán]))*
(Table_Main[Ngày lên đơn] &gt;= O$1)*
(Table_Main[Ngày lên đơn] &lt; DATE(YEAR(O$1),MONTH(O$1)+1, 1))
)),0)
-IFERROR(SUM(
_xlfn._xlws.FILTER(Table_DonBan[Giá trị CK],
( Table_DonBan[Ngày lập]&gt;= O$1)*
(Table_DonBan[Ngày lập] &lt; DATE(YEAR(O$1),MONTH(O$1)+1, 1))
)),0)</f>
        <v>0</v>
      </c>
      <c r="P8" s="362" cm="1">
        <f t="array" ref="P8">-IFERROR(SUM(
_xlfn._xlws.FILTER(Table_Main[Giá trị CK],
NOT(ISBLANK(Table_Main[Đơn bán]))*
(Table_Main[Ngày lên đơn] &gt;= P$1)*
(Table_Main[Ngày lên đơn] &lt; DATE(YEAR(P$1),MONTH(P$1)+1, 1))
)),0)
-IFERROR(SUM(
_xlfn._xlws.FILTER(Table_DonBan[Giá trị CK],
( Table_DonBan[Ngày lập]&gt;= P$1)*
(Table_DonBan[Ngày lập] &lt; DATE(YEAR(P$1),MONTH(P$1)+1, 1))
)),0)</f>
        <v>0</v>
      </c>
      <c r="Q8" s="242"/>
      <c r="R8" s="265"/>
      <c r="S8" s="242"/>
      <c r="T8" s="242"/>
      <c r="U8" s="242"/>
      <c r="V8" s="242"/>
      <c r="W8" s="242"/>
      <c r="X8" s="242"/>
      <c r="Y8" s="242"/>
      <c r="Z8" s="242"/>
      <c r="AA8" s="242"/>
      <c r="AB8" s="242"/>
      <c r="AC8" s="242"/>
      <c r="AD8" s="242"/>
      <c r="AE8" s="242"/>
      <c r="AF8" s="242"/>
      <c r="AG8" s="242"/>
      <c r="AH8" s="242"/>
      <c r="AI8" s="242"/>
      <c r="AJ8" s="242"/>
      <c r="AK8" s="242"/>
      <c r="AL8" s="242"/>
      <c r="AM8" s="242"/>
    </row>
    <row r="9" spans="1:39" s="41" customFormat="1" ht="18" hidden="1" customHeight="1" outlineLevel="3" x14ac:dyDescent="0.3">
      <c r="A9" s="242">
        <f t="shared" si="0"/>
        <v>6</v>
      </c>
      <c r="B9" s="365"/>
      <c r="C9" s="72" t="s">
        <v>364</v>
      </c>
      <c r="D9" s="361"/>
      <c r="E9" s="362" cm="1">
        <f t="array" ref="E9">+IFERROR(SUM(
_xlfn._xlws.FILTER(Table_Main[Thành tiền niêm yết],
NOT(ISBLANK(Table_Main[Đơn bán]))*
(Table_Main[Loại] = "Nhập")*
(Table_Main[Ngày xuất nhập] &gt;= DATE(BCTC_Nam, 1, 1))*
(Table_Main[Ngày xuất nhập] &lt; DATE(BCTC_Nam+1, 1, 1))
)),0)</f>
        <v>0</v>
      </c>
      <c r="F9" s="362" cm="1">
        <f t="array" ref="F9">+IFERROR(SUM(
_xlfn._xlws.FILTER(Table_Main[Thành tiền niêm yết],
NOT(ISBLANK(Table_Main[Đơn bán]))*
(Table_Main[Loại] = "Nhập")*
(Table_Main[Ngày xuất nhập] &gt;= DATE(BCTC_Nam, BCTC_Thang, 1))*
(Table_Main[Ngày xuất nhập] &lt; DATE(BCTC_Nam, BCTC_Thang+1, 1))
)),0)</f>
        <v>0</v>
      </c>
      <c r="G9" s="366"/>
      <c r="H9" s="365"/>
      <c r="I9" s="72" t="s">
        <v>364</v>
      </c>
      <c r="J9" s="362" cm="1">
        <f t="array" ref="J9">+IFERROR(SUM(
_xlfn._xlws.FILTER(Table_Main[Thành tiền niêm yết],
NOT(ISBLANK(Table_Main[Đơn bán]))*
(Table_Main[Loại] = "Nhập")*
(Table_Main[Ngày xuất nhập] &gt;= DATE(J$1, 1, 1))*
(Table_Main[Ngày xuất nhập] &lt; DATE(J$1+1, 1, 1))
)),0)</f>
        <v>0</v>
      </c>
      <c r="K9" s="362" cm="1">
        <f t="array" ref="K9">+IFERROR(SUM(
_xlfn._xlws.FILTER(Table_Main[Thành tiền niêm yết],
NOT(ISBLANK(Table_Main[Đơn bán]))*
(Table_Main[Loại] = "Nhập")*
(Table_Main[Ngày xuất nhập] &gt;= DATE(K$1, 1, 1))*
(Table_Main[Ngày xuất nhập] &lt; DATE(K$1+1, 1, 1))
)),0)</f>
        <v>0</v>
      </c>
      <c r="L9" s="266"/>
      <c r="M9" s="365"/>
      <c r="N9" s="72" t="s">
        <v>364</v>
      </c>
      <c r="O9" s="362" cm="1">
        <f t="array" ref="O9">IFERROR(SUM(
_xlfn._xlws.FILTER(Table_Main[Thành tiền niêm yết],
NOT(ISBLANK(Table_Main[Đơn bán]))*
(Table_Main[Loại] = "Nhập")*
(Table_Main[Ngày lên đơn] &gt;= O$1)*
(Table_Main[Ngày lên đơn] &lt; DATE(YEAR(O$1),MONTH(O$1)+1, 1))
)),0)</f>
        <v>0</v>
      </c>
      <c r="P9" s="362" cm="1">
        <f t="array" ref="P9">IFERROR(SUM(
_xlfn._xlws.FILTER(Table_Main[Thành tiền niêm yết],
NOT(ISBLANK(Table_Main[Đơn bán]))*
(Table_Main[Loại] = "Nhập")*
(Table_Main[Ngày lên đơn] &gt;= P$1)*
(Table_Main[Ngày lên đơn] &lt; DATE(YEAR(P$1),MONTH(P$1)+1, 1))
)),0)</f>
        <v>0</v>
      </c>
      <c r="Q9" s="266"/>
      <c r="R9" s="266"/>
      <c r="S9" s="266"/>
      <c r="T9" s="266"/>
      <c r="U9" s="266"/>
      <c r="V9" s="266"/>
      <c r="W9" s="266"/>
      <c r="X9" s="266"/>
      <c r="Y9" s="266"/>
      <c r="Z9" s="266"/>
      <c r="AA9" s="266"/>
      <c r="AB9" s="266"/>
      <c r="AC9" s="266"/>
      <c r="AD9" s="266"/>
      <c r="AE9" s="266"/>
      <c r="AF9" s="266"/>
      <c r="AG9" s="266"/>
      <c r="AH9" s="266"/>
      <c r="AI9" s="266"/>
      <c r="AJ9" s="266"/>
      <c r="AK9" s="266"/>
      <c r="AL9" s="266"/>
      <c r="AM9" s="266"/>
    </row>
    <row r="10" spans="1:39" s="53" customFormat="1" ht="18" hidden="1" customHeight="1" outlineLevel="2" x14ac:dyDescent="0.3">
      <c r="A10" s="242">
        <f t="shared" si="0"/>
        <v>7</v>
      </c>
      <c r="B10" s="259" t="s">
        <v>365</v>
      </c>
      <c r="C10" s="73" t="s">
        <v>366</v>
      </c>
      <c r="D10" s="364"/>
      <c r="E10" s="312">
        <f>SUM(E8:E9)</f>
        <v>0</v>
      </c>
      <c r="F10" s="312">
        <f>SUM(F8:F9)</f>
        <v>0</v>
      </c>
      <c r="G10" s="362"/>
      <c r="H10" s="259" t="s">
        <v>365</v>
      </c>
      <c r="I10" s="73" t="s">
        <v>366</v>
      </c>
      <c r="J10" s="312">
        <f>SUM(J8:J9)</f>
        <v>0</v>
      </c>
      <c r="K10" s="312">
        <f>SUM(K8:K9)</f>
        <v>0</v>
      </c>
      <c r="L10" s="264"/>
      <c r="M10" s="259" t="s">
        <v>365</v>
      </c>
      <c r="N10" s="73" t="s">
        <v>366</v>
      </c>
      <c r="O10" s="312">
        <f>SUM(O8:O9)</f>
        <v>0</v>
      </c>
      <c r="P10" s="312">
        <f>SUM(P8:P9)</f>
        <v>0</v>
      </c>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row>
    <row r="11" spans="1:39" s="53" customFormat="1" ht="18" hidden="1" customHeight="1" outlineLevel="1" x14ac:dyDescent="0.3">
      <c r="A11" s="242">
        <f t="shared" si="0"/>
        <v>8</v>
      </c>
      <c r="B11" s="356">
        <v>10</v>
      </c>
      <c r="C11" s="74" t="s">
        <v>367</v>
      </c>
      <c r="D11" s="367"/>
      <c r="E11" s="366">
        <f>+E7+E10</f>
        <v>0</v>
      </c>
      <c r="F11" s="366">
        <f>+F7+F10</f>
        <v>0</v>
      </c>
      <c r="G11" s="362"/>
      <c r="H11" s="356">
        <v>10</v>
      </c>
      <c r="I11" s="74" t="s">
        <v>367</v>
      </c>
      <c r="J11" s="366">
        <f>+J7+J10</f>
        <v>0</v>
      </c>
      <c r="K11" s="366">
        <f>+K7+K10</f>
        <v>0</v>
      </c>
      <c r="L11" s="264"/>
      <c r="M11" s="356">
        <v>10</v>
      </c>
      <c r="N11" s="74" t="s">
        <v>367</v>
      </c>
      <c r="O11" s="366">
        <f>+O7+O10</f>
        <v>0</v>
      </c>
      <c r="P11" s="366">
        <f>+P7+P10</f>
        <v>0</v>
      </c>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s="53" customFormat="1" ht="18" hidden="1" customHeight="1" outlineLevel="2" x14ac:dyDescent="0.3">
      <c r="A12" s="242">
        <f t="shared" si="0"/>
        <v>9</v>
      </c>
      <c r="B12" s="359">
        <v>11</v>
      </c>
      <c r="C12" s="73" t="s">
        <v>368</v>
      </c>
      <c r="D12" s="364"/>
      <c r="E12" s="358">
        <f>+SUM(E13:E19)</f>
        <v>0</v>
      </c>
      <c r="F12" s="358">
        <f>+SUM(F13:F19)</f>
        <v>0</v>
      </c>
      <c r="G12" s="362"/>
      <c r="H12" s="359">
        <v>11</v>
      </c>
      <c r="I12" s="73" t="s">
        <v>368</v>
      </c>
      <c r="J12" s="358">
        <f>+SUM(J13:J19)</f>
        <v>0</v>
      </c>
      <c r="K12" s="358">
        <f>+SUM(K13:K19)</f>
        <v>0</v>
      </c>
      <c r="L12" s="264"/>
      <c r="M12" s="359">
        <v>11</v>
      </c>
      <c r="N12" s="73" t="s">
        <v>368</v>
      </c>
      <c r="O12" s="358">
        <f>+SUM(O13:O19)</f>
        <v>0</v>
      </c>
      <c r="P12" s="358">
        <f>+SUM(P13:P19)</f>
        <v>0</v>
      </c>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s="53" customFormat="1" ht="18" hidden="1" customHeight="1" outlineLevel="3" x14ac:dyDescent="0.3">
      <c r="A13" s="242">
        <f t="shared" si="0"/>
        <v>10</v>
      </c>
      <c r="B13" s="365"/>
      <c r="C13" s="72" t="s">
        <v>369</v>
      </c>
      <c r="D13" s="361"/>
      <c r="E13" s="362" cm="1">
        <f t="array" ref="E13">-IFERROR(
SUM(_xlfn._xlws.FILTER(Table_TonKho[Chi phí ghi nhận],
(Table_TonKho[Năm] = BCTC_Nam) *
(Table_TonKho[Chức năng] = "Nguyên liệu")
)),0)
-IFERROR(
SUM(_xlfn._xlws.FILTER(Table_TonKho[Chi phí ghi nhận],
(Table_TonKho[Năm] = BCTC_Nam) *
(Table_TonKho[Chức năng] = "")
)),0)</f>
        <v>0</v>
      </c>
      <c r="F13" s="362" cm="1">
        <f t="array" ref="F13">-IFERROR(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13" s="362"/>
      <c r="H13" s="365"/>
      <c r="I13" s="72" t="s">
        <v>369</v>
      </c>
      <c r="J13" s="362" cm="1">
        <f t="array" ref="J13">-IFERROR(
SUM(_xlfn._xlws.FILTER(Table_TonKho[Chi phí ghi nhận],
(Table_TonKho[Năm] = J$1) *
(Table_TonKho[Chức năng] = "Nguyên liệu")
)),0)
-IFERROR(
SUM(_xlfn._xlws.FILTER(Table_TonKho[Chi phí ghi nhận],
(Table_TonKho[Năm] = J$1) *
(Table_TonKho[Chức năng] = "")
)),0)</f>
        <v>0</v>
      </c>
      <c r="K13" s="362" cm="1">
        <f t="array" ref="K13">-IFERROR(
SUM(_xlfn._xlws.FILTER(Table_TonKho[Chi phí ghi nhận],
(Table_TonKho[Năm] = K$1) *
(Table_TonKho[Chức năng] = "Nguyên liệu")
)),0)
-IFERROR(
SUM(_xlfn._xlws.FILTER(Table_TonKho[Chi phí ghi nhận],
(Table_TonKho[Năm] = K$1) *
(Table_TonKho[Chức năng] = "")
)),0)</f>
        <v>0</v>
      </c>
      <c r="L13" s="264"/>
      <c r="M13" s="365"/>
      <c r="N13" s="72" t="s">
        <v>369</v>
      </c>
      <c r="O13" s="362" cm="1">
        <f t="array" ref="O13">-IFERROR(
SUM(_xlfn._xlws.FILTER(Table_TonKho[Chi phí ghi nhận],
(Table_TonKho[Kỳ] = O$1) *
(Table_TonKho[Chức năng] = "Nguyên liệu")
)),0)
-IFERROR(
SUM(_xlfn._xlws.FILTER(Table_TonKho[Chi phí ghi nhận],
(Table_TonKho[Kỳ] = O$1) *
(Table_TonKho[Chức năng] = "")
)),0)</f>
        <v>0</v>
      </c>
      <c r="P13" s="362" cm="1">
        <f t="array" ref="P13">-IFERROR(
SUM(_xlfn._xlws.FILTER(Table_TonKho[Chi phí ghi nhận],
(Table_TonKho[Kỳ] = P$1) *
(Table_TonKho[Chức năng] = "Nguyên liệu")
)),0)
-IFERROR(
SUM(_xlfn._xlws.FILTER(Table_TonKho[Chi phí ghi nhận],
(Table_TonKho[Kỳ] = P$1) *
(Table_TonKho[Chức năng] =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53" customFormat="1" ht="18" hidden="1" customHeight="1" outlineLevel="3" x14ac:dyDescent="0.3">
      <c r="A14" s="242">
        <f t="shared" si="0"/>
        <v>11</v>
      </c>
      <c r="B14" s="365"/>
      <c r="C14" s="72" t="s">
        <v>370</v>
      </c>
      <c r="D14" s="361"/>
      <c r="E14" s="362" cm="1">
        <f t="array" ref="E14">-IFERROR(
SUM(_xlfn._xlws.FILTER(Table_ChiPhiNV[Tổng chi phí],
(Table_ChiPhiNV[Chức năng] = "Sản xuất") *
(Table_ChiPhiNV[Năm] = BCTC_Nam)
)),0)</f>
        <v>0</v>
      </c>
      <c r="F14" s="362"/>
      <c r="G14" s="362"/>
      <c r="H14" s="365"/>
      <c r="I14" s="72" t="s">
        <v>370</v>
      </c>
      <c r="J14" s="362" cm="1">
        <f t="array" ref="J14"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4" s="362" cm="1">
        <f t="array" ref="K14"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4" s="264"/>
      <c r="M14" s="365"/>
      <c r="N14" s="72" t="s">
        <v>370</v>
      </c>
      <c r="O14" s="362" cm="1">
        <f t="array" ref="O14">-IFERROR(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4" s="362" cm="1">
        <f t="array" ref="P14">-IFERROR(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hidden="1" customHeight="1" outlineLevel="3" x14ac:dyDescent="0.3">
      <c r="A15" s="242">
        <f t="shared" si="0"/>
        <v>12</v>
      </c>
      <c r="B15" s="365"/>
      <c r="C15" s="72" t="s">
        <v>371</v>
      </c>
      <c r="D15" s="361"/>
      <c r="E15" s="362" cm="1">
        <f t="array" ref="E15">-IFERROR(
SUM(_xlfn._xlws.FILTER(Table_TonKho[Chi phí ghi nhận],
(Table_TonKho[Năm] = BCTC_Nam) *
(Table_TonKho[Chức năng] = "Sản xuất")
)),0)</f>
        <v>0</v>
      </c>
      <c r="F15" s="362" cm="1">
        <f t="array" ref="F15">-IFERROR(
SUM(_xlfn._xlws.FILTER(Table_TonKho[Chi phí ghi nhận],
(Table_TonKho[Kỳ] = DATE(BCTC_Nam,BCTC_Thang,1)) *
(Table_TonKho[Chức năng] = "Sản xuất")
)),0)</f>
        <v>0</v>
      </c>
      <c r="G15" s="362"/>
      <c r="H15" s="365"/>
      <c r="I15" s="72" t="s">
        <v>371</v>
      </c>
      <c r="J15" s="362" cm="1">
        <f t="array" ref="J15">-IFERROR(
SUM(_xlfn._xlws.FILTER(Table_TonKho[Chi phí ghi nhận],
(Table_TonKho[Năm] = J$1) *
(Table_TonKho[Chức năng] = "Sản xuất")
)),0)</f>
        <v>0</v>
      </c>
      <c r="K15" s="362" cm="1">
        <f t="array" ref="K15">-IFERROR(
SUM(_xlfn._xlws.FILTER(Table_TonKho[Chi phí ghi nhận],
(Table_TonKho[Năm] = K$1) *
(Table_TonKho[Chức năng] = "Sản xuất")
)),0)</f>
        <v>0</v>
      </c>
      <c r="L15" s="264"/>
      <c r="M15" s="365"/>
      <c r="N15" s="72" t="s">
        <v>371</v>
      </c>
      <c r="O15" s="362" cm="1">
        <f t="array" ref="O15">-IFERROR(
SUM(_xlfn._xlws.FILTER(Table_TonKho[Chi phí ghi nhận],
(Table_TonKho[Kỳ] = O$1) *
(Table_TonKho[Chức năng] = "Sản xuất")
)),0)</f>
        <v>0</v>
      </c>
      <c r="P15" s="362" cm="1">
        <f t="array" ref="P15">-IFERROR(
SUM(_xlfn._xlws.FILTER(Table_TonKho[Chi phí ghi nhận],
(Table_TonKho[Kỳ] = P$1) *
(Table_TonKho[Chức năng] = "Sản xuất")
)),0)</f>
        <v>0</v>
      </c>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s="53" customFormat="1" ht="18" hidden="1" customHeight="1" outlineLevel="3" x14ac:dyDescent="0.3">
      <c r="A16" s="242">
        <f t="shared" si="0"/>
        <v>13</v>
      </c>
      <c r="B16" s="365"/>
      <c r="C16" s="72" t="s">
        <v>287</v>
      </c>
      <c r="D16" s="361"/>
      <c r="E16" s="362" cm="1">
        <f t="array" ref="E16">-
IFERROR(
SUMPRODUCT(
_xlfn._xlws.FILTER(Table_ChiPhiKD[Giá trị],
(Table_ChiPhiKD[Năm] = BCTC_Nam) *
(VLOOKUP(Table_ChiPhiKD[Nhóm chi phí],Table_ChiPhiKD_PhanNhom[],Sheet_ChiPhiKD!$H$2,0) = "Chưa phân bổ" )),
_xlfn._xlws.FILTER(Table_ChiPhiKD_PhanBo[Tỷ lệ phân bổ],
(Table_ChiPhiKD_PhanBo[Năm] = BCTC_Nam) *
(VLOOKUP(Table_ChiPhiKD_PhanBo[Chi phí],Table_ChiPhiKD_PhanNhom[],Sheet_ChiPhiKD!$H$2,0) = "Chưa phân bổ" ) *
(Table_ChiPhiKD_PhanBo[Chức năng] = "Sản xuất")
)),0)</f>
        <v>0</v>
      </c>
      <c r="F16" s="362" cm="1">
        <f t="array" ref="F16">-
IFERROR(
SUMPRODUCT(
_xlfn._xlws.FILTER(Table_ChiPhiKD[Giá trị],
(Table_ChiPhiKD[Kỳ] = DATE(BCTC_Nam,BCTC_Thang,1)) *
(NOT(ISBLANK(Table_ChiPhiKD[Tháng])))*
(VLOOKUP(Table_ChiPhiKD[Nhóm chi phí],Table_ChiPhiKD_PhanNhom[],Sheet_ChiPhiKD!$H$2,0) = "Chưa phân bổ" )),
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16" s="312"/>
      <c r="H16" s="365"/>
      <c r="I16" s="72" t="s">
        <v>287</v>
      </c>
      <c r="J16" s="362" cm="1">
        <f t="array" ref="J16" xml:space="preserve">
-IFERROR(
SUMPRODUCT(
_xlfn._xlws.FILTER(Table_ChiPhiKD[Giá trị],
(Table_ChiPhiKD[Năm] = J$1) *
(NOT(ISBLANK(Table_ChiPhiKD[Tháng])))*
(VLOOKUP(
Table_ChiPhiKD[Nhóm chi phí],
Table_ChiPhiKD_PhanNhom[],
COUNTA(Table_ChiPhiKD_PhanNhom[[#Headers],[Nhóm chi phí]:[Chức năng]]),
0) = "Chưa phân bổ" )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6" s="362" cm="1">
        <f t="array" ref="K16" xml:space="preserve">
-IFERROR(
SUMPRODUCT(
_xlfn._xlws.FILTER(Table_ChiPhiKD[Giá trị],
(Table_ChiPhiKD[Năm] = K$1) *
(NOT(ISBLANK(Table_ChiPhiKD[Tháng])))*
(VLOOKUP(
Table_ChiPhiKD[Nhóm chi phí],
Table_ChiPhiKD_PhanNhom[],
COUNTA(Table_ChiPhiKD_PhanNhom[[#Headers],[Nhóm chi phí]:[Chức năng]]),
0) = "Chưa phân bổ" )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6" s="264"/>
      <c r="M16" s="365"/>
      <c r="N16" s="72" t="s">
        <v>287</v>
      </c>
      <c r="O16" s="362" cm="1">
        <f t="array" ref="O16">-
IFERROR(
SUMPRODUCT(
_xlfn._xlws.FILTER(Table_ChiPhiKD[Giá trị],
(Table_ChiPhiKD[Kỳ] = O$1) *
(NOT(ISBLANK(Table_ChiPhiKD[Tháng])))*
(VLOOKUP(Table_ChiPhiKD[Nhóm chi phí],Table_ChiPhiKD_PhanNhom[],Sheet_ChiPhiKD!$H$2,0) = "Chưa phân bổ"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16" s="362" cm="1">
        <f t="array" ref="P16">-
IFERROR(
SUMPRODUCT(
_xlfn._xlws.FILTER(Table_ChiPhiKD[Giá trị],
(Table_ChiPhiKD[Kỳ] = P$1) *
(NOT(ISBLANK(Table_ChiPhiKD[Tháng])))*
(VLOOKUP(Table_ChiPhiKD[Nhóm chi phí],Table_ChiPhiKD_PhanNhom[],Sheet_ChiPhiKD!$H$2,0) = "Chưa phân bổ"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s="41" customFormat="1" ht="18" hidden="1" customHeight="1" outlineLevel="3" x14ac:dyDescent="0.3">
      <c r="A17" s="242">
        <f t="shared" si="0"/>
        <v>14</v>
      </c>
      <c r="B17" s="365"/>
      <c r="C17" s="72" t="s">
        <v>348</v>
      </c>
      <c r="D17" s="361"/>
      <c r="E17" s="362" cm="1">
        <f t="array" ref="E17">-IFERROR(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7" s="362" cm="1">
        <f t="array" ref="F17">-IFERROR(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7" s="358"/>
      <c r="H17" s="365"/>
      <c r="I17" s="72" t="s">
        <v>348</v>
      </c>
      <c r="J17" s="362" cm="1">
        <f t="array" ref="J17"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7" s="362" cm="1">
        <f t="array" ref="K17"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7" s="266"/>
      <c r="M17" s="365"/>
      <c r="N17" s="72" t="s">
        <v>348</v>
      </c>
      <c r="O17" s="362" cm="1">
        <f t="array" ref="O17">-IFERROR(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7" s="362" cm="1">
        <f t="array" ref="P17">-IFERROR(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s="41" customFormat="1" ht="18" hidden="1" customHeight="1" outlineLevel="3" x14ac:dyDescent="0.3">
      <c r="A18" s="242">
        <f t="shared" si="0"/>
        <v>15</v>
      </c>
      <c r="B18" s="365"/>
      <c r="C18" s="72" t="s">
        <v>372</v>
      </c>
      <c r="D18" s="361"/>
      <c r="E18" s="362" cm="1">
        <f t="array" ref="E18">-IFERROR(
SUM(_xlfn._xlws.FILTER(Table_TSCD_KhauHao[Khấu hao sản xuất],
(Table_TSCD_KhauHao[Năm] = BCTC_Nam)
)),0)</f>
        <v>0</v>
      </c>
      <c r="F18" s="362" cm="1">
        <f t="array" ref="F18">-IFERROR(
SUM(_xlfn._xlws.FILTER(Table_TSCD_KhauHao[Khấu hao sản xuất],
(Table_TSCD_KhauHao[Kỳ] = DATE(BCTC_Nam,BCTC_Thang,1))
)),0)</f>
        <v>0</v>
      </c>
      <c r="G18" s="366"/>
      <c r="H18" s="365"/>
      <c r="I18" s="72" t="s">
        <v>372</v>
      </c>
      <c r="J18" s="362" cm="1">
        <f t="array" ref="J18">-IFERROR(
SUM(_xlfn._xlws.FILTER(Table_TSCD_KhauHao[Khấu hao sản xuất],
(Table_TSCD_KhauHao[Năm] = J$1)
)),0)</f>
        <v>0</v>
      </c>
      <c r="K18" s="362" cm="1">
        <f t="array" ref="K18">-IFERROR(
SUM(_xlfn._xlws.FILTER(Table_TSCD_KhauHao[Khấu hao sản xuất],
(Table_TSCD_KhauHao[Năm] = K$1)
)),0)</f>
        <v>0</v>
      </c>
      <c r="L18" s="266"/>
      <c r="M18" s="365"/>
      <c r="N18" s="72" t="s">
        <v>372</v>
      </c>
      <c r="O18" s="362" cm="1">
        <f t="array" ref="O18">-IFERROR(
SUM(_xlfn._xlws.FILTER(Table_TSCD_KhauHao[Khấu hao sản xuất],
(Table_TSCD_KhauHao[Kỳ] = O$1)
)),0)</f>
        <v>0</v>
      </c>
      <c r="P18" s="362" cm="1">
        <f t="array" ref="P18">-IFERROR(
SUM(_xlfn._xlws.FILTER(Table_TSCD_KhauHao[Khấu hao sản xuất],
(Table_TSCD_KhauHao[Kỳ] = P$1)
)),0)</f>
        <v>0</v>
      </c>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s="53" customFormat="1" ht="18" hidden="1" customHeight="1" outlineLevel="3" x14ac:dyDescent="0.3">
      <c r="A19" s="242">
        <f t="shared" si="0"/>
        <v>16</v>
      </c>
      <c r="B19" s="259"/>
      <c r="C19" s="72" t="s">
        <v>373</v>
      </c>
      <c r="D19" s="361"/>
      <c r="E19" s="312" cm="1">
        <f t="array" ref="E19">-IFERROR(
SUM(_xlfn._xlws.FILTER(Table_ChiPhiKD[Giá trị],
(Table_ChiPhiKD[Nhóm chi phí] = Table_BCTC[[#This Row],[Gtri]]) *
(Table_ChiPhiKD[Năm] = BCTC_Nam)
)),0)</f>
        <v>0</v>
      </c>
      <c r="F19" s="312" cm="1">
        <f t="array" ref="F1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9" s="362"/>
      <c r="H19" s="259"/>
      <c r="I19" s="72" t="s">
        <v>373</v>
      </c>
      <c r="J19" s="312" cm="1">
        <f t="array" ref="J1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9" s="312" cm="1">
        <f t="array" ref="K1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9" s="264"/>
      <c r="M19" s="259"/>
      <c r="N19" s="72" t="s">
        <v>373</v>
      </c>
      <c r="O19" s="312" cm="1">
        <f t="array" ref="O1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9" s="312" cm="1">
        <f t="array" ref="P1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s="53" customFormat="1" ht="18" hidden="1" customHeight="1" outlineLevel="1" x14ac:dyDescent="0.3">
      <c r="A20" s="242">
        <f t="shared" si="0"/>
        <v>17</v>
      </c>
      <c r="B20" s="356" t="s">
        <v>374</v>
      </c>
      <c r="C20" s="74" t="s">
        <v>375</v>
      </c>
      <c r="D20" s="367"/>
      <c r="E20" s="366">
        <f>+E11+E12</f>
        <v>0</v>
      </c>
      <c r="F20" s="366">
        <f>+F11+F12</f>
        <v>0</v>
      </c>
      <c r="G20" s="362"/>
      <c r="H20" s="356" t="s">
        <v>374</v>
      </c>
      <c r="I20" s="74" t="s">
        <v>375</v>
      </c>
      <c r="J20" s="366">
        <f>+J11+J12</f>
        <v>0</v>
      </c>
      <c r="K20" s="366">
        <f>+K11+K12</f>
        <v>0</v>
      </c>
      <c r="L20" s="264"/>
      <c r="M20" s="356" t="s">
        <v>374</v>
      </c>
      <c r="N20" s="74" t="s">
        <v>375</v>
      </c>
      <c r="O20" s="366">
        <f>+O11+O12</f>
        <v>0</v>
      </c>
      <c r="P20" s="366">
        <f>+P11+P12</f>
        <v>0</v>
      </c>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s="53" customFormat="1" ht="18" hidden="1" customHeight="1" outlineLevel="2" x14ac:dyDescent="0.3">
      <c r="A21" s="242">
        <f t="shared" si="0"/>
        <v>18</v>
      </c>
      <c r="B21" s="359" t="s">
        <v>376</v>
      </c>
      <c r="C21" s="73" t="s">
        <v>377</v>
      </c>
      <c r="D21" s="364"/>
      <c r="E21" s="358">
        <f>+SUM(E22:E31)</f>
        <v>0</v>
      </c>
      <c r="F21" s="358">
        <f>+SUM(F22:F31)</f>
        <v>0</v>
      </c>
      <c r="G21" s="362"/>
      <c r="H21" s="359" t="s">
        <v>376</v>
      </c>
      <c r="I21" s="73" t="s">
        <v>377</v>
      </c>
      <c r="J21" s="358">
        <f>+SUM(J22:J31)</f>
        <v>0</v>
      </c>
      <c r="K21" s="358">
        <f>+SUM(K22:K31)</f>
        <v>0</v>
      </c>
      <c r="L21" s="264"/>
      <c r="M21" s="359" t="s">
        <v>376</v>
      </c>
      <c r="N21" s="73" t="s">
        <v>377</v>
      </c>
      <c r="O21" s="358">
        <f>+SUM(O22:O31)</f>
        <v>0</v>
      </c>
      <c r="P21" s="358">
        <f>+SUM(P22:P31)</f>
        <v>0</v>
      </c>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s="53" customFormat="1" ht="18" hidden="1" customHeight="1" outlineLevel="3" x14ac:dyDescent="0.3">
      <c r="A22" s="242">
        <f t="shared" si="0"/>
        <v>19</v>
      </c>
      <c r="B22" s="365"/>
      <c r="C22" s="72" t="s">
        <v>378</v>
      </c>
      <c r="D22" s="361"/>
      <c r="E22" s="362" cm="1">
        <f t="array" ref="E22">-IFERROR(
SUM(_xlfn._xlws.FILTER(Table_ChiPhiNV[Tổng chi phí],
(Table_ChiPhiNV[Chức năng] = "Bán hàng") *
(Table_ChiPhiNV[Năm] = BCTC_Nam)
)),0)-E23</f>
        <v>0</v>
      </c>
      <c r="F22" s="362" cm="1">
        <f t="array" ref="F22">-IFERROR(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),0)-F23</f>
        <v>0</v>
      </c>
      <c r="G22" s="362"/>
      <c r="H22" s="365"/>
      <c r="I22" s="72" t="s">
        <v>378</v>
      </c>
      <c r="J22" s="362" cm="1">
        <f t="array" ref="J22"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0)-J23</f>
        <v>0</v>
      </c>
      <c r="K22" s="362" cm="1">
        <f t="array" ref="K22"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0)-K23</f>
        <v>0</v>
      </c>
      <c r="L22" s="264"/>
      <c r="M22" s="365"/>
      <c r="N22" s="72" t="s">
        <v>378</v>
      </c>
      <c r="O22" s="362" cm="1">
        <f t="array" ref="O22">-IFERROR(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),0)-O23</f>
        <v>0</v>
      </c>
      <c r="P22" s="362" cm="1">
        <f t="array" ref="P22">-IFERROR(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),0)-P23</f>
        <v>0</v>
      </c>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s="53" customFormat="1" ht="18" hidden="1" customHeight="1" outlineLevel="3" x14ac:dyDescent="0.3">
      <c r="A23" s="242">
        <f t="shared" si="0"/>
        <v>20</v>
      </c>
      <c r="B23" s="365"/>
      <c r="C23" s="72" t="s">
        <v>224</v>
      </c>
      <c r="D23" s="361"/>
      <c r="E23" s="362" cm="1">
        <f t="array" ref="E23">-IFERROR(SUM(_xlfn._xlws.FILTER(Table_ChiPhiNV[Hoa hồng],
(Table_ChiPhiNV[Năm] = BCTC_Nam)
)),0)
-IFERROR(
SUM(_xlfn._xlws.FILTER(Table_KPI[Thưởng KPI],
(NOT(ISBLANK(Table_KPI[Nhân viên]))) *
(Table_KPI[Năm] =  BCTC_Nam)
)),0)</f>
        <v>0</v>
      </c>
      <c r="F23" s="362" cm="1">
        <f t="array" ref="F23">-IFERROR(SUM(_xlfn._xlws.FILTER(Table_ChiPhiNV[Hoa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23" s="362"/>
      <c r="H23" s="365"/>
      <c r="I23" s="72" t="s">
        <v>224</v>
      </c>
      <c r="J23" s="362" cm="1">
        <f t="array" ref="J23" xml:space="preserve">
-IFERROR(
SUM(
_xlfn._xlws.FILTER(Table_ChiPhiNV[Hoa hồng],
(Table_ChiPhiNV[Năm] = J$1)
)),
0)
-IFERROR(
SUM(
_xlfn._xlws.FILTER(Table_KPI[Thưởng KPI],
(NOT(ISBLANK(Table_KPI[Nhân viên]))) *
(Table_KPI[Năm] =  J$1)
)),
0)</f>
        <v>0</v>
      </c>
      <c r="K23" s="362" cm="1">
        <f t="array" ref="K23" xml:space="preserve">
-IFERROR(
SUM(
_xlfn._xlws.FILTER(Table_ChiPhiNV[Hoa hồng],
(Table_ChiPhiNV[Năm] = K$1)
)),
0)
-IFERROR(
SUM(
_xlfn._xlws.FILTER(Table_KPI[Thưởng KPI],
(NOT(ISBLANK(Table_KPI[Nhân viên]))) *
(Table_KPI[Năm] =  K$1)
)),
0)</f>
        <v>0</v>
      </c>
      <c r="L23" s="264"/>
      <c r="M23" s="365"/>
      <c r="N23" s="72" t="s">
        <v>224</v>
      </c>
      <c r="O23" s="362" cm="1">
        <f t="array" ref="O23"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23" s="362" cm="1">
        <f t="array" ref="P23"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s="53" customFormat="1" ht="18" hidden="1" customHeight="1" outlineLevel="3" x14ac:dyDescent="0.3">
      <c r="A24" s="242">
        <f t="shared" si="0"/>
        <v>21</v>
      </c>
      <c r="B24" s="365"/>
      <c r="C24" s="72" t="s">
        <v>379</v>
      </c>
      <c r="D24" s="361"/>
      <c r="E24" s="362" cm="1">
        <f t="array" ref="E24">-IFERROR(
SUM(_xlfn._xlws.FILTER(Table_TonKho[Chi phí ghi nhận],
(Table_TonKho[Năm] = BCTC_Nam) *
(Table_TonKho[Chức năng] = "Bán hàng")
)),0)</f>
        <v>0</v>
      </c>
      <c r="F24" s="362" cm="1">
        <f t="array" ref="F24">-IFERROR(
SUM(_xlfn._xlws.FILTER(Table_TonKho[Chi phí ghi nhận],
(Table_TonKho[Kỳ] = DATE(BCTC_Nam,BCTC_Thang,1)) *
(Table_TonKho[Chức năng] = "Bán hàng")
)),0)</f>
        <v>0</v>
      </c>
      <c r="G24" s="362"/>
      <c r="H24" s="365"/>
      <c r="I24" s="72" t="s">
        <v>379</v>
      </c>
      <c r="J24" s="362" cm="1">
        <f t="array" ref="J24">-IFERROR(
SUM(_xlfn._xlws.FILTER(Table_TonKho[Chi phí ghi nhận],
(Table_TonKho[Năm] = J$1) *
(Table_TonKho[Chức năng] = "Bán hàng")
)),0)</f>
        <v>0</v>
      </c>
      <c r="K24" s="362" cm="1">
        <f t="array" ref="K24">-IFERROR(
SUM(_xlfn._xlws.FILTER(Table_TonKho[Chi phí ghi nhận],
(Table_TonKho[Năm] = K$1) *
(Table_TonKho[Chức năng] = "Bán hàng")
)),0)</f>
        <v>0</v>
      </c>
      <c r="L24" s="264"/>
      <c r="M24" s="365"/>
      <c r="N24" s="72" t="s">
        <v>379</v>
      </c>
      <c r="O24" s="362" cm="1">
        <f t="array" ref="O24">-IFERROR(
SUM(_xlfn._xlws.FILTER(Table_TonKho[Chi phí ghi nhận],
(Table_TonKho[Kỳ] = O$1) *
(Table_TonKho[Chức năng] = "Bán hàng")
)),0)</f>
        <v>0</v>
      </c>
      <c r="P24" s="362" cm="1">
        <f t="array" ref="P24">-IFERROR(
SUM(_xlfn._xlws.FILTER(Table_TonKho[Chi phí ghi nhận],
(Table_TonKho[Kỳ] = P$1) *
(Table_TonKho[Chức năng] = "Bán hàng")
)),0)</f>
        <v>0</v>
      </c>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s="53" customFormat="1" ht="18" hidden="1" customHeight="1" outlineLevel="3" x14ac:dyDescent="0.3">
      <c r="A25" s="242">
        <f t="shared" si="0"/>
        <v>22</v>
      </c>
      <c r="B25" s="365"/>
      <c r="C25" s="72" t="s">
        <v>291</v>
      </c>
      <c r="D25" s="361"/>
      <c r="E25" s="362" cm="1">
        <f t="array" ref="E25">-IFERROR(
SUM(_xlfn._xlws.FILTER(Table_VanDon[Phí ship],
(Table_VanDon[Bên chịu phí] = "Bên bán") *
(Table_VanDon[Ngày lập] &gt;= DATE(BCTC_Nam,1,1)) *
(Table_VanDon[Ngày lập] &lt; DATE(BCTC_Nam+1,1,1))
)),0)</f>
        <v>0</v>
      </c>
      <c r="F25" s="362" cm="1">
        <f t="array" ref="F25">-IFERROR(
SUM(_xlfn._xlws.FILTER(Table_VanDon[Phí ship],
(Table_VanDon[Bên chịu phí] = "Bên bán") *
(Table_VanDon[Ngày lập] &gt;= DATE(BCTC_Nam, BCTC_Thang,1)) *
(Table_VanDon[Ngày lập] &lt; DATE(BCTC_Nam, BCTC_Thang+1,1))
)),0)</f>
        <v>0</v>
      </c>
      <c r="G25" s="362"/>
      <c r="H25" s="365"/>
      <c r="I25" s="72" t="s">
        <v>291</v>
      </c>
      <c r="J25" s="362" cm="1">
        <f t="array" ref="J25">-IFERROR(
SUM(
_xlfn._xlws.FILTER(Table_VanDon[Phí ship],
(Table_VanDon[Bên chịu phí] = "Bên bán") *
(Table_VanDon[Ngày lập] &gt;= DATE(J$1,1,1)) *
(Table_VanDon[Ngày lập] &lt; DATE(J$1+1,1,1))
)),
0)</f>
        <v>0</v>
      </c>
      <c r="K25" s="362" cm="1">
        <f t="array" ref="K25">-IFERROR(
SUM(
_xlfn._xlws.FILTER(Table_VanDon[Phí ship],
(Table_VanDon[Bên chịu phí] = "Bên bán") *
(Table_VanDon[Ngày lập] &gt;= DATE(K$1,1,1)) *
(Table_VanDon[Ngày lập] &lt; DATE(K$1+1,1,1))
)),
0)</f>
        <v>0</v>
      </c>
      <c r="L25" s="264"/>
      <c r="M25" s="365"/>
      <c r="N25" s="72" t="s">
        <v>291</v>
      </c>
      <c r="O25" s="362" cm="1">
        <f t="array" ref="O25">-IFERROR(
SUM(
_xlfn._xlws.FILTER(Table_VanDon[Phí ship],
(Table_VanDon[Bên chịu phí] = "Bên bán") *
(Table_VanDon[Ngày lập] &gt;= O$1) *
(Table_VanDon[Ngày lập] &lt; DATE(YEAR(O$1),MONTH(O$1)+1,1))
)),
0)</f>
        <v>0</v>
      </c>
      <c r="P25" s="362" cm="1">
        <f t="array" ref="P25">-IFERROR(
SUM(
_xlfn._xlws.FILTER(Table_VanDon[Phí ship],
(Table_VanDon[Bên chịu phí] = "Bên bán") *
(Table_VanDon[Ngày lập] &gt;= P$1) *
(Table_VanDon[Ngày lập] &lt; DATE(YEAR(P$1),MONTH(P$1)+1,1))
)),
0)</f>
        <v>0</v>
      </c>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s="53" customFormat="1" ht="18" hidden="1" customHeight="1" outlineLevel="3" x14ac:dyDescent="0.3">
      <c r="A26" s="242">
        <f t="shared" si="0"/>
        <v>23</v>
      </c>
      <c r="B26" s="365"/>
      <c r="C26" s="72" t="s">
        <v>345</v>
      </c>
      <c r="D26" s="361"/>
      <c r="E26" s="362" cm="1">
        <f t="array" ref="E26">-IFERROR(SUM(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6" s="362" cm="1">
        <f t="array" ref="F26">-IFERROR(SUM(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6" s="362"/>
      <c r="H26" s="365"/>
      <c r="I26" s="72" t="s">
        <v>345</v>
      </c>
      <c r="J26" s="362" cm="1">
        <f t="array" ref="J26">-IFERROR(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6" s="362" cm="1">
        <f t="array" ref="K26">-IFERROR(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6" s="264"/>
      <c r="M26" s="365"/>
      <c r="N26" s="72" t="s">
        <v>345</v>
      </c>
      <c r="O26" s="362" cm="1">
        <f t="array" ref="O26">-IFERROR(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6" s="362" cm="1">
        <f t="array" ref="P26">-IFERROR(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s="53" customFormat="1" ht="18" hidden="1" customHeight="1" outlineLevel="3" x14ac:dyDescent="0.3">
      <c r="A27" s="242">
        <f t="shared" si="0"/>
        <v>24</v>
      </c>
      <c r="B27" s="365"/>
      <c r="C27" s="72" t="s">
        <v>290</v>
      </c>
      <c r="D27" s="361"/>
      <c r="E27" s="362" cm="1">
        <f t="array" ref="E27">-IFERROR(SUM(
_xlfn._xlws.FILTER(Table_ThuChiKD[Phí GD],
(Table_ThuChiKD[Ngày GD] &gt;= DATE(BCTC_Nam, 1, 1))*
(Table_ThuChiKD[Ngày GD] &lt; DATE(BCTC_Nam+1, 1, 1))
)),0)</f>
        <v>0</v>
      </c>
      <c r="F27" s="362" cm="1">
        <f t="array" ref="F27">-IFERROR(SUM(
_xlfn._xlws.FILTER(Table_ThuChiKD[Phí GD],
(Table_ThuChiKD[Ngày GD] &gt;= DATE(BCTC_Nam, BCTC_Thang, 1))*
(Table_ThuChiKD[Ngày GD] &lt; DATE(BCTC_Nam, BCTC_Thang + 1, 1))
)),0)</f>
        <v>0</v>
      </c>
      <c r="G27" s="362"/>
      <c r="H27" s="365"/>
      <c r="I27" s="72" t="s">
        <v>290</v>
      </c>
      <c r="J27" s="362" cm="1">
        <f t="array" ref="J27">-IFERROR(
SUM(
_xlfn._xlws.FILTER(Table_ThuChiKD[Phí GD],
(Table_ThuChiKD[Ngày GD] &gt;= DATE(J$1, 1, 1))*
(Table_ThuChiKD[Ngày GD] &lt; DATE(J$1+1, 1, 1))
)),
0)</f>
        <v>0</v>
      </c>
      <c r="K27" s="362" cm="1">
        <f t="array" ref="K27">-IFERROR(
SUM(
_xlfn._xlws.FILTER(Table_ThuChiKD[Phí GD],
(Table_ThuChiKD[Ngày GD] &gt;= DATE(K$1, 1, 1))*
(Table_ThuChiKD[Ngày GD] &lt; DATE(K$1+1, 1, 1))
)),
0)</f>
        <v>0</v>
      </c>
      <c r="L27" s="264"/>
      <c r="M27" s="365"/>
      <c r="N27" s="72" t="s">
        <v>290</v>
      </c>
      <c r="O27" s="362" cm="1">
        <f t="array" ref="O27">-IFERROR(
SUM(
_xlfn._xlws.FILTER(Table_ThuChiKD[Phí GD],
(Table_ThuChiKD[Ngày GD] &gt;= O$1)*
(Table_ThuChiKD[Ngày GD] &lt; DATE(YEAR(O$1),MONTH(O$1)+1,1))
)),
0)</f>
        <v>0</v>
      </c>
      <c r="P27" s="362" cm="1">
        <f t="array" ref="P27">-IFERROR(
SUM(
_xlfn._xlws.FILTER(Table_ThuChiKD[Phí GD],
(Table_ThuChiKD[Ngày GD] &gt;= P$1)*
(Table_ThuChiKD[Ngày GD] &lt; DATE(YEAR(P$1),MONTH(P$1)+1,1))
)),
0)</f>
        <v>0</v>
      </c>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s="53" customFormat="1" ht="18" hidden="1" customHeight="1" outlineLevel="3" x14ac:dyDescent="0.3">
      <c r="A28" s="242">
        <f t="shared" si="0"/>
        <v>25</v>
      </c>
      <c r="B28" s="365"/>
      <c r="C28" s="72" t="s">
        <v>346</v>
      </c>
      <c r="D28" s="361"/>
      <c r="E28" s="362" cm="1">
        <f t="array" ref="E28">-IFERROR(
SUM(_xlfn._xlws.FILTER(Table_ChiPhiKD[Giá trị],
(Table_ChiPhiKD[Nhóm chi phí] = Table_BCTC[[#This Row],[Gtri]]) *
(Table_ChiPhiKD[Năm] = BCTC_Nam)
)),0)</f>
        <v>0</v>
      </c>
      <c r="F28" s="362" cm="1">
        <f t="array" ref="F2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8" s="358"/>
      <c r="H28" s="365"/>
      <c r="I28" s="72" t="s">
        <v>346</v>
      </c>
      <c r="J28" s="362" cm="1">
        <f t="array" ref="J2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8" s="362" cm="1">
        <f t="array" ref="K2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8" s="264"/>
      <c r="M28" s="365"/>
      <c r="N28" s="72" t="s">
        <v>346</v>
      </c>
      <c r="O28" s="362" cm="1">
        <f t="array" ref="O2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8" s="362" cm="1">
        <f t="array" ref="P2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8" hidden="1" customHeight="1" outlineLevel="3" x14ac:dyDescent="0.3">
      <c r="A29" s="242">
        <f t="shared" si="0"/>
        <v>26</v>
      </c>
      <c r="B29" s="365"/>
      <c r="C29" s="72" t="s">
        <v>347</v>
      </c>
      <c r="D29" s="361"/>
      <c r="E29" s="362" cm="1">
        <f t="array" ref="E29">-IFERROR(
SUM(_xlfn._xlws.FILTER(Table_ChiPhiKD[Giá trị],
(Table_ChiPhiKD[Nhóm chi phí] = Table_BCTC[[#This Row],[Gtri]]) *
(Table_ChiPhiKD[Năm] = BCTC_Nam)
)),0)</f>
        <v>0</v>
      </c>
      <c r="F29" s="362" cm="1">
        <f t="array" ref="F2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9" s="362"/>
      <c r="H29" s="365"/>
      <c r="I29" s="72" t="s">
        <v>347</v>
      </c>
      <c r="J29" s="362" cm="1">
        <f t="array" ref="J2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9" s="362" cm="1">
        <f t="array" ref="K2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9" s="244"/>
      <c r="M29" s="365"/>
      <c r="N29" s="72" t="s">
        <v>347</v>
      </c>
      <c r="O29" s="362" cm="1">
        <f t="array" ref="O2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9" s="362" cm="1">
        <f t="array" ref="P2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row>
    <row r="30" spans="1:39" s="53" customFormat="1" ht="18" hidden="1" customHeight="1" outlineLevel="3" x14ac:dyDescent="0.3">
      <c r="A30" s="242">
        <f t="shared" si="0"/>
        <v>27</v>
      </c>
      <c r="B30" s="365"/>
      <c r="C30" s="72" t="s">
        <v>380</v>
      </c>
      <c r="D30" s="361"/>
      <c r="E30" s="362" cm="1">
        <f t="array" ref="E30">-IFERROR(
SUM(_xlfn._xlws.FILTER(Table_TSCD_KhauHao[Khấu hao bán hàng],
(Table_TSCD_KhauHao[Năm] = BCTC_Nam)
)),0)</f>
        <v>0</v>
      </c>
      <c r="F30" s="362" cm="1">
        <f t="array" ref="F30">-IFERROR(
SUM(_xlfn._xlws.FILTER(Table_TSCD_KhauHao[Khấu hao bán hàng],
(Table_TSCD_KhauHao[Kỳ] = DATE(BCTC_Nam,BCTC_Thang,1))
)),0)</f>
        <v>0</v>
      </c>
      <c r="G30" s="362"/>
      <c r="H30" s="365"/>
      <c r="I30" s="72" t="s">
        <v>381</v>
      </c>
      <c r="J30" s="362" cm="1">
        <f t="array" ref="J30">-IFERROR(
SUM(_xlfn._xlws.FILTER(Table_TSCD_KhauHao[Khấu hao bán hàng],
(Table_TSCD_KhauHao[Năm] = J$1)
)),0)</f>
        <v>0</v>
      </c>
      <c r="K30" s="362" cm="1">
        <f t="array" ref="K30">-IFERROR(
SUM(_xlfn._xlws.FILTER(Table_TSCD_KhauHao[Khấu hao bán hàng],
(Table_TSCD_KhauHao[Năm] = K$1)
)),0)</f>
        <v>0</v>
      </c>
      <c r="L30" s="264"/>
      <c r="M30" s="365"/>
      <c r="N30" s="72" t="s">
        <v>381</v>
      </c>
      <c r="O30" s="362" cm="1">
        <f t="array" ref="O30">-IFERROR(
SUM(_xlfn._xlws.FILTER(Table_TSCD_KhauHao[Khấu hao bán hàng],
(Table_TSCD_KhauHao[Kỳ] = O$1)
)),0)</f>
        <v>0</v>
      </c>
      <c r="P30" s="362" cm="1">
        <f t="array" ref="P30">-IFERROR(
SUM(_xlfn._xlws.FILTER(Table_TSCD_KhauHao[Khấu hao bán hàng],
(Table_TSCD_KhauHao[Kỳ] = P$1)
)),0)</f>
        <v>0</v>
      </c>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s="53" customFormat="1" ht="18" hidden="1" customHeight="1" outlineLevel="3" x14ac:dyDescent="0.3">
      <c r="A31" s="242">
        <f t="shared" si="0"/>
        <v>28</v>
      </c>
      <c r="B31" s="365"/>
      <c r="C31" s="72" t="s">
        <v>382</v>
      </c>
      <c r="D31" s="361"/>
      <c r="E31" s="362" cm="1">
        <f t="array" ref="E31">-IFERROR(
SUM(_xlfn._xlws.FILTER(Table_ChiPhiKD[Giá trị],
(Table_ChiPhiKD[Nhóm chi phí] = Table_BCTC[[#This Row],[Gtri]]) *
(Table_ChiPhiKD[Năm] = BCTC_Nam)
)),0)</f>
        <v>0</v>
      </c>
      <c r="F31" s="362" cm="1">
        <f t="array" ref="F31">-IFERROR(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1" s="362"/>
      <c r="H31" s="365"/>
      <c r="I31" s="72" t="s">
        <v>382</v>
      </c>
      <c r="J31" s="362" cm="1">
        <f t="array" ref="J31"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1" s="362" cm="1">
        <f t="array" ref="K31"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1" s="264"/>
      <c r="M31" s="365"/>
      <c r="N31" s="72" t="s">
        <v>382</v>
      </c>
      <c r="O31" s="362" cm="1">
        <f t="array" ref="O31">-IFERROR(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1" s="362" cm="1">
        <f t="array" ref="P31">-IFERROR(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s="53" customFormat="1" ht="18" hidden="1" customHeight="1" outlineLevel="2" x14ac:dyDescent="0.3">
      <c r="A32" s="242">
        <f t="shared" si="0"/>
        <v>29</v>
      </c>
      <c r="B32" s="359" t="s">
        <v>383</v>
      </c>
      <c r="C32" s="73" t="s">
        <v>384</v>
      </c>
      <c r="D32" s="364"/>
      <c r="E32" s="358">
        <f>+SUM(E33:E39)</f>
        <v>0</v>
      </c>
      <c r="F32" s="358">
        <f>+SUM(F33:F39)</f>
        <v>0</v>
      </c>
      <c r="G32" s="362"/>
      <c r="H32" s="359" t="s">
        <v>383</v>
      </c>
      <c r="I32" s="73" t="s">
        <v>384</v>
      </c>
      <c r="J32" s="358">
        <f>+SUM(J33:J39)</f>
        <v>0</v>
      </c>
      <c r="K32" s="358">
        <f>+SUM(K33:K39)</f>
        <v>0</v>
      </c>
      <c r="L32" s="264"/>
      <c r="M32" s="359" t="s">
        <v>383</v>
      </c>
      <c r="N32" s="73" t="s">
        <v>384</v>
      </c>
      <c r="O32" s="358">
        <f>+SUM(O33:O39)</f>
        <v>0</v>
      </c>
      <c r="P32" s="358">
        <f>+SUM(P33:P39)</f>
        <v>0</v>
      </c>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s="53" customFormat="1" ht="18" hidden="1" customHeight="1" outlineLevel="3" x14ac:dyDescent="0.3">
      <c r="A33" s="242">
        <f t="shared" si="0"/>
        <v>30</v>
      </c>
      <c r="B33" s="365"/>
      <c r="C33" s="72" t="s">
        <v>385</v>
      </c>
      <c r="D33" s="361"/>
      <c r="E33" s="362" cm="1">
        <f t="array" ref="E33">-IFERROR(
SUM(_xlfn._xlws.FILTER(Table_ChiPhiNV[Tổng chi phí],
(Table_ChiPhiNV[Chức năng] = "Văn phòng") *
(Table_ChiPhiNV[Năm] = BCTC_Nam)
)),0)</f>
        <v>0</v>
      </c>
      <c r="F33" s="362" cm="1">
        <f t="array" ref="F33">-IFERROR(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33" s="362"/>
      <c r="H33" s="365"/>
      <c r="I33" s="72" t="s">
        <v>385</v>
      </c>
      <c r="J33" s="362" cm="1">
        <f t="array" ref="J33"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33" s="362" cm="1">
        <f t="array" ref="K33"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33" s="264"/>
      <c r="M33" s="365"/>
      <c r="N33" s="72" t="s">
        <v>385</v>
      </c>
      <c r="O33" s="362" cm="1">
        <f t="array" ref="O33">-IFERROR(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33" s="362" cm="1">
        <f t="array" ref="P33">-IFERROR(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s="53" customFormat="1" ht="18" hidden="1" customHeight="1" outlineLevel="3" x14ac:dyDescent="0.3">
      <c r="A34" s="242">
        <f t="shared" si="0"/>
        <v>31</v>
      </c>
      <c r="B34" s="365"/>
      <c r="C34" s="72" t="s">
        <v>386</v>
      </c>
      <c r="D34" s="361"/>
      <c r="E34" s="362" cm="1">
        <f t="array" ref="E34">-IFERROR(
SUM(_xlfn._xlws.FILTER(Table_TonKho[Chi phí ghi nhận],
(Table_TonKho[Năm] = BCTC_Nam) *
(Table_TonKho[Chức năng] = "Văn phòng")
)),0)</f>
        <v>0</v>
      </c>
      <c r="F34" s="362" cm="1">
        <f t="array" ref="F34">-IFERROR(
SUM(_xlfn._xlws.FILTER(Table_TonKho[Chi phí ghi nhận],
(Table_TonKho[Kỳ] = DATE(BCTC_Nam,BCTC_Thang,1)) *
(Table_TonKho[Chức năng] = "Văn phòng")
)),0)</f>
        <v>0</v>
      </c>
      <c r="G34" s="362"/>
      <c r="H34" s="365"/>
      <c r="I34" s="72" t="s">
        <v>386</v>
      </c>
      <c r="J34" s="362" cm="1">
        <f t="array" ref="J34">-IFERROR(
SUM(_xlfn._xlws.FILTER(Table_TonKho[Chi phí ghi nhận],
(Table_TonKho[Năm] = J$1) *
(Table_TonKho[Chức năng] = "Văn phòng")
)),0)</f>
        <v>0</v>
      </c>
      <c r="K34" s="362" cm="1">
        <f t="array" ref="K34">-IFERROR(
SUM(_xlfn._xlws.FILTER(Table_TonKho[Chi phí ghi nhận],
(Table_TonKho[Năm] = K$1) *
(Table_TonKho[Chức năng] = "Văn phòng")
)),0)</f>
        <v>0</v>
      </c>
      <c r="L34" s="264"/>
      <c r="M34" s="365"/>
      <c r="N34" s="72" t="s">
        <v>386</v>
      </c>
      <c r="O34" s="362" cm="1">
        <f t="array" ref="O34">-IFERROR(
SUM(_xlfn._xlws.FILTER(Table_TonKho[Chi phí ghi nhận],
(Table_TonKho[Kỳ] = O$1) *
(Table_TonKho[Chức năng] = "Văn phòng")
)),0)</f>
        <v>0</v>
      </c>
      <c r="P34" s="362" cm="1">
        <f t="array" ref="P34">-IFERROR(
SUM(_xlfn._xlws.FILTER(Table_TonKho[Chi phí ghi nhận],
(Table_TonKho[Kỳ] = P$1) *
(Table_TonKho[Chức năng] = "Văn phòng")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hidden="1" customHeight="1" outlineLevel="3" x14ac:dyDescent="0.3">
      <c r="A35" s="242">
        <f t="shared" si="0"/>
        <v>32</v>
      </c>
      <c r="B35" s="365"/>
      <c r="C35" s="72" t="s">
        <v>387</v>
      </c>
      <c r="D35" s="361"/>
      <c r="E35" s="362" cm="1">
        <f t="array" ref="E35">-
IFERROR(
SUMPRODUCT(
_xlfn._xlws.FILTER(Table_ChiPhiKD[Giá trị],
(Table_ChiPhiKD[Năm] = BCTC_Nam) *
(VLOOKUP(Table_ChiPhiKD[Nhóm chi phí],Table_ChiPhiKD_PhanNhom[],Sheet_ChiPhiKD!$H$2,0) = "Chưa phân bổ" )),
(1-_xlfn._xlws.FILTER(Table_ChiPhiKD_PhanBo[Tỷ lệ phân bổ],
(Table_ChiPhiKD_PhanBo[Năm] = BCTC_Nam) *
(VLOOKUP(Table_ChiPhiKD_PhanBo[Chi phí],Table_ChiPhiKD_PhanNhom[],Sheet_ChiPhiKD!$H$2,0) = "Chưa phân bổ" ) *
(Table_ChiPhiKD_PhanBo[Chức năng] = "Sản xuất")
))),0)</f>
        <v>0</v>
      </c>
      <c r="F35" s="362" cm="1">
        <f t="array" ref="F35">-
IFERROR(
SUMPRODUCT(
_xlfn._xlws.FILTER(Table_ChiPhiKD[Giá trị],
(Table_ChiPhiKD[Kỳ] = DATE(BCTC_Nam,BCTC_Thang,1)) *
(NOT(ISBLANK(Table_ChiPhiKD[Tháng])))*
(VLOOKUP(Table_ChiPhiKD[Nhóm chi phí],Table_ChiPhiKD_PhanNhom[],Sheet_ChiPhiKD!$H$2,0) = "Chưa phân bổ" )),
(1-_xlfn._xlws.FILTER(Table_ChiPhiKD_PhanBo[Tỷ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(1-_xlfn._xlws.FILTER(Table_ChiPhiKD_PhanBo[Tỷ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35" s="362"/>
      <c r="H35" s="365"/>
      <c r="I35" s="72" t="s">
        <v>387</v>
      </c>
      <c r="J35" s="362" cm="1">
        <f t="array" ref="J35" xml:space="preserve">
-IFERROR(
SUMPRODUCT(
_xlfn._xlws.FILTER(Table_ChiPhiKD[Giá trị],
(Table_ChiPhiKD[Năm] = J$1) *
(NOT(ISBLANK(Table_ChiPhiKD[Tháng])))*
(VLOOKUP(
Table_ChiPhiKD[Nhóm chi phí],
Table_ChiPhiKD_PhanNhom[],
COUNTA(Table_ChiPhiKD_PhanNhom[[#Headers],[Nhóm chi phí]:[Chức năng]]),
0) = "Chưa phân bổ" )
),
(1 -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5" s="362" cm="1">
        <f t="array" ref="K35" xml:space="preserve">
-IFERROR(
SUMPRODUCT(
_xlfn._xlws.FILTER(Table_ChiPhiKD[Giá trị],
(Table_ChiPhiKD[Năm] = K$1) *
(NOT(ISBLANK(Table_ChiPhiKD[Tháng])))*
(VLOOKUP(
Table_ChiPhiKD[Nhóm chi phí],
Table_ChiPhiKD_PhanNhom[],
COUNTA(Table_ChiPhiKD_PhanNhom[[#Headers],[Nhóm chi phí]:[Chức năng]]),
0) = "Chưa phân bổ" )
),
(1 -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5" s="264"/>
      <c r="M35" s="365"/>
      <c r="N35" s="72" t="s">
        <v>387</v>
      </c>
      <c r="O35" s="362" cm="1">
        <f t="array" ref="O35">-
IFERROR(
SUMPRODUCT(
_xlfn._xlws.FILTER(Table_ChiPhiKD[Giá trị],
(Table_ChiPhiKD[Kỳ] = O$1) *
(NOT(ISBLANK(Table_ChiPhiKD[Tháng])))*
(VLOOKUP(Table_ChiPhiKD[Nhóm chi phí],Table_ChiPhiKD_PhanNhom[],Sheet_ChiPhiKD!$H$2,0) = "Chưa phân bổ" )),
(1 -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(1 -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35" s="362" cm="1">
        <f t="array" ref="P35">-
IFERROR(
SUMPRODUCT(
_xlfn._xlws.FILTER(Table_ChiPhiKD[Giá trị],
(Table_ChiPhiKD[Kỳ] = P$1) *
(NOT(ISBLANK(Table_ChiPhiKD[Tháng])))*
(VLOOKUP(Table_ChiPhiKD[Nhóm chi phí],Table_ChiPhiKD_PhanNhom[],Sheet_ChiPhiKD!$H$2,0) = "Chưa phân bổ" )),
(1 -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(1 -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s="53" customFormat="1" ht="18" hidden="1" customHeight="1" outlineLevel="3" x14ac:dyDescent="0.3">
      <c r="A36" s="242">
        <f t="shared" si="0"/>
        <v>33</v>
      </c>
      <c r="B36" s="259"/>
      <c r="C36" s="72" t="s">
        <v>349</v>
      </c>
      <c r="D36" s="361"/>
      <c r="E36" s="362" cm="1">
        <f t="array" ref="E36">-IFERROR(
SUM(_xlfn._xlws.FILTER(Table_ChiPhiKD[Giá trị],
(Table_ChiPhiKD[Nhóm chi phí] = Table_BCTC[[#This Row],[Gtri]]) *
(Table_ChiPhiKD[Năm] = BCTC_Nam)
)),0)</f>
        <v>0</v>
      </c>
      <c r="F36" s="362" cm="1">
        <f t="array" ref="F36">-IFERROR(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6" s="358"/>
      <c r="H36" s="259"/>
      <c r="I36" s="72" t="s">
        <v>349</v>
      </c>
      <c r="J36" s="362" cm="1">
        <f t="array" ref="J36"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6" s="362" cm="1">
        <f t="array" ref="K36"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6" s="264"/>
      <c r="M36" s="259"/>
      <c r="N36" s="72" t="s">
        <v>349</v>
      </c>
      <c r="O36" s="362" cm="1">
        <f t="array" ref="O36">-IFERROR(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6" s="362" cm="1">
        <f t="array" ref="P36">-IFERROR(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8" hidden="1" customHeight="1" outlineLevel="3" x14ac:dyDescent="0.3">
      <c r="A37" s="242">
        <f t="shared" si="0"/>
        <v>34</v>
      </c>
      <c r="B37" s="365"/>
      <c r="C37" s="72" t="s">
        <v>388</v>
      </c>
      <c r="D37" s="361"/>
      <c r="E37" s="362" cm="1">
        <f t="array" ref="E37">-IFERROR(
SUM(_xlfn._xlws.FILTER(Table_TSCD_KhauHao[Khấu hao quản lý],
(Table_TSCD_KhauHao[Năm] = BCTC_Nam)
)),0)</f>
        <v>0</v>
      </c>
      <c r="F37" s="362" cm="1">
        <f t="array" ref="F37">-IFERROR(
SUM(_xlfn._xlws.FILTER(Table_TSCD_KhauHao[Khấu hao quản lý],
(Table_TSCD_KhauHao[Kỳ] = DATE(BCTC_Nam,BCTC_Thang,1))
)),0)</f>
        <v>0</v>
      </c>
      <c r="G37" s="366"/>
      <c r="H37" s="365"/>
      <c r="I37" s="72" t="s">
        <v>388</v>
      </c>
      <c r="J37" s="362" cm="1">
        <f t="array" ref="J37">-IFERROR(
SUM(_xlfn._xlws.FILTER(Table_TSCD_KhauHao[Khấu hao quản lý],
(Table_TSCD_KhauHao[Năm] = J$1)
)),0)</f>
        <v>0</v>
      </c>
      <c r="K37" s="362" cm="1">
        <f t="array" ref="K37">-IFERROR(
SUM(_xlfn._xlws.FILTER(Table_TSCD_KhauHao[Khấu hao quản lý],
(Table_TSCD_KhauHao[Năm] = K$1)
)),0)</f>
        <v>0</v>
      </c>
      <c r="L37" s="244"/>
      <c r="M37" s="365"/>
      <c r="N37" s="72" t="s">
        <v>388</v>
      </c>
      <c r="O37" s="362" cm="1">
        <f t="array" ref="O37">-IFERROR(
SUM(_xlfn._xlws.FILTER(Table_TSCD_KhauHao[Khấu hao quản lý],
(Table_TSCD_KhauHao[Kỳ] = O$1)
)),0)</f>
        <v>0</v>
      </c>
      <c r="P37" s="362" cm="1">
        <f t="array" ref="P37">-IFERROR(
SUM(_xlfn._xlws.FILTER(Table_TSCD_KhauHao[Khấu hao quản lý],
(Table_TSCD_KhauHao[Kỳ] = P$1)
)),0)</f>
        <v>0</v>
      </c>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row>
    <row r="38" spans="1:39" s="41" customFormat="1" ht="18" hidden="1" customHeight="1" outlineLevel="3" x14ac:dyDescent="0.3">
      <c r="A38" s="242">
        <f t="shared" si="0"/>
        <v>35</v>
      </c>
      <c r="B38" s="259"/>
      <c r="C38" s="72" t="s">
        <v>300</v>
      </c>
      <c r="D38" s="361"/>
      <c r="E38" s="362" cm="1">
        <f t="array" ref="E38">-IFERROR(
SUM(_xlfn._xlws.FILTER(Table_ChiPhiKD[Giá trị],
(Table_ChiPhiKD[Nhóm chi phí] = Table_BCTC[[#This Row],[Gtri]]) *
(Table_ChiPhiKD[Năm] = BCTC_Nam)
)),0)</f>
        <v>0</v>
      </c>
      <c r="F38" s="362" cm="1">
        <f t="array" ref="F3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8" s="362"/>
      <c r="H38" s="259"/>
      <c r="I38" s="72" t="s">
        <v>300</v>
      </c>
      <c r="J38" s="362" cm="1">
        <f t="array" ref="J3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8" s="362" cm="1">
        <f t="array" ref="K3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8" s="266"/>
      <c r="M38" s="259"/>
      <c r="N38" s="72" t="s">
        <v>300</v>
      </c>
      <c r="O38" s="362" cm="1">
        <f t="array" ref="O3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8" s="362" cm="1">
        <f t="array" ref="P3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s="53" customFormat="1" ht="18" hidden="1" customHeight="1" outlineLevel="3" x14ac:dyDescent="0.3">
      <c r="A39" s="242">
        <f t="shared" si="0"/>
        <v>36</v>
      </c>
      <c r="B39" s="365"/>
      <c r="C39" s="72" t="s">
        <v>389</v>
      </c>
      <c r="D39" s="361"/>
      <c r="E39" s="362" cm="1">
        <f t="array" ref="E39">-IFERROR(
SUM(_xlfn._xlws.FILTER(Table_ChiPhiKD[Giá trị],
(Table_ChiPhiKD[Nhóm chi phí] = Table_BCTC[[#This Row],[Gtri]]) *
(Table_ChiPhiKD[Năm] = BCTC_Nam)
)),0)</f>
        <v>0</v>
      </c>
      <c r="F39" s="362" cm="1">
        <f t="array" ref="F3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9" s="362"/>
      <c r="H39" s="365"/>
      <c r="I39" s="72" t="s">
        <v>389</v>
      </c>
      <c r="J39" s="362" cm="1">
        <f t="array" ref="J3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9" s="362" cm="1">
        <f t="array" ref="K3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9" s="264"/>
      <c r="M39" s="365"/>
      <c r="N39" s="72" t="s">
        <v>389</v>
      </c>
      <c r="O39" s="362" cm="1">
        <f t="array" ref="O3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9" s="362" cm="1">
        <f t="array" ref="P3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s="53" customFormat="1" ht="18" hidden="1" customHeight="1" outlineLevel="1" x14ac:dyDescent="0.3">
      <c r="A40" s="242">
        <f t="shared" si="0"/>
        <v>37</v>
      </c>
      <c r="B40" s="356" t="s">
        <v>390</v>
      </c>
      <c r="C40" s="74" t="s">
        <v>97</v>
      </c>
      <c r="D40" s="367"/>
      <c r="E40" s="366">
        <f>+E20+E21+E32</f>
        <v>0</v>
      </c>
      <c r="F40" s="366">
        <f>+F20+F21+F32</f>
        <v>0</v>
      </c>
      <c r="G40" s="362"/>
      <c r="H40" s="356" t="s">
        <v>390</v>
      </c>
      <c r="I40" s="74" t="s">
        <v>97</v>
      </c>
      <c r="J40" s="366">
        <f>+J20+J21+J32</f>
        <v>0</v>
      </c>
      <c r="K40" s="366">
        <f>+K20+K21+K32</f>
        <v>0</v>
      </c>
      <c r="L40" s="264"/>
      <c r="M40" s="356" t="s">
        <v>390</v>
      </c>
      <c r="N40" s="74" t="s">
        <v>97</v>
      </c>
      <c r="O40" s="366">
        <f>+O20+O21+O32</f>
        <v>0</v>
      </c>
      <c r="P40" s="366">
        <f>+P20+P21+P32</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s="53" customFormat="1" ht="18" hidden="1" customHeight="1" outlineLevel="2" x14ac:dyDescent="0.3">
      <c r="A41" s="242">
        <f t="shared" si="0"/>
        <v>38</v>
      </c>
      <c r="B41" s="359" t="s">
        <v>391</v>
      </c>
      <c r="C41" s="73" t="s">
        <v>392</v>
      </c>
      <c r="D41" s="364"/>
      <c r="E41" s="358">
        <f>+SUM(E42:E47)</f>
        <v>0</v>
      </c>
      <c r="F41" s="358">
        <f>+SUM(F42:F47)</f>
        <v>0</v>
      </c>
      <c r="G41" s="362"/>
      <c r="H41" s="359" t="s">
        <v>391</v>
      </c>
      <c r="I41" s="73" t="s">
        <v>392</v>
      </c>
      <c r="J41" s="358">
        <f>+SUM(J42:J47)</f>
        <v>0</v>
      </c>
      <c r="K41" s="358">
        <f>+SUM(K42:K47)</f>
        <v>0</v>
      </c>
      <c r="L41" s="264"/>
      <c r="M41" s="359" t="s">
        <v>391</v>
      </c>
      <c r="N41" s="73" t="s">
        <v>392</v>
      </c>
      <c r="O41" s="358">
        <f>+SUM(O42:O47)</f>
        <v>0</v>
      </c>
      <c r="P41" s="358">
        <f>+SUM(P42:P47)</f>
        <v>0</v>
      </c>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s="53" customFormat="1" ht="18" hidden="1" customHeight="1" outlineLevel="3" x14ac:dyDescent="0.3">
      <c r="A42" s="242">
        <f t="shared" si="0"/>
        <v>39</v>
      </c>
      <c r="B42" s="365" t="s">
        <v>393</v>
      </c>
      <c r="C42" s="72" t="s">
        <v>298</v>
      </c>
      <c r="D42" s="361"/>
      <c r="E42" s="362" cm="1">
        <f t="array" ref="E42">-
IFERROR(
SUM(_xlfn._xlws.FILTER(Table_VayNo_LichTra[Lãi vay],
(Table_VayNo_LichTra[Năm] = BCTC_Nam)
)),0)</f>
        <v>0</v>
      </c>
      <c r="F42" s="362" cm="1">
        <f t="array" ref="F42">-IFERROR(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42" s="358"/>
      <c r="H42" s="365" t="s">
        <v>393</v>
      </c>
      <c r="I42" s="72" t="s">
        <v>298</v>
      </c>
      <c r="J42" s="362" cm="1">
        <f t="array" ref="J42">-
IFERROR(
SUM(_xlfn._xlws.FILTER(Table_VayNo_LichTra[Lãi vay],
(Table_VayNo_LichTra[Năm] = J$1)
)),0)</f>
        <v>0</v>
      </c>
      <c r="K42" s="362" cm="1">
        <f t="array" ref="K42">-
IFERROR(
SUM(_xlfn._xlws.FILTER(Table_VayNo_LichTra[Lãi vay],
(Table_VayNo_LichTra[Năm] = K$1)
)),0)</f>
        <v>0</v>
      </c>
      <c r="L42" s="264"/>
      <c r="M42" s="365" t="s">
        <v>393</v>
      </c>
      <c r="N42" s="72" t="s">
        <v>298</v>
      </c>
      <c r="O42" s="362" cm="1">
        <f t="array" ref="O42"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42" s="362" cm="1">
        <f t="array" ref="P42"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hidden="1" customHeight="1" outlineLevel="3" x14ac:dyDescent="0.3">
      <c r="A43" s="242">
        <f t="shared" si="0"/>
        <v>40</v>
      </c>
      <c r="B43" s="365"/>
      <c r="C43" s="72" t="s">
        <v>394</v>
      </c>
      <c r="D43" s="361"/>
      <c r="E43" s="362" cm="1">
        <f t="array" ref="E43"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43" s="362" cm="1">
        <f t="array" ref="F43"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366"/>
      <c r="H43" s="365"/>
      <c r="I43" s="72" t="s">
        <v>394</v>
      </c>
      <c r="J43" s="362" cm="1">
        <f t="array" ref="J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62" cm="1">
        <f t="array" ref="K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4"/>
      <c r="M43" s="365"/>
      <c r="N43" s="72" t="s">
        <v>394</v>
      </c>
      <c r="O43" s="362" cm="1">
        <f t="array" ref="O43">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62" cm="1">
        <f t="array" ref="P43">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row>
    <row r="44" spans="1:39" s="41" customFormat="1" ht="18" hidden="1" customHeight="1" outlineLevel="3" x14ac:dyDescent="0.3">
      <c r="A44" s="242">
        <f t="shared" si="0"/>
        <v>41</v>
      </c>
      <c r="B44" s="259"/>
      <c r="C44" s="72" t="s">
        <v>395</v>
      </c>
      <c r="D44" s="361"/>
      <c r="E44" s="362" cm="1">
        <f t="array" ref="E44"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4" s="362" cm="1">
        <f t="array" ref="F44"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4" s="358"/>
      <c r="H44" s="259"/>
      <c r="I44" s="72" t="s">
        <v>395</v>
      </c>
      <c r="J44" s="362" cm="1">
        <f t="array" ref="J44"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4" s="362" cm="1">
        <f t="array" ref="K44"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4" s="266"/>
      <c r="M44" s="259"/>
      <c r="N44" s="72" t="s">
        <v>395</v>
      </c>
      <c r="O44" s="362" cm="1">
        <f t="array" ref="O44"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4" s="362" cm="1">
        <f t="array" ref="P44"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8" hidden="1" customHeight="1" outlineLevel="3" x14ac:dyDescent="0.3">
      <c r="A45" s="242">
        <f t="shared" si="0"/>
        <v>42</v>
      </c>
      <c r="B45" s="259"/>
      <c r="C45" s="72" t="s">
        <v>396</v>
      </c>
      <c r="D45" s="361"/>
      <c r="E45" s="362" cm="1">
        <f t="array" ref="E45">IFERROR(
SUM(_xlfn._xlws.FILTER(Table_LaiKhac[Giá trị]-Table_LaiKhac[Giá trị VAT],
(Table_LaiKhac[Phân loại] = Table_BCTC[[#This Row],[Gtri]]) *
(Table_LaiKhac[Năm] = BCTC_Nam)
)),0)</f>
        <v>0</v>
      </c>
      <c r="F45" s="362" cm="1">
        <f t="array" ref="F45">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5" s="366"/>
      <c r="H45" s="259"/>
      <c r="I45" s="72" t="s">
        <v>396</v>
      </c>
      <c r="J45" s="362" cm="1">
        <f t="array" ref="J45"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5" s="362" cm="1">
        <f t="array" ref="K45"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5" s="244"/>
      <c r="M45" s="259"/>
      <c r="N45" s="72" t="s">
        <v>396</v>
      </c>
      <c r="O45" s="362" cm="1">
        <f t="array" ref="O45"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5" s="362" cm="1">
        <f t="array" ref="P45"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row>
    <row r="46" spans="1:39" s="41" customFormat="1" ht="18" hidden="1" customHeight="1" outlineLevel="3" x14ac:dyDescent="0.3">
      <c r="A46" s="242">
        <f t="shared" si="0"/>
        <v>43</v>
      </c>
      <c r="B46" s="365"/>
      <c r="C46" s="72" t="s">
        <v>397</v>
      </c>
      <c r="D46" s="361"/>
      <c r="E46" s="362" cm="1">
        <f t="array" ref="E46">IFERROR(
SUM(_xlfn._xlws.FILTER(Table_LaiKhac[Giá trị]-Table_LaiKhac[Giá trị VAT],
(Table_LaiKhac[Phân loại] = Table_BCTC[[#This Row],[Gtri]]) *
(Table_LaiKhac[Năm] = BCTC_Nam)
)),0)</f>
        <v>0</v>
      </c>
      <c r="F46" s="362" cm="1">
        <f t="array" ref="F46">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6" s="244"/>
      <c r="H46" s="365"/>
      <c r="I46" s="72" t="s">
        <v>397</v>
      </c>
      <c r="J46" s="362" cm="1">
        <f t="array" ref="J46"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6" s="362" cm="1">
        <f t="array" ref="K46"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6" s="266"/>
      <c r="M46" s="365"/>
      <c r="N46" s="72" t="s">
        <v>397</v>
      </c>
      <c r="O46" s="362" cm="1">
        <f t="array" ref="O46"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6" s="362" cm="1">
        <f t="array" ref="P46"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8" hidden="1" customHeight="1" outlineLevel="3" x14ac:dyDescent="0.3">
      <c r="A47" s="242">
        <f t="shared" si="0"/>
        <v>44</v>
      </c>
      <c r="B47" s="365"/>
      <c r="C47" s="72" t="s">
        <v>398</v>
      </c>
      <c r="D47" s="361"/>
      <c r="E47" s="362" cm="1">
        <f t="array" ref="E47">IFERROR(
SUM(_xlfn._xlws.FILTER(Table_LaiKhac[Giá trị]-Table_LaiKhac[Giá trị VAT],
(Table_LaiKhac[Phân loại] = Table_BCTC[[#This Row],[Gtri]]) *
(Table_LaiKhac[Năm] = BCTC_Nam)
)),0)</f>
        <v>0</v>
      </c>
      <c r="F47" s="362" cm="1">
        <f t="array" ref="F47">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7" s="244"/>
      <c r="H47" s="365"/>
      <c r="I47" s="72" t="s">
        <v>398</v>
      </c>
      <c r="J47" s="362" cm="1">
        <f t="array" ref="J47"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7" s="362" cm="1">
        <f t="array" ref="K47"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7" s="244"/>
      <c r="M47" s="365"/>
      <c r="N47" s="72" t="s">
        <v>398</v>
      </c>
      <c r="O47" s="362" cm="1">
        <f t="array" ref="O47"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7" s="362" cm="1">
        <f t="array" ref="P47"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row>
    <row r="48" spans="1:39" ht="18" hidden="1" customHeight="1" outlineLevel="1" x14ac:dyDescent="0.3">
      <c r="A48" s="242">
        <f t="shared" si="0"/>
        <v>45</v>
      </c>
      <c r="B48" s="356" t="s">
        <v>399</v>
      </c>
      <c r="C48" s="74" t="s">
        <v>400</v>
      </c>
      <c r="D48" s="367"/>
      <c r="E48" s="366">
        <f>+E40+E41</f>
        <v>0</v>
      </c>
      <c r="F48" s="366">
        <f>+F40+F41</f>
        <v>0</v>
      </c>
      <c r="G48" s="244"/>
      <c r="H48" s="356" t="s">
        <v>399</v>
      </c>
      <c r="I48" s="74" t="s">
        <v>400</v>
      </c>
      <c r="J48" s="366">
        <f>+J40+J41</f>
        <v>0</v>
      </c>
      <c r="K48" s="366">
        <f>+K40+K41</f>
        <v>0</v>
      </c>
      <c r="L48" s="244"/>
      <c r="M48" s="356" t="s">
        <v>399</v>
      </c>
      <c r="N48" s="74" t="s">
        <v>400</v>
      </c>
      <c r="O48" s="366">
        <f>+O40+O41</f>
        <v>0</v>
      </c>
      <c r="P48" s="366">
        <f>+P40+P41</f>
        <v>0</v>
      </c>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row>
    <row r="49" spans="1:39" ht="18" hidden="1" customHeight="1" outlineLevel="2" x14ac:dyDescent="0.3">
      <c r="A49" s="242">
        <f t="shared" si="0"/>
        <v>46</v>
      </c>
      <c r="B49" s="359" t="s">
        <v>401</v>
      </c>
      <c r="C49" s="73" t="s">
        <v>402</v>
      </c>
      <c r="D49" s="364"/>
      <c r="E49" s="312" cm="1">
        <f t="array" ref="E49">-MAX(0,IFERROR(
SUM(_xlfn._xlws.FILTER(Table_NopNS[Giá trị phải nộp],
(Table_NopNS[Ngân sách] = "Thuế TNDN")*
(Table_NopNS[Kỳ]&gt;=DATE(BCTC_Nam,1,1))*
(Table_NopNS[Kỳ]&lt;DATE(BCTC_Nam+1,1,1))
)),0))</f>
        <v>0</v>
      </c>
      <c r="F49" s="358" cm="1">
        <f t="array" ref="F49">-MAX(0,IFERROR(
SUM(_xlfn._xlws.FILTER(Table_NopNS[Giá trị phải nộp],
(Table_NopNS[Ngân sách] = "Thuế TNDN")*
(Table_NopNS[Kỳ]&gt;=DATE(BCTC_Nam,BCTC_Thang,1))*
(Table_NopNS[Kỳ]&lt;DATE(BCTC_Nam,BCTC_Thang+1,1))
)),0))</f>
        <v>0</v>
      </c>
      <c r="G49" s="244"/>
      <c r="H49" s="359" t="s">
        <v>401</v>
      </c>
      <c r="I49" s="73" t="s">
        <v>402</v>
      </c>
      <c r="J49" s="312" cm="1">
        <f t="array" ref="J49">-MAX(0,IFERROR(
SUM(_xlfn._xlws.FILTER(Table_NopNS[Giá trị phải nộp],
(Table_NopNS[Ngân sách] = "Thuế TNDN")*
(Table_NopNS[Kỳ]&gt;=DATE(J$1,1,1))*
(Table_NopNS[Kỳ]&lt;DATE(J$1+1,1,1))
)),0))</f>
        <v>0</v>
      </c>
      <c r="K49" s="312" cm="1">
        <f t="array" ref="K49">-MAX(0,IFERROR(
SUM(_xlfn._xlws.FILTER(Table_NopNS[Giá trị phải nộp],
(Table_NopNS[Ngân sách] = "Thuế TNDN")*
(Table_NopNS[Kỳ]&gt;=DATE(K$1,1,1))*
(Table_NopNS[Kỳ]&lt;DATE(K$1+1,1,1))
)),0))</f>
        <v>0</v>
      </c>
      <c r="L49" s="244"/>
      <c r="M49" s="359" t="s">
        <v>401</v>
      </c>
      <c r="N49" s="73" t="s">
        <v>402</v>
      </c>
      <c r="O49" s="358" cm="1">
        <f t="array" ref="O49">-MAX(0,IFERROR(
SUM(_xlfn._xlws.FILTER(Table_NopNS[Giá trị phải nộp],
(Table_NopNS[Ngân sách] = "Thuế TNDN")*
(Table_NopNS[Kỳ]&gt;=O$1)*
(Table_NopNS[Kỳ]&lt;DATE(YEAR(O$1),MONTH(O$1)+1,1))
)),0))</f>
        <v>0</v>
      </c>
      <c r="P49" s="358" cm="1">
        <f t="array" ref="P49">-MAX(0,IFERROR(
SUM(_xlfn._xlws.FILTER(Table_NopNS[Giá trị phải nộp],
(Table_NopNS[Ngân sách] = "Thuế TNDN")*
(Table_NopNS[Kỳ]&gt;=P$1)*
(Table_NopNS[Kỳ]&lt;DATE(YEAR(P$1),MONTH(P$1)+1,1))
)),0))</f>
        <v>0</v>
      </c>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row>
    <row r="50" spans="1:39" ht="18" hidden="1" customHeight="1" outlineLevel="1" x14ac:dyDescent="0.15">
      <c r="A50" s="242">
        <f t="shared" si="0"/>
        <v>47</v>
      </c>
      <c r="B50" s="356" t="s">
        <v>403</v>
      </c>
      <c r="C50" s="74" t="s">
        <v>404</v>
      </c>
      <c r="D50" s="367"/>
      <c r="E50" s="366">
        <f>SUM(E48:E49)</f>
        <v>0</v>
      </c>
      <c r="F50" s="366">
        <f>SUM(F48:F49)</f>
        <v>0</v>
      </c>
      <c r="G50" s="242"/>
      <c r="H50" s="356" t="s">
        <v>403</v>
      </c>
      <c r="I50" s="74" t="s">
        <v>404</v>
      </c>
      <c r="J50" s="366">
        <f>SUM(J48:J49)</f>
        <v>0</v>
      </c>
      <c r="K50" s="366">
        <f>SUM(K48:K49)</f>
        <v>0</v>
      </c>
      <c r="L50" s="242"/>
      <c r="M50" s="356" t="s">
        <v>403</v>
      </c>
      <c r="N50" s="74" t="s">
        <v>404</v>
      </c>
      <c r="O50" s="366">
        <f>SUM(O48:O49)</f>
        <v>0</v>
      </c>
      <c r="P50" s="366">
        <f>SUM(P48:P49)</f>
        <v>0</v>
      </c>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44"/>
    </row>
    <row r="51" spans="1:39" ht="18" customHeight="1" x14ac:dyDescent="0.15">
      <c r="A51" s="242">
        <f t="shared" si="0"/>
        <v>48</v>
      </c>
      <c r="B51" s="359"/>
      <c r="C51" s="368"/>
      <c r="D51" s="367"/>
      <c r="E51" s="358"/>
      <c r="F51" s="358"/>
      <c r="G51" s="242"/>
      <c r="H51" s="359"/>
      <c r="I51" s="368"/>
      <c r="J51" s="358"/>
      <c r="K51" s="358"/>
      <c r="L51" s="242"/>
      <c r="M51" s="369"/>
      <c r="N51" s="361"/>
      <c r="O51" s="358"/>
      <c r="P51" s="358"/>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44"/>
    </row>
    <row r="52" spans="1:39" ht="18" customHeight="1" collapsed="1" x14ac:dyDescent="0.15">
      <c r="A52" s="242">
        <f t="shared" si="0"/>
        <v>49</v>
      </c>
      <c r="B52" s="359"/>
      <c r="C52" s="74" t="s">
        <v>405</v>
      </c>
      <c r="D52" s="265"/>
      <c r="E52" s="358"/>
      <c r="F52" s="358"/>
      <c r="G52" s="242"/>
      <c r="H52" s="359"/>
      <c r="I52" s="74" t="s">
        <v>405</v>
      </c>
      <c r="J52" s="358"/>
      <c r="K52" s="358"/>
      <c r="L52" s="242"/>
      <c r="M52" s="359"/>
      <c r="N52" s="74" t="s">
        <v>405</v>
      </c>
      <c r="O52" s="358"/>
      <c r="P52" s="358"/>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44"/>
    </row>
    <row r="53" spans="1:39" ht="18" hidden="1" customHeight="1" outlineLevel="1" x14ac:dyDescent="0.15">
      <c r="A53" s="242">
        <f t="shared" si="0"/>
        <v>50</v>
      </c>
      <c r="B53" s="353" t="s">
        <v>374</v>
      </c>
      <c r="C53" s="41" t="s">
        <v>406</v>
      </c>
      <c r="D53" s="266"/>
      <c r="E53" s="366">
        <f>SUM(E61:E63)+E54+E55</f>
        <v>0</v>
      </c>
      <c r="F53" s="366">
        <f>SUM(F61:F63)+F54+F55</f>
        <v>0</v>
      </c>
      <c r="G53" s="242"/>
      <c r="H53" s="353" t="s">
        <v>374</v>
      </c>
      <c r="I53" s="41" t="s">
        <v>406</v>
      </c>
      <c r="J53" s="366">
        <f>SUM(J61:J63)+J54+J55</f>
        <v>0</v>
      </c>
      <c r="K53" s="366">
        <f>SUM(K61:K63)+K54+K55</f>
        <v>0</v>
      </c>
      <c r="L53" s="242"/>
      <c r="M53" s="353" t="s">
        <v>374</v>
      </c>
      <c r="N53" s="41" t="s">
        <v>406</v>
      </c>
      <c r="O53" s="366">
        <f>SUM(O61:O63)+O54+O55</f>
        <v>0</v>
      </c>
      <c r="P53" s="366">
        <f>SUM(P61:P63)+P54+P55</f>
        <v>0</v>
      </c>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44"/>
    </row>
    <row r="54" spans="1:39" ht="18" hidden="1" customHeight="1" outlineLevel="2" x14ac:dyDescent="0.15">
      <c r="A54" s="242">
        <f t="shared" si="0"/>
        <v>51</v>
      </c>
      <c r="B54" s="259" t="s">
        <v>363</v>
      </c>
      <c r="C54" s="73" t="s">
        <v>407</v>
      </c>
      <c r="D54" s="364"/>
      <c r="E54" s="312"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12"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42"/>
      <c r="H54" s="259" t="s">
        <v>363</v>
      </c>
      <c r="I54" s="73" t="s">
        <v>407</v>
      </c>
      <c r="J54" s="312"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12"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42"/>
      <c r="M54" s="259" t="s">
        <v>363</v>
      </c>
      <c r="N54" s="73" t="s">
        <v>407</v>
      </c>
      <c r="O54" s="312"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12"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44"/>
    </row>
    <row r="55" spans="1:39" ht="18" hidden="1" customHeight="1" outlineLevel="2" x14ac:dyDescent="0.15">
      <c r="A55" s="242">
        <f t="shared" si="0"/>
        <v>52</v>
      </c>
      <c r="B55" s="259" t="s">
        <v>365</v>
      </c>
      <c r="C55" s="73" t="s">
        <v>408</v>
      </c>
      <c r="D55" s="364"/>
      <c r="E55" s="312">
        <f>SUM(E56:E60)</f>
        <v>0</v>
      </c>
      <c r="F55" s="312">
        <f>SUM(F56:F60)</f>
        <v>0</v>
      </c>
      <c r="G55" s="242"/>
      <c r="H55" s="259" t="s">
        <v>365</v>
      </c>
      <c r="I55" s="73" t="s">
        <v>408</v>
      </c>
      <c r="J55" s="312">
        <f>SUM(J56:J60)</f>
        <v>0</v>
      </c>
      <c r="K55" s="312">
        <f>SUM(K56:K60)</f>
        <v>0</v>
      </c>
      <c r="L55" s="242"/>
      <c r="M55" s="259" t="s">
        <v>365</v>
      </c>
      <c r="N55" s="73" t="s">
        <v>408</v>
      </c>
      <c r="O55" s="312">
        <f>SUM(O56:O60)</f>
        <v>0</v>
      </c>
      <c r="P55" s="312">
        <f>SUM(P56:P60)</f>
        <v>0</v>
      </c>
      <c r="Q55" s="265"/>
      <c r="R55" s="265"/>
      <c r="S55" s="265"/>
      <c r="T55" s="265"/>
      <c r="U55" s="265"/>
      <c r="V55" s="265"/>
      <c r="W55" s="265"/>
      <c r="X55" s="265"/>
      <c r="Y55" s="265"/>
      <c r="Z55" s="265"/>
      <c r="AA55" s="265"/>
      <c r="AB55" s="265"/>
      <c r="AC55" s="265"/>
      <c r="AD55" s="265"/>
      <c r="AE55" s="265"/>
      <c r="AF55" s="265"/>
      <c r="AG55" s="265"/>
      <c r="AH55" s="265"/>
      <c r="AI55" s="265"/>
      <c r="AJ55" s="265"/>
      <c r="AK55" s="265"/>
      <c r="AL55" s="265"/>
      <c r="AM55" s="244"/>
    </row>
    <row r="56" spans="1:39" s="53" customFormat="1" ht="18" hidden="1" customHeight="1" outlineLevel="3" x14ac:dyDescent="0.15">
      <c r="A56" s="264">
        <f t="shared" si="0"/>
        <v>53</v>
      </c>
      <c r="B56" s="365"/>
      <c r="C56" s="72" t="s">
        <v>409</v>
      </c>
      <c r="D56" s="361"/>
      <c r="E56" s="362"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62"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4"/>
      <c r="H56" s="365"/>
      <c r="I56" s="72" t="s">
        <v>409</v>
      </c>
      <c r="J56" s="362"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62"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4"/>
      <c r="M56" s="365"/>
      <c r="N56" s="72" t="s">
        <v>409</v>
      </c>
      <c r="O56" s="362"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62"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1"/>
    </row>
    <row r="57" spans="1:39" s="53" customFormat="1" ht="18" hidden="1" customHeight="1" outlineLevel="3" x14ac:dyDescent="0.15">
      <c r="A57" s="264">
        <f t="shared" si="0"/>
        <v>54</v>
      </c>
      <c r="B57" s="365"/>
      <c r="C57" s="72" t="s">
        <v>410</v>
      </c>
      <c r="D57" s="361"/>
      <c r="E57" s="362"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62"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64"/>
      <c r="H57" s="365"/>
      <c r="I57" s="72" t="s">
        <v>410</v>
      </c>
      <c r="J57" s="362"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62"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64"/>
      <c r="M57" s="365"/>
      <c r="N57" s="72" t="s">
        <v>410</v>
      </c>
      <c r="O57" s="362"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62"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1"/>
    </row>
    <row r="58" spans="1:39" s="53" customFormat="1" ht="18" hidden="1" customHeight="1" outlineLevel="3" x14ac:dyDescent="0.15">
      <c r="A58" s="264">
        <f t="shared" si="0"/>
        <v>55</v>
      </c>
      <c r="B58" s="365"/>
      <c r="C58" s="72" t="s">
        <v>411</v>
      </c>
      <c r="D58" s="361"/>
      <c r="E58" s="362"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62"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64"/>
      <c r="H58" s="365"/>
      <c r="I58" s="72" t="s">
        <v>411</v>
      </c>
      <c r="J58" s="362"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62"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64"/>
      <c r="M58" s="365"/>
      <c r="N58" s="72" t="s">
        <v>411</v>
      </c>
      <c r="O58" s="362"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62"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1"/>
    </row>
    <row r="59" spans="1:39" s="53" customFormat="1" ht="18" hidden="1" customHeight="1" outlineLevel="3" x14ac:dyDescent="0.15">
      <c r="A59" s="264">
        <f t="shared" si="0"/>
        <v>56</v>
      </c>
      <c r="B59" s="365"/>
      <c r="C59" s="72" t="s">
        <v>412</v>
      </c>
      <c r="D59" s="361"/>
      <c r="E59" s="362" cm="1">
        <f t="array" ref="E59">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9" s="362" cm="1">
        <f t="array" ref="F59">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9" s="264"/>
      <c r="H59" s="365"/>
      <c r="I59" s="72" t="s">
        <v>412</v>
      </c>
      <c r="J59" s="362" cm="1">
        <f t="array" ref="J59">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9" s="362" cm="1">
        <f t="array" ref="K59">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9" s="264"/>
      <c r="M59" s="365"/>
      <c r="N59" s="72" t="s">
        <v>412</v>
      </c>
      <c r="O59" s="362" cm="1">
        <f t="array" ref="O59">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9" s="362" cm="1">
        <f t="array" ref="P59">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1"/>
    </row>
    <row r="60" spans="1:39" s="53" customFormat="1" ht="18" hidden="1" customHeight="1" outlineLevel="3" x14ac:dyDescent="0.15">
      <c r="A60" s="264">
        <f t="shared" si="0"/>
        <v>57</v>
      </c>
      <c r="B60" s="365"/>
      <c r="C60" s="72" t="s">
        <v>413</v>
      </c>
      <c r="D60" s="361"/>
      <c r="E60" s="362" cm="1">
        <f t="array" ref="E6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0" s="362" cm="1">
        <f t="array" ref="F6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0" s="264"/>
      <c r="H60" s="365"/>
      <c r="I60" s="72" t="s">
        <v>413</v>
      </c>
      <c r="J60" s="362" cm="1">
        <f t="array" ref="J6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0" s="362" cm="1">
        <f t="array" ref="K6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0" s="264"/>
      <c r="M60" s="365"/>
      <c r="N60" s="72" t="s">
        <v>413</v>
      </c>
      <c r="O60" s="362" cm="1">
        <f t="array" ref="O6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0" s="362" cm="1">
        <f t="array" ref="P6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1"/>
    </row>
    <row r="61" spans="1:39" ht="18" hidden="1" customHeight="1" outlineLevel="2" x14ac:dyDescent="0.15">
      <c r="A61" s="242">
        <f t="shared" si="0"/>
        <v>58</v>
      </c>
      <c r="B61" s="259" t="s">
        <v>414</v>
      </c>
      <c r="C61" s="73" t="s">
        <v>308</v>
      </c>
      <c r="D61" s="364"/>
      <c r="E61" s="312" cm="1">
        <f t="array" ref="E61">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1" s="312" cm="1">
        <f t="array" ref="F61">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1" s="242"/>
      <c r="H61" s="259" t="s">
        <v>414</v>
      </c>
      <c r="I61" s="73" t="s">
        <v>308</v>
      </c>
      <c r="J61" s="312" cm="1">
        <f t="array" ref="J61">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1" s="312" cm="1">
        <f t="array" ref="K61">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1" s="242"/>
      <c r="M61" s="259" t="s">
        <v>414</v>
      </c>
      <c r="N61" s="73" t="s">
        <v>308</v>
      </c>
      <c r="O61" s="312" cm="1">
        <f t="array" ref="O61">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1" s="312" cm="1">
        <f t="array" ref="P61">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44"/>
    </row>
    <row r="62" spans="1:39" ht="18" hidden="1" customHeight="1" outlineLevel="2" x14ac:dyDescent="0.15">
      <c r="A62" s="242">
        <f t="shared" si="0"/>
        <v>59</v>
      </c>
      <c r="B62" s="259" t="s">
        <v>415</v>
      </c>
      <c r="C62" s="73" t="s">
        <v>416</v>
      </c>
      <c r="D62" s="364"/>
      <c r="E62" s="312" cm="1">
        <f t="array" ref="E6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2" s="312" cm="1">
        <f t="array" ref="F6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2" s="242"/>
      <c r="H62" s="259" t="s">
        <v>415</v>
      </c>
      <c r="I62" s="73" t="s">
        <v>416</v>
      </c>
      <c r="J62" s="312" cm="1">
        <f t="array" ref="J6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2" s="312" cm="1">
        <f t="array" ref="K6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2" s="242"/>
      <c r="M62" s="259" t="s">
        <v>415</v>
      </c>
      <c r="N62" s="73" t="s">
        <v>416</v>
      </c>
      <c r="O62" s="312" cm="1">
        <f t="array" ref="O6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2" s="312" cm="1">
        <f t="array" ref="P6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44"/>
    </row>
    <row r="63" spans="1:39" ht="18" hidden="1" customHeight="1" outlineLevel="2" x14ac:dyDescent="0.15">
      <c r="A63" s="242">
        <f t="shared" si="0"/>
        <v>60</v>
      </c>
      <c r="B63" s="259" t="s">
        <v>417</v>
      </c>
      <c r="C63" s="73" t="s">
        <v>418</v>
      </c>
      <c r="D63" s="364"/>
      <c r="E63" s="358"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8"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2"/>
      <c r="H63" s="259" t="s">
        <v>417</v>
      </c>
      <c r="I63" s="73" t="s">
        <v>418</v>
      </c>
      <c r="J63" s="358"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8"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2"/>
      <c r="M63" s="259" t="s">
        <v>417</v>
      </c>
      <c r="N63" s="73" t="s">
        <v>418</v>
      </c>
      <c r="O63" s="358"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8"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44"/>
    </row>
    <row r="64" spans="1:39" ht="18" hidden="1" customHeight="1" outlineLevel="1" x14ac:dyDescent="0.15">
      <c r="A64" s="242">
        <f t="shared" si="0"/>
        <v>61</v>
      </c>
      <c r="B64" s="353" t="s">
        <v>390</v>
      </c>
      <c r="C64" s="41" t="s">
        <v>419</v>
      </c>
      <c r="D64" s="266"/>
      <c r="E64" s="366">
        <f>SUM(E65:E68)</f>
        <v>0</v>
      </c>
      <c r="F64" s="366">
        <f>SUM(F65:F68)</f>
        <v>0</v>
      </c>
      <c r="G64" s="242"/>
      <c r="H64" s="353" t="s">
        <v>390</v>
      </c>
      <c r="I64" s="41" t="s">
        <v>419</v>
      </c>
      <c r="J64" s="366">
        <f>SUM(J65:J68)</f>
        <v>0</v>
      </c>
      <c r="K64" s="366">
        <f>SUM(K65:K68)</f>
        <v>0</v>
      </c>
      <c r="L64" s="242"/>
      <c r="M64" s="353" t="s">
        <v>390</v>
      </c>
      <c r="N64" s="41" t="s">
        <v>419</v>
      </c>
      <c r="O64" s="366">
        <f>SUM(O65:O68)</f>
        <v>0</v>
      </c>
      <c r="P64" s="366">
        <f>SUM(P65:P68)</f>
        <v>0</v>
      </c>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44"/>
    </row>
    <row r="65" spans="1:39" ht="18" hidden="1" customHeight="1" outlineLevel="2" x14ac:dyDescent="0.15">
      <c r="A65" s="242">
        <f t="shared" si="0"/>
        <v>62</v>
      </c>
      <c r="B65" s="359" t="s">
        <v>420</v>
      </c>
      <c r="C65" s="73" t="s">
        <v>421</v>
      </c>
      <c r="D65" s="364"/>
      <c r="E65" s="358" cm="1">
        <f t="array" ref="E65">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5" s="358" cm="1">
        <f t="array" ref="F65">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5" s="242"/>
      <c r="H65" s="359" t="s">
        <v>420</v>
      </c>
      <c r="I65" s="73" t="s">
        <v>421</v>
      </c>
      <c r="J65" s="358" cm="1">
        <f t="array" ref="J65">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5" s="358" cm="1">
        <f t="array" ref="K65">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5" s="242"/>
      <c r="M65" s="359" t="s">
        <v>420</v>
      </c>
      <c r="N65" s="73" t="s">
        <v>421</v>
      </c>
      <c r="O65" s="358" cm="1">
        <f t="array" ref="O65">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5" s="358" cm="1">
        <f t="array" ref="P65">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44"/>
    </row>
    <row r="66" spans="1:39" ht="18" hidden="1" customHeight="1" outlineLevel="2" x14ac:dyDescent="0.15">
      <c r="A66" s="242">
        <f t="shared" si="0"/>
        <v>63</v>
      </c>
      <c r="B66" s="359" t="s">
        <v>393</v>
      </c>
      <c r="C66" s="73" t="s">
        <v>422</v>
      </c>
      <c r="D66" s="364"/>
      <c r="E66" s="358"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8"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2"/>
      <c r="H66" s="359" t="s">
        <v>393</v>
      </c>
      <c r="I66" s="73" t="s">
        <v>422</v>
      </c>
      <c r="J66" s="358"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8"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2"/>
      <c r="M66" s="359" t="s">
        <v>393</v>
      </c>
      <c r="N66" s="73" t="s">
        <v>422</v>
      </c>
      <c r="O66" s="358"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8"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44"/>
    </row>
    <row r="67" spans="1:39" ht="18" hidden="1" customHeight="1" outlineLevel="2" x14ac:dyDescent="0.15">
      <c r="A67" s="242">
        <f t="shared" si="0"/>
        <v>64</v>
      </c>
      <c r="B67" s="359" t="s">
        <v>376</v>
      </c>
      <c r="C67" s="73" t="s">
        <v>423</v>
      </c>
      <c r="D67" s="364"/>
      <c r="E67" s="358"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8"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2"/>
      <c r="H67" s="359" t="s">
        <v>376</v>
      </c>
      <c r="I67" s="73" t="s">
        <v>423</v>
      </c>
      <c r="J67" s="358"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8"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2"/>
      <c r="M67" s="359" t="s">
        <v>376</v>
      </c>
      <c r="N67" s="73" t="s">
        <v>423</v>
      </c>
      <c r="O67" s="358"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8"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44"/>
    </row>
    <row r="68" spans="1:39" ht="18" hidden="1" customHeight="1" outlineLevel="2" x14ac:dyDescent="0.15">
      <c r="A68" s="242">
        <f t="shared" si="0"/>
        <v>65</v>
      </c>
      <c r="B68" s="359" t="s">
        <v>424</v>
      </c>
      <c r="C68" s="73" t="s">
        <v>425</v>
      </c>
      <c r="D68" s="364"/>
      <c r="E68" s="358"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8"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2"/>
      <c r="H68" s="359" t="s">
        <v>424</v>
      </c>
      <c r="I68" s="73" t="s">
        <v>425</v>
      </c>
      <c r="J68" s="358"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8"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2"/>
      <c r="M68" s="359" t="s">
        <v>424</v>
      </c>
      <c r="N68" s="73" t="s">
        <v>425</v>
      </c>
      <c r="O68" s="358"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8"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44"/>
    </row>
    <row r="69" spans="1:39" ht="18" hidden="1" customHeight="1" outlineLevel="1" x14ac:dyDescent="0.15">
      <c r="A69" s="242">
        <f t="shared" ref="A69:A132" si="1">+A68+1</f>
        <v>66</v>
      </c>
      <c r="B69" s="353" t="s">
        <v>391</v>
      </c>
      <c r="C69" s="41" t="s">
        <v>426</v>
      </c>
      <c r="D69" s="266"/>
      <c r="E69" s="366">
        <f>SUM(E70:E73)</f>
        <v>0</v>
      </c>
      <c r="F69" s="366">
        <f>SUM(F70:F73)</f>
        <v>0</v>
      </c>
      <c r="G69" s="242"/>
      <c r="H69" s="353" t="s">
        <v>391</v>
      </c>
      <c r="I69" s="41" t="s">
        <v>426</v>
      </c>
      <c r="J69" s="366">
        <f>SUM(J70:J73)</f>
        <v>0</v>
      </c>
      <c r="K69" s="366">
        <f>SUM(K70:K73)</f>
        <v>0</v>
      </c>
      <c r="L69" s="242"/>
      <c r="M69" s="353" t="s">
        <v>391</v>
      </c>
      <c r="N69" s="41" t="s">
        <v>426</v>
      </c>
      <c r="O69" s="366">
        <f>SUM(O70:O73)</f>
        <v>0</v>
      </c>
      <c r="P69" s="366">
        <f>SUM(P70:P73)</f>
        <v>0</v>
      </c>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44"/>
    </row>
    <row r="70" spans="1:39" ht="18" hidden="1" customHeight="1" outlineLevel="2" x14ac:dyDescent="0.15">
      <c r="A70" s="242">
        <f t="shared" si="1"/>
        <v>67</v>
      </c>
      <c r="B70" s="259" t="s">
        <v>427</v>
      </c>
      <c r="C70" s="73" t="s">
        <v>428</v>
      </c>
      <c r="D70" s="364"/>
      <c r="E70" s="358" cm="1">
        <f t="array" ref="E70">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0" s="358" cm="1">
        <f t="array" ref="F70">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0" s="242"/>
      <c r="H70" s="259" t="s">
        <v>427</v>
      </c>
      <c r="I70" s="73" t="s">
        <v>428</v>
      </c>
      <c r="J70" s="358" cm="1">
        <f t="array" ref="J70">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0" s="358" cm="1">
        <f t="array" ref="K70">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0" s="242"/>
      <c r="M70" s="259" t="s">
        <v>427</v>
      </c>
      <c r="N70" s="73" t="s">
        <v>428</v>
      </c>
      <c r="O70" s="358" cm="1">
        <f t="array" ref="O70">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0" s="358" cm="1">
        <f t="array" ref="P70">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0" s="265"/>
      <c r="R70" s="265"/>
      <c r="S70" s="265"/>
      <c r="T70" s="265"/>
      <c r="U70" s="265"/>
      <c r="V70" s="265"/>
      <c r="W70" s="265"/>
      <c r="X70" s="265"/>
      <c r="Y70" s="265"/>
      <c r="Z70" s="265"/>
      <c r="AA70" s="265"/>
      <c r="AB70" s="265"/>
      <c r="AC70" s="265"/>
      <c r="AD70" s="265"/>
      <c r="AE70" s="265"/>
      <c r="AF70" s="265"/>
      <c r="AG70" s="265"/>
      <c r="AH70" s="265"/>
      <c r="AI70" s="265"/>
      <c r="AJ70" s="265"/>
      <c r="AK70" s="265"/>
      <c r="AL70" s="265"/>
      <c r="AM70" s="244"/>
    </row>
    <row r="71" spans="1:39" ht="18" hidden="1" customHeight="1" outlineLevel="2" x14ac:dyDescent="0.15">
      <c r="A71" s="242">
        <f t="shared" si="1"/>
        <v>68</v>
      </c>
      <c r="B71" s="259" t="s">
        <v>429</v>
      </c>
      <c r="C71" s="73" t="s">
        <v>430</v>
      </c>
      <c r="D71" s="364"/>
      <c r="E71" s="358" cm="1">
        <f t="array" ref="E7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1" s="358" cm="1">
        <f t="array" ref="F7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1" s="242"/>
      <c r="H71" s="259" t="s">
        <v>429</v>
      </c>
      <c r="I71" s="73" t="s">
        <v>430</v>
      </c>
      <c r="J71" s="358" cm="1">
        <f t="array" ref="J7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1" s="358" cm="1">
        <f t="array" ref="K7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1" s="242"/>
      <c r="M71" s="259" t="s">
        <v>429</v>
      </c>
      <c r="N71" s="73" t="s">
        <v>430</v>
      </c>
      <c r="O71" s="358" cm="1">
        <f t="array" ref="O7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1" s="358" cm="1">
        <f t="array" ref="P7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44"/>
    </row>
    <row r="72" spans="1:39" ht="18" hidden="1" customHeight="1" outlineLevel="2" x14ac:dyDescent="0.15">
      <c r="A72" s="242">
        <f t="shared" si="1"/>
        <v>69</v>
      </c>
      <c r="B72" s="259" t="s">
        <v>431</v>
      </c>
      <c r="C72" s="73" t="s">
        <v>432</v>
      </c>
      <c r="D72" s="364"/>
      <c r="E72" s="358" cm="1">
        <f t="array" ref="E7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2" s="358" cm="1">
        <f t="array" ref="F7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2" s="242"/>
      <c r="H72" s="259" t="s">
        <v>431</v>
      </c>
      <c r="I72" s="73" t="s">
        <v>432</v>
      </c>
      <c r="J72" s="358" cm="1">
        <f t="array" ref="J7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2" s="358" cm="1">
        <f t="array" ref="K7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2" s="242"/>
      <c r="M72" s="259" t="s">
        <v>431</v>
      </c>
      <c r="N72" s="73" t="s">
        <v>432</v>
      </c>
      <c r="O72" s="358" cm="1">
        <f t="array" ref="O7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2" s="358" cm="1">
        <f t="array" ref="P7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44"/>
    </row>
    <row r="73" spans="1:39" ht="18" hidden="1" customHeight="1" outlineLevel="2" x14ac:dyDescent="0.15">
      <c r="A73" s="242">
        <f t="shared" si="1"/>
        <v>70</v>
      </c>
      <c r="B73" s="259" t="s">
        <v>433</v>
      </c>
      <c r="C73" s="73" t="s">
        <v>434</v>
      </c>
      <c r="D73" s="364"/>
      <c r="E73" s="358" cm="1">
        <f t="array" ref="E7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3" s="358" cm="1">
        <f t="array" ref="F7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3" s="242"/>
      <c r="H73" s="259" t="s">
        <v>433</v>
      </c>
      <c r="I73" s="73" t="s">
        <v>434</v>
      </c>
      <c r="J73" s="358" cm="1">
        <f t="array" ref="J7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3" s="358" cm="1">
        <f t="array" ref="K7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3" s="242"/>
      <c r="M73" s="259" t="s">
        <v>433</v>
      </c>
      <c r="N73" s="73" t="s">
        <v>434</v>
      </c>
      <c r="O73" s="358" cm="1">
        <f t="array" ref="O7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3" s="358" cm="1">
        <f t="array" ref="P7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3" s="265"/>
      <c r="R73" s="265"/>
      <c r="S73" s="265"/>
      <c r="T73" s="265"/>
      <c r="U73" s="265"/>
      <c r="V73" s="265"/>
      <c r="W73" s="265"/>
      <c r="X73" s="265"/>
      <c r="Y73" s="265"/>
      <c r="Z73" s="265"/>
      <c r="AA73" s="265"/>
      <c r="AB73" s="265"/>
      <c r="AC73" s="265"/>
      <c r="AD73" s="265"/>
      <c r="AE73" s="265"/>
      <c r="AF73" s="265"/>
      <c r="AG73" s="265"/>
      <c r="AH73" s="265"/>
      <c r="AI73" s="265"/>
      <c r="AJ73" s="265"/>
      <c r="AK73" s="265"/>
      <c r="AL73" s="265"/>
      <c r="AM73" s="244"/>
    </row>
    <row r="74" spans="1:39" ht="18" hidden="1" customHeight="1" outlineLevel="1" x14ac:dyDescent="0.15">
      <c r="A74" s="242">
        <f t="shared" si="1"/>
        <v>71</v>
      </c>
      <c r="B74" s="353" t="s">
        <v>399</v>
      </c>
      <c r="C74" s="41" t="s">
        <v>435</v>
      </c>
      <c r="D74" s="266"/>
      <c r="E74" s="366">
        <f>+E53+E64+E69</f>
        <v>0</v>
      </c>
      <c r="F74" s="366">
        <f>+F53+F64+F69</f>
        <v>0</v>
      </c>
      <c r="G74" s="242"/>
      <c r="H74" s="353" t="s">
        <v>399</v>
      </c>
      <c r="I74" s="41" t="s">
        <v>435</v>
      </c>
      <c r="J74" s="366">
        <f>+J53+J64+J69</f>
        <v>0</v>
      </c>
      <c r="K74" s="366">
        <f>+K53+K64+K69</f>
        <v>0</v>
      </c>
      <c r="L74" s="242"/>
      <c r="M74" s="353" t="s">
        <v>399</v>
      </c>
      <c r="N74" s="41" t="s">
        <v>435</v>
      </c>
      <c r="O74" s="366">
        <f>+O53+O64+O69</f>
        <v>0</v>
      </c>
      <c r="P74" s="366">
        <f>+P53+P64+P69</f>
        <v>0</v>
      </c>
      <c r="Q74" s="265"/>
      <c r="R74" s="265"/>
      <c r="S74" s="265"/>
      <c r="T74" s="265"/>
      <c r="U74" s="265"/>
      <c r="V74" s="265"/>
      <c r="W74" s="265"/>
      <c r="X74" s="265"/>
      <c r="Y74" s="265"/>
      <c r="Z74" s="265"/>
      <c r="AA74" s="265"/>
      <c r="AB74" s="265"/>
      <c r="AC74" s="265"/>
      <c r="AD74" s="265"/>
      <c r="AE74" s="265"/>
      <c r="AF74" s="265"/>
      <c r="AG74" s="265"/>
      <c r="AH74" s="265"/>
      <c r="AI74" s="265"/>
      <c r="AJ74" s="265"/>
      <c r="AK74" s="265"/>
      <c r="AL74" s="265"/>
      <c r="AM74" s="244"/>
    </row>
    <row r="75" spans="1:39" ht="18" customHeight="1" x14ac:dyDescent="0.15">
      <c r="A75" s="242">
        <f t="shared" si="1"/>
        <v>72</v>
      </c>
      <c r="B75" s="259"/>
      <c r="C75" s="368"/>
      <c r="D75" s="242"/>
      <c r="E75" s="358"/>
      <c r="F75" s="358"/>
      <c r="G75" s="242"/>
      <c r="H75" s="359"/>
      <c r="I75" s="368"/>
      <c r="J75" s="358"/>
      <c r="K75" s="358"/>
      <c r="L75" s="242"/>
      <c r="M75" s="365"/>
      <c r="N75" s="361"/>
      <c r="O75" s="358"/>
      <c r="P75" s="358"/>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44"/>
    </row>
    <row r="76" spans="1:39" ht="18" customHeight="1" x14ac:dyDescent="0.15">
      <c r="A76" s="242">
        <f t="shared" si="1"/>
        <v>73</v>
      </c>
      <c r="B76" s="359"/>
      <c r="C76" s="74" t="s">
        <v>436</v>
      </c>
      <c r="D76" s="265"/>
      <c r="E76" s="358"/>
      <c r="F76" s="358"/>
      <c r="G76" s="242"/>
      <c r="H76" s="359"/>
      <c r="I76" s="74" t="s">
        <v>436</v>
      </c>
      <c r="J76" s="358"/>
      <c r="K76" s="358"/>
      <c r="L76" s="242"/>
      <c r="M76" s="359"/>
      <c r="N76" s="74" t="s">
        <v>436</v>
      </c>
      <c r="O76" s="358"/>
      <c r="P76" s="358"/>
      <c r="Q76" s="265"/>
      <c r="R76" s="265"/>
      <c r="S76" s="265"/>
      <c r="T76" s="265"/>
      <c r="U76" s="265"/>
      <c r="V76" s="265"/>
      <c r="W76" s="265"/>
      <c r="X76" s="265"/>
      <c r="Y76" s="265"/>
      <c r="Z76" s="265"/>
      <c r="AA76" s="265"/>
      <c r="AB76" s="265"/>
      <c r="AC76" s="265"/>
      <c r="AD76" s="265"/>
      <c r="AE76" s="265"/>
      <c r="AF76" s="265"/>
      <c r="AG76" s="265"/>
      <c r="AH76" s="265"/>
      <c r="AI76" s="265"/>
      <c r="AJ76" s="265"/>
      <c r="AK76" s="265"/>
      <c r="AL76" s="265"/>
      <c r="AM76" s="244"/>
    </row>
    <row r="77" spans="1:39" ht="18" customHeight="1" outlineLevel="1" x14ac:dyDescent="0.15">
      <c r="A77" s="242">
        <f t="shared" si="1"/>
        <v>74</v>
      </c>
      <c r="B77" s="372">
        <v>100</v>
      </c>
      <c r="C77" s="77" t="s">
        <v>437</v>
      </c>
      <c r="D77" s="373">
        <f>+D89+D86+D80+D79+D78</f>
        <v>0</v>
      </c>
      <c r="E77" s="373">
        <f>+E89+E86+E80+E79+E78</f>
        <v>0</v>
      </c>
      <c r="F77" s="373">
        <f>+F89+F86+F80+F79+F78</f>
        <v>0</v>
      </c>
      <c r="G77" s="242"/>
      <c r="H77" s="372">
        <v>100</v>
      </c>
      <c r="I77" s="77" t="s">
        <v>437</v>
      </c>
      <c r="J77" s="373">
        <f>+J89+J86+J80+J79+J78</f>
        <v>53607353.321573563</v>
      </c>
      <c r="K77" s="373">
        <f>+K89+K86+K80+K79+K78</f>
        <v>53607353.321573563</v>
      </c>
      <c r="L77" s="242"/>
      <c r="M77" s="372">
        <v>100</v>
      </c>
      <c r="N77" s="77" t="s">
        <v>437</v>
      </c>
      <c r="O77" s="373">
        <f ca="1">+O89+O86+O80+O79+O78</f>
        <v>0</v>
      </c>
      <c r="P77" s="373">
        <f ca="1">+P89+P86+P80+P79+P78</f>
        <v>0</v>
      </c>
      <c r="Q77" s="265"/>
      <c r="R77" s="265"/>
      <c r="S77" s="265"/>
      <c r="T77" s="265"/>
      <c r="U77" s="265"/>
      <c r="V77" s="265"/>
      <c r="W77" s="265"/>
      <c r="X77" s="265"/>
      <c r="Y77" s="265"/>
      <c r="Z77" s="265"/>
      <c r="AA77" s="265"/>
      <c r="AB77" s="265"/>
      <c r="AC77" s="265"/>
      <c r="AD77" s="265"/>
      <c r="AE77" s="265"/>
      <c r="AF77" s="265"/>
      <c r="AG77" s="265"/>
      <c r="AH77" s="265"/>
      <c r="AI77" s="265"/>
      <c r="AJ77" s="265"/>
      <c r="AK77" s="265"/>
      <c r="AL77" s="265"/>
      <c r="AM77" s="244"/>
    </row>
    <row r="78" spans="1:39" ht="18" customHeight="1" outlineLevel="2" x14ac:dyDescent="0.15">
      <c r="A78" s="242">
        <f t="shared" si="1"/>
        <v>75</v>
      </c>
      <c r="B78" s="259">
        <v>110</v>
      </c>
      <c r="C78" s="73" t="s">
        <v>438</v>
      </c>
      <c r="D78" s="244">
        <f>SUM(Table_TaiKhoan[Số dư ban đầu])</f>
        <v>0</v>
      </c>
      <c r="E78" s="312" cm="1">
        <f t="array" ref="E78">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8" s="244" cm="1">
        <f t="array" ref="F78">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8" s="242"/>
      <c r="H78" s="259">
        <v>110</v>
      </c>
      <c r="I78" s="73" t="s">
        <v>438</v>
      </c>
      <c r="J78" s="312" cm="1">
        <f t="array" ref="J78">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8" s="312" cm="1">
        <f t="array" ref="K78">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8" s="242"/>
      <c r="M78" s="259">
        <v>110</v>
      </c>
      <c r="N78" s="73" t="s">
        <v>438</v>
      </c>
      <c r="O78" s="244" cm="1">
        <f t="array" ref="O78">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8" s="244" cm="1">
        <f t="array" ref="P78">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8" s="265"/>
      <c r="R78" s="265"/>
      <c r="S78" s="265"/>
      <c r="T78" s="265"/>
      <c r="U78" s="265"/>
      <c r="V78" s="265"/>
      <c r="W78" s="265"/>
      <c r="X78" s="265"/>
      <c r="Y78" s="265"/>
      <c r="Z78" s="265"/>
      <c r="AA78" s="265"/>
      <c r="AB78" s="265"/>
      <c r="AC78" s="265"/>
      <c r="AD78" s="265"/>
      <c r="AE78" s="265"/>
      <c r="AF78" s="265"/>
      <c r="AG78" s="265"/>
      <c r="AH78" s="265"/>
      <c r="AI78" s="265"/>
      <c r="AJ78" s="265"/>
      <c r="AK78" s="265"/>
      <c r="AL78" s="265"/>
      <c r="AM78" s="244"/>
    </row>
    <row r="79" spans="1:39" ht="18" customHeight="1" outlineLevel="2" x14ac:dyDescent="0.15">
      <c r="A79" s="242">
        <f t="shared" si="1"/>
        <v>76</v>
      </c>
      <c r="B79" s="259">
        <v>120</v>
      </c>
      <c r="C79" s="73" t="s">
        <v>439</v>
      </c>
      <c r="D79" s="244" cm="1">
        <f t="array" ref="D79">IFERROR(
SUM(_xlfn._xlws.FILTER(Table_DauTu[Giá trị đầu tư],
(NOT(ISBLANK(Table_DauTu[Thời hạn (tháng)])))*
(Table_DauTu[Kỳ đầu tư] &lt; BCTC_BatDau) *
(Table_DauTu[Kỳ đáo hạn] &lt;= DATE(YEAR(BCTC_BatDau) + 1, MONTH(BCTC_BatDau), DAY(BCTC_BatDau)))
)),0)</f>
        <v>0</v>
      </c>
      <c r="E79" s="312" cm="1">
        <f t="array" ref="E79">IFERROR(
SUM(_xlfn._xlws.FILTER(Table_DauTu[Giá trị đầu tư],
(NOT(ISBLANK(Table_DauTu[Kỳ đáo hạn])))*
(Table_DauTu[Kỳ đầu tư] &lt; DATE(BCTC_Nam, BCTC_Thang, 1)) *
(Table_DauTu[Kỳ đáo hạn] &lt;=  DATE(BCTC_Nam+1, BCTC_Thang, 1))
)),0)</f>
        <v>0</v>
      </c>
      <c r="F79" s="244" cm="1">
        <f t="array" ref="F79">IFERROR(
SUM(_xlfn._xlws.FILTER(Table_DauTu[Giá trị đầu tư],
(NOT(ISBLANK(Table_DauTu[Kỳ đáo hạn])))*
(Table_DauTu[Kỳ đầu tư] &lt; DATE(BCTC_Nam, BCTC_Thang+1, 1)) *
(Table_DauTu[Kỳ đáo hạn] &lt;=  DATE(BCTC_Nam+1, BCTC_Thang+1, 1))
)),0)</f>
        <v>0</v>
      </c>
      <c r="G79" s="242"/>
      <c r="H79" s="259">
        <v>120</v>
      </c>
      <c r="I79" s="73" t="s">
        <v>439</v>
      </c>
      <c r="J79" s="312" cm="1">
        <f t="array" ref="J79">IFERROR(
SUM(_xlfn._xlws.FILTER(Table_DauTu[Giá trị đầu tư],
(NOT(ISBLANK(Table_DauTu[Kỳ đáo hạn])))*
(Table_DauTu[Kỳ đầu tư] &lt; DATE(J$1+1, 1, 1)) *
(Table_DauTu[Kỳ đáo hạn] &lt;=  DATE(J$1+2, 1, 1))
)),0)</f>
        <v>0</v>
      </c>
      <c r="K79" s="312" cm="1">
        <f t="array" ref="K79">IFERROR(
SUM(_xlfn._xlws.FILTER(Table_DauTu[Giá trị đầu tư],
(NOT(ISBLANK(Table_DauTu[Kỳ đáo hạn])))*
(Table_DauTu[Kỳ đầu tư] &lt; DATE(K$1+1, 1, 1)) *
(Table_DauTu[Kỳ đáo hạn] &lt;=  DATE(K$1+2, 1, 1))
)),0)</f>
        <v>0</v>
      </c>
      <c r="L79" s="242"/>
      <c r="M79" s="259">
        <v>120</v>
      </c>
      <c r="N79" s="73" t="s">
        <v>439</v>
      </c>
      <c r="O79" s="244" cm="1">
        <f t="array" ref="O79">IFERROR(
SUM(_xlfn._xlws.FILTER(Table_DauTu[Giá trị đầu tư],
(NOT(ISBLANK(Table_DauTu[Kỳ đáo hạn])))*
(Table_DauTu[Kỳ đầu tư] &lt; DATE(YEAR(O$1), MONTH(O$1)+1, 1)) *
(Table_DauTu[Kỳ đáo hạn] &lt;=  DATE(YEAR(O$1)+1, MONTH(O$1)+1, 1))
)),0)</f>
        <v>0</v>
      </c>
      <c r="P79" s="244" cm="1">
        <f t="array" ref="P79">IFERROR(
SUM(_xlfn._xlws.FILTER(Table_DauTu[Giá trị đầu tư],
(NOT(ISBLANK(Table_DauTu[Kỳ đáo hạn])))*
(Table_DauTu[Kỳ đầu tư] &lt; DATE(YEAR(P$1), MONTH(P$1)+1, 1)) *
(Table_DauTu[Kỳ đáo hạn] &lt;=  DATE(YEAR(P$1)+1, MONTH(P$1)+1, 1))
)),0)</f>
        <v>0</v>
      </c>
      <c r="Q79" s="265"/>
      <c r="R79" s="265"/>
      <c r="S79" s="265"/>
      <c r="T79" s="265"/>
      <c r="U79" s="265"/>
      <c r="V79" s="265"/>
      <c r="W79" s="265"/>
      <c r="X79" s="265"/>
      <c r="Y79" s="265"/>
      <c r="Z79" s="265"/>
      <c r="AA79" s="265"/>
      <c r="AB79" s="265"/>
      <c r="AC79" s="265"/>
      <c r="AD79" s="265"/>
      <c r="AE79" s="265"/>
      <c r="AF79" s="265"/>
      <c r="AG79" s="265"/>
      <c r="AH79" s="265"/>
      <c r="AI79" s="265"/>
      <c r="AJ79" s="265"/>
      <c r="AK79" s="265"/>
      <c r="AL79" s="265"/>
      <c r="AM79" s="244"/>
    </row>
    <row r="80" spans="1:39" ht="18" customHeight="1" outlineLevel="2" x14ac:dyDescent="0.15">
      <c r="A80" s="242">
        <f t="shared" si="1"/>
        <v>77</v>
      </c>
      <c r="B80" s="259">
        <v>130</v>
      </c>
      <c r="C80" s="73" t="s">
        <v>440</v>
      </c>
      <c r="D80" s="244">
        <f>+SUM(D81:D84)</f>
        <v>0</v>
      </c>
      <c r="E80" s="244">
        <f>+SUM(E81:E85)</f>
        <v>0</v>
      </c>
      <c r="F80" s="244">
        <f>+SUM(F81:F85)</f>
        <v>0</v>
      </c>
      <c r="G80" s="242"/>
      <c r="H80" s="259">
        <v>130</v>
      </c>
      <c r="I80" s="73" t="s">
        <v>440</v>
      </c>
      <c r="J80" s="244">
        <f>+SUM(J81:J85)</f>
        <v>1629803</v>
      </c>
      <c r="K80" s="244">
        <f>+SUM(K81:K85)</f>
        <v>1629803</v>
      </c>
      <c r="L80" s="242"/>
      <c r="M80" s="259">
        <v>130</v>
      </c>
      <c r="N80" s="73" t="s">
        <v>440</v>
      </c>
      <c r="O80" s="244">
        <f ca="1">+SUM(O81:O85)</f>
        <v>0</v>
      </c>
      <c r="P80" s="244">
        <f ca="1">+SUM(P81:P85)</f>
        <v>0</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44"/>
    </row>
    <row r="81" spans="1:39" ht="18" customHeight="1" outlineLevel="3" x14ac:dyDescent="0.15">
      <c r="A81" s="242">
        <f t="shared" si="1"/>
        <v>78</v>
      </c>
      <c r="B81" s="365">
        <v>131</v>
      </c>
      <c r="C81" s="72" t="s">
        <v>441</v>
      </c>
      <c r="D81" s="362">
        <f>Sheet_PhaiThu!D2-D92</f>
        <v>0</v>
      </c>
      <c r="E81" s="362">
        <f>IFERROR(
IF(BCTC_Thang = 1,
HLOOKUP(
DATE(BCTC_Nam-1,12,1),Sheet_PhaiThu!$C$1:$XFD$5,Sheet_PhaiThu!$B$2,0
),
HLOOKUP(
DATE(BCTC_Nam,BCTC_Thang-1,1),Sheet_PhaiThu!$C$1:$XFD$5,Sheet_PhaiThu!$B$2,0
)),0)
-E92</f>
        <v>0</v>
      </c>
      <c r="F81" s="371">
        <f>IFERROR(
HLOOKUP(
DATE(BCTC_Nam,BCTC_Thang,1),Sheet_PhaiThu!$C$1:$XFD$5,Sheet_PhaiThu!$B$2,0
),0)
-F92</f>
        <v>0</v>
      </c>
      <c r="G81" s="242"/>
      <c r="H81" s="365">
        <v>131</v>
      </c>
      <c r="I81" s="72" t="s">
        <v>441</v>
      </c>
      <c r="J81" s="362">
        <f>IFERROR(
HLOOKUP(
DATE(J$1,12,1),
Sheet_PhaiThu!$C$1:$XFD$5,Sheet_PhaiThu!$B$2,0
),
IFERROR(
HLOOKUP(
MAX(Sheet_PhaiThu!$D$1:$XFD$1),
Sheet_PhaiThu!$C$1:$XFD$5,Sheet_PhaiThu!$B$2,0
),
0))
-J92</f>
        <v>700000</v>
      </c>
      <c r="K81" s="362">
        <f>IFERROR(
HLOOKUP(
DATE(K$1,12,1),
Sheet_PhaiThu!$C$1:$XFD$5,Sheet_PhaiThu!$B$2,0
),
IFERROR(
HLOOKUP(
MAX(Sheet_PhaiThu!$D$1:$XFD$1),
Sheet_PhaiThu!$C$1:$XFD$5,Sheet_PhaiThu!$B$2,0
),
0))
-K92</f>
        <v>700000</v>
      </c>
      <c r="L81" s="242"/>
      <c r="M81" s="365">
        <v>131</v>
      </c>
      <c r="N81" s="72" t="s">
        <v>441</v>
      </c>
      <c r="O81" s="371">
        <f>IFERROR(
HLOOKUP(
O$1,Sheet_PhaiThu!$C$1:$XFD$5,Sheet_PhaiThu!$B$2,0
),0)
-O92</f>
        <v>0</v>
      </c>
      <c r="P81" s="371">
        <f>IFERROR(
HLOOKUP(
P$1,Sheet_PhaiThu!$C$1:$XFD$5,Sheet_PhaiThu!$B$2,0
),0)
-P92</f>
        <v>0</v>
      </c>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44"/>
    </row>
    <row r="82" spans="1:39" ht="18" customHeight="1" outlineLevel="3" x14ac:dyDescent="0.15">
      <c r="A82" s="242">
        <f t="shared" si="1"/>
        <v>79</v>
      </c>
      <c r="B82" s="365">
        <v>132</v>
      </c>
      <c r="C82" s="72" t="s">
        <v>442</v>
      </c>
      <c r="D82" s="362">
        <f>Sheet_PhaiTra!D4-D93</f>
        <v>0</v>
      </c>
      <c r="E82" s="362">
        <f xml:space="preserve">
IFERROR(
IF(BCTC_Thang = 1,
HLOOKUP(
DATE(BCTC_Nam-1,12,1),Sheet_PhaiTra!$B$1:$XFD$9,Sheet_PhaiTra!$A$4,0
),
HLOOKUP(
DATE(BCTC_Nam,BCTC_Thang-1,1),Sheet_PhaiTra!$B$1:$XFD$9,Sheet_PhaiTra!$A$4,0
)),0)
-E93</f>
        <v>0</v>
      </c>
      <c r="F82" s="371">
        <f xml:space="preserve">
IFERROR(
HLOOKUP(
DATE(BCTC_Nam,BCTC_Thang,1),Sheet_PhaiTra!$B$1:$XFD$9,Sheet_PhaiTra!$A$4,0
),0)
-F93</f>
        <v>0</v>
      </c>
      <c r="G82" s="242"/>
      <c r="H82" s="365">
        <v>132</v>
      </c>
      <c r="I82" s="72" t="s">
        <v>442</v>
      </c>
      <c r="J82" s="362">
        <f>IFERROR(
HLOOKUP(
DATE(J$1,12,1),
Sheet_PhaiTra!$B$1:$XFD$9,Sheet_PhaiTra!$A$4,0
),
IFERROR(
HLOOKUP(
MAX(Sheet_PhaiTra!$D$1:$XFD$1),
Sheet_PhaiTra!$B$1:$XFD$9,Sheet_PhaiTra!$A$4,0
),
0))
-J93</f>
        <v>629803</v>
      </c>
      <c r="K82" s="362">
        <f>IFERROR(
HLOOKUP(
DATE(K$1,12,1),
Sheet_PhaiTra!$B$1:$XFD$9,Sheet_PhaiTra!$A$4,0
),
IFERROR(
HLOOKUP(
MAX(Sheet_PhaiTra!$D$1:$XFD$1),
Sheet_PhaiTra!$B$1:$XFD$9,Sheet_PhaiTra!$A$4,0
),
0))
-K93</f>
        <v>629803</v>
      </c>
      <c r="L82" s="242"/>
      <c r="M82" s="365">
        <v>132</v>
      </c>
      <c r="N82" s="72" t="s">
        <v>442</v>
      </c>
      <c r="O82" s="371">
        <f xml:space="preserve">
IFERROR(
HLOOKUP(
O$1,Sheet_PhaiTra!$B$1:$XFD$9,Sheet_PhaiTra!$A$4,0
),0)
-O93</f>
        <v>0</v>
      </c>
      <c r="P82" s="371">
        <f xml:space="preserve">
IFERROR(
HLOOKUP(
P$1,Sheet_PhaiTra!$B$1:$XFD$9,Sheet_PhaiTra!$A$4,0
),0)
-P93</f>
        <v>0</v>
      </c>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44"/>
    </row>
    <row r="83" spans="1:39" ht="18" customHeight="1" outlineLevel="3" x14ac:dyDescent="0.15">
      <c r="A83" s="242">
        <f t="shared" si="1"/>
        <v>80</v>
      </c>
      <c r="B83" s="365">
        <v>133</v>
      </c>
      <c r="C83" s="72" t="s">
        <v>443</v>
      </c>
      <c r="D83" s="362">
        <f>Sheet_PhaiTra!D8-D94</f>
        <v>0</v>
      </c>
      <c r="E83" s="362">
        <f>IFERROR(
IF(BCTC_Thang = 1,
HLOOKUP(
DATE(BCTC_Nam-1,12,1),Sheet_PhaiTra!$B$1:$XFD$9,Sheet_PhaiTra!$A$8,0
),
HLOOKUP(
DATE(BCTC_Nam,BCTC_Thang-1,1),Sheet_PhaiTra!$B$1:$XFD$9,Sheet_PhaiTra!$A$8,0
)),0)
-E94</f>
        <v>0</v>
      </c>
      <c r="F83" s="371">
        <f>IFERROR(
HLOOKUP(
DATE(BCTC_Nam,BCTC_Thang,1),Sheet_PhaiTra!$B$1:$XFD$9,Sheet_PhaiTra!$A$8,0
),0)
-F94</f>
        <v>0</v>
      </c>
      <c r="G83" s="242"/>
      <c r="H83" s="365">
        <v>133</v>
      </c>
      <c r="I83" s="72" t="s">
        <v>443</v>
      </c>
      <c r="J83" s="362">
        <f>IFERROR(
HLOOKUP(
DATE(J$1,12,1),
Sheet_PhaiTra!$B$1:$XFD$9,Sheet_PhaiTra!$A$8,0
),
IFERROR(
HLOOKUP(
MAX(Sheet_PhaiTra!$D$1:$XFD$1),
Sheet_PhaiTra!$B$1:$XFD$9,Sheet_PhaiTra!$A$8,0
),
0))
-J94</f>
        <v>0</v>
      </c>
      <c r="K83" s="362">
        <f>IFERROR(
HLOOKUP(
DATE(K$1,12,1),
Sheet_PhaiTra!$B$1:$XFD$9,Sheet_PhaiTra!$A$8,0
),
IFERROR(
HLOOKUP(
MAX(Sheet_PhaiTra!$D$1:$XFD$1),
Sheet_PhaiTra!$B$1:$XFD$9,Sheet_PhaiTra!$A$8,0
),
0))
-K94</f>
        <v>0</v>
      </c>
      <c r="L83" s="242"/>
      <c r="M83" s="365">
        <v>133</v>
      </c>
      <c r="N83" s="72" t="s">
        <v>443</v>
      </c>
      <c r="O83" s="371">
        <f xml:space="preserve">
IFERROR(
HLOOKUP(
O$1,Sheet_PhaiTra!$B$1:$XFD$9,Sheet_PhaiTra!$A$8,0
),0)
-O94</f>
        <v>0</v>
      </c>
      <c r="P83" s="371">
        <f xml:space="preserve">
IFERROR(
HLOOKUP(
P$1,Sheet_PhaiTra!$B$1:$XFD$9,Sheet_PhaiTra!$A$8,0
),0)
-P94</f>
        <v>0</v>
      </c>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44"/>
    </row>
    <row r="84" spans="1:39" ht="18" customHeight="1" outlineLevel="3" x14ac:dyDescent="0.15">
      <c r="A84" s="242">
        <f t="shared" si="1"/>
        <v>81</v>
      </c>
      <c r="B84" s="365">
        <v>135</v>
      </c>
      <c r="C84" s="72" t="s">
        <v>444</v>
      </c>
      <c r="D84" s="362">
        <v>0</v>
      </c>
      <c r="E84" s="362" cm="1">
        <f t="array" ref="E84">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4" s="371" cm="1">
        <f t="array" ref="F84">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4" s="242"/>
      <c r="H84" s="365">
        <v>135</v>
      </c>
      <c r="I84" s="72" t="s">
        <v>444</v>
      </c>
      <c r="J84" s="362" cm="1">
        <f t="array" ref="J84"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4" s="362" cm="1">
        <f t="array" ref="K84"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4" s="242"/>
      <c r="M84" s="365">
        <v>135</v>
      </c>
      <c r="N84" s="72" t="s">
        <v>444</v>
      </c>
      <c r="O84" s="374" cm="1">
        <f t="array" aca="1" ref="O84"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4" s="374" cm="1">
        <f t="array" aca="1" ref="P84"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4" s="265"/>
      <c r="R84" s="265"/>
      <c r="S84" s="265"/>
      <c r="T84" s="265"/>
      <c r="U84" s="265"/>
      <c r="V84" s="265"/>
      <c r="W84" s="265"/>
      <c r="X84" s="265"/>
      <c r="Y84" s="265"/>
      <c r="Z84" s="265"/>
      <c r="AA84" s="265"/>
      <c r="AB84" s="265"/>
      <c r="AC84" s="265"/>
      <c r="AD84" s="265"/>
      <c r="AE84" s="265"/>
      <c r="AF84" s="265"/>
      <c r="AG84" s="265"/>
      <c r="AH84" s="265"/>
      <c r="AI84" s="265"/>
      <c r="AJ84" s="265"/>
      <c r="AK84" s="265"/>
      <c r="AL84" s="265"/>
      <c r="AM84" s="244"/>
    </row>
    <row r="85" spans="1:39" ht="18" customHeight="1" outlineLevel="3" x14ac:dyDescent="0.15">
      <c r="A85" s="242">
        <f t="shared" si="1"/>
        <v>82</v>
      </c>
      <c r="B85" s="365" t="s">
        <v>445</v>
      </c>
      <c r="C85" s="72" t="s">
        <v>446</v>
      </c>
      <c r="D85" s="362">
        <v>0</v>
      </c>
      <c r="E85" s="362" cm="1">
        <f t="array" ref="E85" xml:space="preserve">
-IF(BCTC_Thang = 1,
IFERROR(
SUM(_xlfn._xlws.FILTER(Table_DuPhong[Dự phòng lũy kế],
(Table_DuPhong[Kỳ]= DATE(BCTC_Nam-1, 12, 1))
)),0),
IFERROR(
SUM(_xlfn._xlws.FILTER(Table_DuPhong[Dự phòng lũy kế],
(Table_DuPhong[Kỳ]= DATE(BCTC_Nam, BCTC_Thang -1, 1))
)),0))</f>
        <v>0</v>
      </c>
      <c r="F85" s="363" cm="1">
        <f t="array" ref="F85" xml:space="preserve">
-IFERROR(
SUM(_xlfn._xlws.FILTER(Table_DuPhong[Dự phòng lũy kế],
(Table_DuPhong[Kỳ]= DATE(BCTC_Nam, BCTC_Thang, 1))
)),0)</f>
        <v>0</v>
      </c>
      <c r="G85" s="242"/>
      <c r="H85" s="365" t="s">
        <v>445</v>
      </c>
      <c r="I85" s="72" t="s">
        <v>446</v>
      </c>
      <c r="J85" s="362" cm="1">
        <f t="array" ref="J85" xml:space="preserve">
IFERROR(
SUM(
_xlfn._xlws.FILTER(Table_DuPhong[Dự phòng lũy kế],
(Table_DuPhong[Kỳ]= DATE(J$1,12,1))
)),
IFERROR(
SUM(
_xlfn._xlws.FILTER(Table_DuPhong[Dự phòng lũy kế],
(Table_DuPhong[Kỳ]= MAX(Table_DuPhong[Kỳ]))
)),
0)
)</f>
        <v>300000</v>
      </c>
      <c r="K85" s="362" cm="1">
        <f t="array" ref="K85" xml:space="preserve">
IFERROR(
SUM(
_xlfn._xlws.FILTER(Table_DuPhong[Dự phòng lũy kế],
(Table_DuPhong[Kỳ]= DATE(K$1,12,1))
)),
IFERROR(
SUM(
_xlfn._xlws.FILTER(Table_DuPhong[Dự phòng lũy kế],
(Table_DuPhong[Kỳ]= MAX(Table_DuPhong[Kỳ]))
)),
0)
)</f>
        <v>300000</v>
      </c>
      <c r="L85" s="242"/>
      <c r="M85" s="365" t="s">
        <v>445</v>
      </c>
      <c r="N85" s="72" t="s">
        <v>446</v>
      </c>
      <c r="O85" s="363" cm="1">
        <f t="array" ref="O85" xml:space="preserve">
-IFERROR(
SUM(_xlfn._xlws.FILTER(Table_DuPhong[Dự phòng lũy kế],
(Table_DuPhong[Kỳ]= O$1)
)),0)</f>
        <v>0</v>
      </c>
      <c r="P85" s="363" cm="1">
        <f t="array" ref="P85" xml:space="preserve">
-IFERROR(
SUM(_xlfn._xlws.FILTER(Table_DuPhong[Dự phòng lũy kế],
(Table_DuPhong[Kỳ]= P$1)
)),0)</f>
        <v>0</v>
      </c>
      <c r="Q85" s="265"/>
      <c r="R85" s="265"/>
      <c r="S85" s="265"/>
      <c r="T85" s="265"/>
      <c r="U85" s="265"/>
      <c r="V85" s="265"/>
      <c r="W85" s="265"/>
      <c r="X85" s="265"/>
      <c r="Y85" s="265"/>
      <c r="Z85" s="265"/>
      <c r="AA85" s="265"/>
      <c r="AB85" s="265"/>
      <c r="AC85" s="265"/>
      <c r="AD85" s="265"/>
      <c r="AE85" s="265"/>
      <c r="AF85" s="265"/>
      <c r="AG85" s="265"/>
      <c r="AH85" s="265"/>
      <c r="AI85" s="265"/>
      <c r="AJ85" s="265"/>
      <c r="AK85" s="265"/>
      <c r="AL85" s="265"/>
      <c r="AM85" s="244"/>
    </row>
    <row r="86" spans="1:39" ht="18" customHeight="1" outlineLevel="2" x14ac:dyDescent="0.15">
      <c r="A86" s="242">
        <f t="shared" si="1"/>
        <v>83</v>
      </c>
      <c r="B86" s="259">
        <v>140</v>
      </c>
      <c r="C86" s="73" t="s">
        <v>447</v>
      </c>
      <c r="D86" s="244">
        <f>+SUM(D87:D88)</f>
        <v>0</v>
      </c>
      <c r="E86" s="244">
        <f>+SUM(E87:E88)</f>
        <v>0</v>
      </c>
      <c r="F86" s="244">
        <f>+SUM(F87:F88)</f>
        <v>0</v>
      </c>
      <c r="G86" s="242"/>
      <c r="H86" s="259">
        <v>140</v>
      </c>
      <c r="I86" s="73" t="s">
        <v>447</v>
      </c>
      <c r="J86" s="244">
        <f>+SUM(J87:J88)</f>
        <v>51977550.321573563</v>
      </c>
      <c r="K86" s="244">
        <f>+SUM(K87:K88)</f>
        <v>51977550.321573563</v>
      </c>
      <c r="L86" s="242"/>
      <c r="M86" s="259">
        <v>140</v>
      </c>
      <c r="N86" s="73" t="s">
        <v>447</v>
      </c>
      <c r="O86" s="244">
        <f>+SUM(O87:O88)</f>
        <v>0</v>
      </c>
      <c r="P86" s="244">
        <f>+SUM(P87:P88)</f>
        <v>0</v>
      </c>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44"/>
    </row>
    <row r="87" spans="1:39" ht="18" customHeight="1" outlineLevel="3" x14ac:dyDescent="0.15">
      <c r="A87" s="242">
        <f t="shared" si="1"/>
        <v>84</v>
      </c>
      <c r="B87" s="365" t="s">
        <v>448</v>
      </c>
      <c r="C87" s="72" t="s">
        <v>449</v>
      </c>
      <c r="D87" s="371" cm="1">
        <f t="array" ref="D87" xml:space="preserve">
IFERROR(
SUM(_xlfn._xlws.FILTER(Table_Main[Giá trị hàng nhập],
(Table_Main[Đơn Mua] = "TONKHODAU")
)), 0)</f>
        <v>0</v>
      </c>
      <c r="E87" s="363" cm="1">
        <f t="array" ref="E87" xml:space="preserve">
IF(BCTC_Thang = 1,
IFERROR(
SUM(_xlfn._xlws.FILTER(Table_TonKho[Giá trị cuối kỳ],
Table_TonKho[Kỳ] = DATE(BCTC_Nam-1,12,1)
)), 0),
IFERROR(
SUM(_xlfn._xlws.FILTER(Table_TonKho[Giá trị cuối kỳ],
Table_TonKho[Kỳ] = DATE(BCTC_Nam,BCTC_Thang-1,1)
)), 0))</f>
        <v>0</v>
      </c>
      <c r="F87" s="363" cm="1">
        <f t="array" ref="F87" xml:space="preserve">
IFERROR(
SUM(_xlfn._xlws.FILTER(Table_TonKho[Giá trị cuối kỳ],
Table_TonKho[Kỳ] = DATE(BCTC_Nam,BCTC_Thang,1)
)), 0)</f>
        <v>0</v>
      </c>
      <c r="G87" s="242"/>
      <c r="H87" s="365" t="s">
        <v>448</v>
      </c>
      <c r="I87" s="72" t="s">
        <v>449</v>
      </c>
      <c r="J87" s="363" cm="1">
        <f t="array" ref="J87">IFERROR(
SUM(
_xlfn._xlws.FILTER(Table_TonKho[Giá trị cuối kỳ],
Table_TonKho[Kỳ] = DATE(J$1,12,1)
)),
IFERROR(
SUM(
_xlfn._xlws.FILTER(Table_TonKho[Giá trị cuối kỳ],
Table_TonKho[Kỳ] = MAX(Table_TonKho[Kỳ])
)),
0)
)</f>
        <v>48256476.901479587</v>
      </c>
      <c r="K87" s="363" cm="1">
        <f t="array" ref="K87">IFERROR(
SUM(
_xlfn._xlws.FILTER(Table_TonKho[Giá trị cuối kỳ],
Table_TonKho[Kỳ] = DATE(K$1,12,1)
)),
IFERROR(
SUM(
_xlfn._xlws.FILTER(Table_TonKho[Giá trị cuối kỳ],
Table_TonKho[Kỳ] = MAX(Table_TonKho[Kỳ])
)),
0)
)</f>
        <v>48256476.901479587</v>
      </c>
      <c r="L87" s="242"/>
      <c r="M87" s="365" t="s">
        <v>448</v>
      </c>
      <c r="N87" s="72" t="s">
        <v>449</v>
      </c>
      <c r="O87" s="363" cm="1">
        <f t="array" ref="O87" xml:space="preserve">
IFERROR(
SUM(_xlfn._xlws.FILTER(Table_TonKho[Giá trị cuối kỳ],
Table_TonKho[Kỳ] = O$1)), 0)</f>
        <v>0</v>
      </c>
      <c r="P87" s="363" cm="1">
        <f t="array" ref="P87" xml:space="preserve">
IFERROR(
SUM(_xlfn._xlws.FILTER(Table_TonKho[Giá trị cuối kỳ],
Table_TonKho[Kỳ] = P$1)), 0)</f>
        <v>0</v>
      </c>
      <c r="Q87" s="265"/>
      <c r="R87" s="265"/>
      <c r="S87" s="265"/>
      <c r="T87" s="265"/>
      <c r="U87" s="265"/>
      <c r="V87" s="265"/>
      <c r="W87" s="265"/>
      <c r="X87" s="265"/>
      <c r="Y87" s="265"/>
      <c r="Z87" s="265"/>
      <c r="AA87" s="265"/>
      <c r="AB87" s="265"/>
      <c r="AC87" s="265"/>
      <c r="AD87" s="265"/>
      <c r="AE87" s="265"/>
      <c r="AF87" s="265"/>
      <c r="AG87" s="265"/>
      <c r="AH87" s="265"/>
      <c r="AI87" s="265"/>
      <c r="AJ87" s="265"/>
      <c r="AK87" s="265"/>
      <c r="AL87" s="265"/>
      <c r="AM87" s="244"/>
    </row>
    <row r="88" spans="1:39" ht="18" customHeight="1" outlineLevel="3" x14ac:dyDescent="0.15">
      <c r="A88" s="242">
        <f t="shared" si="1"/>
        <v>85</v>
      </c>
      <c r="B88" s="365" t="s">
        <v>450</v>
      </c>
      <c r="C88" s="72" t="s">
        <v>451</v>
      </c>
      <c r="D88" s="371">
        <v>0</v>
      </c>
      <c r="E88" s="363" cm="1">
        <f t="array" ref="E88" xml:space="preserve">
-IF(BCTC_Thang = 1,
IFERROR(
SUM(_xlfn._xlws.FILTER(Table_TonKho[Dự phòng lũy kế],
(Table_TonKho[Kỳ]= DATE(BCTC_Nam-1, 12, 1))
)),0),
IFERROR(
SUM(_xlfn._xlws.FILTER(Table_TonKho[Dự phòng lũy kế],
(Table_TonKho[Kỳ]= DATE(BCTC_Nam, BCTC_Thang -1, 1))
)),0))</f>
        <v>0</v>
      </c>
      <c r="F88" s="363" cm="1">
        <f t="array" ref="F88" xml:space="preserve">
-IFERROR(
SUM(_xlfn._xlws.FILTER(Table_TonKho[Dự phòng lũy kế],
(Table_TonKho[Kỳ]= DATE(BCTC_Nam, BCTC_Thang, 1))
)),0)</f>
        <v>0</v>
      </c>
      <c r="G88" s="242"/>
      <c r="H88" s="365" t="s">
        <v>450</v>
      </c>
      <c r="I88" s="72" t="s">
        <v>451</v>
      </c>
      <c r="J88" s="363" cm="1">
        <f t="array" ref="J88">-IFERROR(
SUM(
_xlfn._xlws.FILTER(Table_TonKho[Dự phòng lũy kế],
(Table_TonKho[Kỳ]= DATE(J$1,12,1))
)),
-IFERROR(
SUM(
_xlfn._xlws.FILTER(Table_TonKho[Dự phòng lũy kế],
(Table_TonKho[Kỳ]= MAX(Table_TonKho[Kỳ]))
)),
0)
)</f>
        <v>3721073.420093975</v>
      </c>
      <c r="K88" s="363" cm="1">
        <f t="array" ref="K88">-IFERROR(
SUM(
_xlfn._xlws.FILTER(Table_TonKho[Dự phòng lũy kế],
(Table_TonKho[Kỳ]= DATE(K$1,12,1))
)),
-IFERROR(
SUM(
_xlfn._xlws.FILTER(Table_TonKho[Dự phòng lũy kế],
(Table_TonKho[Kỳ]= MAX(Table_TonKho[Kỳ]))
)),
0)
)</f>
        <v>3721073.420093975</v>
      </c>
      <c r="L88" s="242"/>
      <c r="M88" s="365" t="s">
        <v>450</v>
      </c>
      <c r="N88" s="72" t="s">
        <v>451</v>
      </c>
      <c r="O88" s="363" cm="1">
        <f t="array" ref="O88" xml:space="preserve">
-IFERROR(
SUM(_xlfn._xlws.FILTER(Table_TonKho[Dự phòng lũy kế],
(Table_TonKho[Kỳ]= O$1)
)),0)</f>
        <v>0</v>
      </c>
      <c r="P88" s="363" cm="1">
        <f t="array" ref="P88" xml:space="preserve">
-IFERROR(
SUM(_xlfn._xlws.FILTER(Table_TonKho[Dự phòng lũy kế],
(Table_TonKho[Kỳ]= P$1)
)),0)</f>
        <v>0</v>
      </c>
      <c r="Q88" s="265"/>
      <c r="R88" s="265"/>
      <c r="S88" s="265"/>
      <c r="T88" s="265"/>
      <c r="U88" s="265"/>
      <c r="V88" s="265"/>
      <c r="W88" s="265"/>
      <c r="X88" s="265"/>
      <c r="Y88" s="265"/>
      <c r="Z88" s="265"/>
      <c r="AA88" s="265"/>
      <c r="AB88" s="265"/>
      <c r="AC88" s="265"/>
      <c r="AD88" s="265"/>
      <c r="AE88" s="265"/>
      <c r="AF88" s="265"/>
      <c r="AG88" s="265"/>
      <c r="AH88" s="265"/>
      <c r="AI88" s="265"/>
      <c r="AJ88" s="265"/>
      <c r="AK88" s="265"/>
      <c r="AL88" s="265"/>
      <c r="AM88" s="244"/>
    </row>
    <row r="89" spans="1:39" ht="18" customHeight="1" outlineLevel="2" x14ac:dyDescent="0.15">
      <c r="A89" s="242">
        <f t="shared" si="1"/>
        <v>86</v>
      </c>
      <c r="B89" s="259">
        <v>150</v>
      </c>
      <c r="C89" s="73" t="s">
        <v>452</v>
      </c>
      <c r="D89" s="244">
        <v>0</v>
      </c>
      <c r="E89" s="244"/>
      <c r="F89" s="244"/>
      <c r="G89" s="242"/>
      <c r="H89" s="259">
        <v>150</v>
      </c>
      <c r="I89" s="73" t="s">
        <v>452</v>
      </c>
      <c r="J89" s="244"/>
      <c r="K89" s="244"/>
      <c r="L89" s="242"/>
      <c r="M89" s="259">
        <v>150</v>
      </c>
      <c r="N89" s="73" t="s">
        <v>452</v>
      </c>
      <c r="O89" s="244"/>
      <c r="P89" s="244"/>
      <c r="Q89" s="265"/>
      <c r="R89" s="265"/>
      <c r="S89" s="265"/>
      <c r="T89" s="265"/>
      <c r="U89" s="265"/>
      <c r="V89" s="265"/>
      <c r="W89" s="265"/>
      <c r="X89" s="265"/>
      <c r="Y89" s="265"/>
      <c r="Z89" s="265"/>
      <c r="AA89" s="265"/>
      <c r="AB89" s="265"/>
      <c r="AC89" s="265"/>
      <c r="AD89" s="265"/>
      <c r="AE89" s="265"/>
      <c r="AF89" s="265"/>
      <c r="AG89" s="265"/>
      <c r="AH89" s="265"/>
      <c r="AI89" s="265"/>
      <c r="AJ89" s="265"/>
      <c r="AK89" s="265"/>
      <c r="AL89" s="265"/>
      <c r="AM89" s="244"/>
    </row>
    <row r="90" spans="1:39" ht="18" customHeight="1" outlineLevel="1" x14ac:dyDescent="0.15">
      <c r="A90" s="242">
        <f t="shared" si="1"/>
        <v>87</v>
      </c>
      <c r="B90" s="372">
        <v>200</v>
      </c>
      <c r="C90" s="77" t="s">
        <v>453</v>
      </c>
      <c r="D90" s="373">
        <f>+D100+D99+D98+D95+D91</f>
        <v>8658472222.2222214</v>
      </c>
      <c r="E90" s="373">
        <f>+E100+E99+E98+E95+E91</f>
        <v>0</v>
      </c>
      <c r="F90" s="373">
        <f>+F100+F99+F98+F95+F91</f>
        <v>0</v>
      </c>
      <c r="G90" s="242"/>
      <c r="H90" s="372">
        <v>200</v>
      </c>
      <c r="I90" s="77" t="s">
        <v>453</v>
      </c>
      <c r="J90" s="373">
        <f>+J100+J99+J98+J95+J91</f>
        <v>0</v>
      </c>
      <c r="K90" s="373">
        <f>+K100+K99+K98+K95+K91</f>
        <v>0</v>
      </c>
      <c r="L90" s="242"/>
      <c r="M90" s="372">
        <v>200</v>
      </c>
      <c r="N90" s="77" t="s">
        <v>453</v>
      </c>
      <c r="O90" s="373">
        <f>+O100+O99+O98+O95+O91</f>
        <v>0</v>
      </c>
      <c r="P90" s="373">
        <f>+P100+P99+P98+P95+P91</f>
        <v>0</v>
      </c>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44"/>
    </row>
    <row r="91" spans="1:39" ht="18" customHeight="1" outlineLevel="2" x14ac:dyDescent="0.15">
      <c r="A91" s="242">
        <f t="shared" si="1"/>
        <v>88</v>
      </c>
      <c r="B91" s="259">
        <v>210</v>
      </c>
      <c r="C91" s="73" t="s">
        <v>454</v>
      </c>
      <c r="D91" s="244">
        <f>+SUM(D92:D94)</f>
        <v>0</v>
      </c>
      <c r="E91" s="244">
        <f>+SUM(E92:E94)</f>
        <v>0</v>
      </c>
      <c r="F91" s="244">
        <f>+SUM(F92:F94)</f>
        <v>0</v>
      </c>
      <c r="G91" s="242"/>
      <c r="H91" s="259">
        <v>210</v>
      </c>
      <c r="I91" s="73" t="s">
        <v>454</v>
      </c>
      <c r="J91" s="244">
        <f>+SUM(J92:J94)</f>
        <v>0</v>
      </c>
      <c r="K91" s="244">
        <f>+SUM(K92:K94)</f>
        <v>0</v>
      </c>
      <c r="L91" s="242"/>
      <c r="M91" s="259">
        <v>210</v>
      </c>
      <c r="N91" s="73" t="s">
        <v>454</v>
      </c>
      <c r="O91" s="244">
        <f>+SUM(O92:O94)</f>
        <v>0</v>
      </c>
      <c r="P91" s="244">
        <f>+SUM(P92:P94)</f>
        <v>0</v>
      </c>
      <c r="Q91" s="265"/>
      <c r="R91" s="265"/>
      <c r="S91" s="265"/>
      <c r="T91" s="265"/>
      <c r="U91" s="265"/>
      <c r="V91" s="265"/>
      <c r="W91" s="265"/>
      <c r="X91" s="265"/>
      <c r="Y91" s="265"/>
      <c r="Z91" s="265"/>
      <c r="AA91" s="265"/>
      <c r="AB91" s="265"/>
      <c r="AC91" s="265"/>
      <c r="AD91" s="265"/>
      <c r="AE91" s="265"/>
      <c r="AF91" s="265"/>
      <c r="AG91" s="265"/>
      <c r="AH91" s="265"/>
      <c r="AI91" s="265"/>
      <c r="AJ91" s="265"/>
      <c r="AK91" s="265"/>
      <c r="AL91" s="265"/>
      <c r="AM91" s="244"/>
    </row>
    <row r="92" spans="1:39" ht="18" customHeight="1" outlineLevel="3" x14ac:dyDescent="0.15">
      <c r="A92" s="242">
        <f t="shared" si="1"/>
        <v>89</v>
      </c>
      <c r="B92" s="365">
        <v>211</v>
      </c>
      <c r="C92" s="72" t="s">
        <v>455</v>
      </c>
      <c r="D92" s="362">
        <f>Sheet_PhaiThu!D3</f>
        <v>0</v>
      </c>
      <c r="E92" s="362">
        <f xml:space="preserve">
IFERROR(
IF(BCTC_Thang = 1,
HLOOKUP(
DATE(BCTC_Nam-1,12,1),Sheet_PhaiThu!$C$1:$XFD$5,Sheet_PhaiThu!$B$3,0
),
HLOOKUP(
DATE(BCTC_Nam,BCTC_Thang-1,1),Sheet_PhaiThu!$C$1:$XFD$5,Sheet_PhaiThu!$B$3,0
)),0)</f>
        <v>0</v>
      </c>
      <c r="F92" s="371">
        <f xml:space="preserve">
IFERROR(
HLOOKUP(
DATE(BCTC_Nam,BCTC_Thang,1),Sheet_PhaiThu!$C$1:$XFD$5,Sheet_PhaiThu!$B$3,0
),0)</f>
        <v>0</v>
      </c>
      <c r="G92" s="242"/>
      <c r="H92" s="365">
        <v>211</v>
      </c>
      <c r="I92" s="72" t="s">
        <v>455</v>
      </c>
      <c r="J92" s="362">
        <f>IFERROR(
HLOOKUP(
DATE(J$1,12,1),
Sheet_PhaiThu!$C$1:$XFD$5,Sheet_PhaiThu!$B$3,0
),
IFERROR(
HLOOKUP(
MAX(Sheet_PhaiThu!$D$1:$XFD$1),
Sheet_PhaiThu!$C$1:$XFD$5,Sheet_PhaiThu!$B$3,0
),
0))</f>
        <v>0</v>
      </c>
      <c r="K92" s="362">
        <f>IFERROR(
HLOOKUP(
DATE(K$1,12,1),
Sheet_PhaiThu!$C$1:$XFD$5,Sheet_PhaiThu!$B$3,0
),
IFERROR(
HLOOKUP(
MAX(Sheet_PhaiThu!$D$1:$XFD$1),
Sheet_PhaiThu!$C$1:$XFD$5,Sheet_PhaiThu!$B$3,0
),
0))</f>
        <v>0</v>
      </c>
      <c r="L92" s="242"/>
      <c r="M92" s="365">
        <v>211</v>
      </c>
      <c r="N92" s="72" t="s">
        <v>455</v>
      </c>
      <c r="O92" s="371">
        <f>IFERROR(
HLOOKUP(
O$1,Sheet_PhaiThu!$C$1:$XFD$5,Sheet_PhaiThu!$B$3,0
),0)</f>
        <v>0</v>
      </c>
      <c r="P92" s="371">
        <f>IFERROR(
HLOOKUP(
P$1,Sheet_PhaiThu!$C$1:$XFD$5,Sheet_PhaiThu!$B$3,0
),0)</f>
        <v>0</v>
      </c>
      <c r="Q92" s="265"/>
      <c r="R92" s="265"/>
      <c r="S92" s="265"/>
      <c r="T92" s="265"/>
      <c r="U92" s="265"/>
      <c r="V92" s="265"/>
      <c r="W92" s="265"/>
      <c r="X92" s="265"/>
      <c r="Y92" s="265"/>
      <c r="Z92" s="265"/>
      <c r="AA92" s="265"/>
      <c r="AB92" s="265"/>
      <c r="AC92" s="265"/>
      <c r="AD92" s="265"/>
      <c r="AE92" s="265"/>
      <c r="AF92" s="265"/>
      <c r="AG92" s="265"/>
      <c r="AH92" s="265"/>
      <c r="AI92" s="265"/>
      <c r="AJ92" s="265"/>
      <c r="AK92" s="265"/>
      <c r="AL92" s="265"/>
      <c r="AM92" s="244"/>
    </row>
    <row r="93" spans="1:39" ht="18" customHeight="1" outlineLevel="3" x14ac:dyDescent="0.15">
      <c r="A93" s="242">
        <f t="shared" si="1"/>
        <v>90</v>
      </c>
      <c r="B93" s="365">
        <v>212</v>
      </c>
      <c r="C93" s="72" t="s">
        <v>456</v>
      </c>
      <c r="D93" s="362">
        <f>Sheet_PhaiTra!D5</f>
        <v>0</v>
      </c>
      <c r="E93" s="362">
        <f xml:space="preserve">
IFERROR(
IF(BCTC_Thang = 1,
HLOOKUP(
DATE(BCTC_Nam-1,12,1),Sheet_PhaiTra!$B$1:$XFD$9,Sheet_PhaiTra!$A$5,0
),
HLOOKUP(
DATE(BCTC_Nam,BCTC_Thang-1,1),Sheet_PhaiTra!$B$1:$XFD$9,Sheet_PhaiTra!$A$5,0
)),0)</f>
        <v>0</v>
      </c>
      <c r="F93" s="371">
        <f>IFERROR(
HLOOKUP(
DATE(BCTC_Nam,BCTC_Thang,1),Sheet_PhaiTra!$B$1:$XFD$9,Sheet_PhaiTra!$A$5,0
),0)</f>
        <v>0</v>
      </c>
      <c r="G93" s="242"/>
      <c r="H93" s="365">
        <v>212</v>
      </c>
      <c r="I93" s="72" t="s">
        <v>456</v>
      </c>
      <c r="J93" s="362">
        <f>IFERROR(
HLOOKUP(
DATE(J$1,12,1),
Sheet_PhaiTra!$B$1:$XFD$9,Sheet_PhaiTra!$A$5,0
),
IFERROR(
HLOOKUP(
MAX(Sheet_PhaiTra!$D$1:$XFD$1),
Sheet_PhaiTra!$B$1:$XFD$9,Sheet_PhaiTra!$A$5,0
),
0))</f>
        <v>0</v>
      </c>
      <c r="K93" s="362">
        <f>IFERROR(
HLOOKUP(
DATE(K$1,12,1),
Sheet_PhaiTra!$B$1:$XFD$9,Sheet_PhaiTra!$A$5,0
),
IFERROR(
HLOOKUP(
MAX(Sheet_PhaiTra!$D$1:$XFD$1),
Sheet_PhaiTra!$B$1:$XFD$9,Sheet_PhaiTra!$A$5,0
),
0))</f>
        <v>0</v>
      </c>
      <c r="L93" s="242"/>
      <c r="M93" s="365">
        <v>212</v>
      </c>
      <c r="N93" s="72" t="s">
        <v>456</v>
      </c>
      <c r="O93" s="371">
        <f xml:space="preserve">
IFERROR(
HLOOKUP(
O$1,Sheet_PhaiTra!$B$1:$XFD$9,Sheet_PhaiTra!$A$5,0
),0)</f>
        <v>0</v>
      </c>
      <c r="P93" s="371">
        <f xml:space="preserve">
IFERROR(
HLOOKUP(
P$1,Sheet_PhaiTra!$B$1:$XFD$9,Sheet_PhaiTra!$A$5,0
),0)</f>
        <v>0</v>
      </c>
      <c r="Q93" s="265"/>
      <c r="R93" s="265"/>
      <c r="S93" s="265"/>
      <c r="T93" s="265"/>
      <c r="U93" s="265"/>
      <c r="V93" s="265"/>
      <c r="W93" s="265"/>
      <c r="X93" s="265"/>
      <c r="Y93" s="265"/>
      <c r="Z93" s="265"/>
      <c r="AA93" s="265"/>
      <c r="AB93" s="265"/>
      <c r="AC93" s="265"/>
      <c r="AD93" s="265"/>
      <c r="AE93" s="265"/>
      <c r="AF93" s="265"/>
      <c r="AG93" s="265"/>
      <c r="AH93" s="265"/>
      <c r="AI93" s="265"/>
      <c r="AJ93" s="265"/>
      <c r="AK93" s="265"/>
      <c r="AL93" s="265"/>
      <c r="AM93" s="244"/>
    </row>
    <row r="94" spans="1:39" ht="18" customHeight="1" outlineLevel="3" x14ac:dyDescent="0.15">
      <c r="A94" s="242">
        <f t="shared" si="1"/>
        <v>91</v>
      </c>
      <c r="B94" s="365">
        <v>214</v>
      </c>
      <c r="C94" s="72" t="s">
        <v>457</v>
      </c>
      <c r="D94" s="362">
        <f>Sheet_PhaiTra!D9</f>
        <v>0</v>
      </c>
      <c r="E94" s="362">
        <f xml:space="preserve">
IFERROR(
IF(BCTC_Thang = 1,
HLOOKUP(
DATE(BCTC_Nam-1,12,1),Sheet_PhaiTra!$B$1:$XFD$9,Sheet_PhaiTra!$A$9,0
),
HLOOKUP(
DATE(BCTC_Nam,BCTC_Thang-1,1),Sheet_PhaiTra!$B$1:$XFD$9,Sheet_PhaiTra!$A$9,0
)),0)</f>
        <v>0</v>
      </c>
      <c r="F94" s="371">
        <f>IFERROR(HLOOKUP(
DATE(BCTC_Nam,BCTC_Thang,1),Sheet_PhaiTra!$B$1:$XFD$9,Sheet_PhaiTra!$A$9,0
),0)</f>
        <v>0</v>
      </c>
      <c r="G94" s="242"/>
      <c r="H94" s="365">
        <v>214</v>
      </c>
      <c r="I94" s="72" t="s">
        <v>457</v>
      </c>
      <c r="J94" s="362">
        <f>IFERROR(
HLOOKUP(
DATE(J$1,12,1),
Sheet_PhaiTra!$B$1:$XFD$9,Sheet_PhaiTra!$A$9,0
),
IFERROR(
HLOOKUP(
MAX(Sheet_PhaiTra!$D$1:$XFD$1),
Sheet_PhaiTra!$B$1:$XFD$9,Sheet_PhaiTra!$A$9,0
),
0))</f>
        <v>0</v>
      </c>
      <c r="K94" s="362">
        <f>IFERROR(
HLOOKUP(
DATE(K$1,12,1),
Sheet_PhaiTra!$B$1:$XFD$9,Sheet_PhaiTra!$A$9,0
),
IFERROR(
HLOOKUP(
MAX(Sheet_PhaiTra!$D$1:$XFD$1),
Sheet_PhaiTra!$B$1:$XFD$9,Sheet_PhaiTra!$A$9,0
),
0))</f>
        <v>0</v>
      </c>
      <c r="L94" s="242"/>
      <c r="M94" s="365">
        <v>214</v>
      </c>
      <c r="N94" s="72" t="s">
        <v>457</v>
      </c>
      <c r="O94" s="371">
        <f xml:space="preserve">
IFERROR(
HLOOKUP(
O$1,Sheet_PhaiTra!$B$1:$XFD$9,Sheet_PhaiTra!$A$9,0
),0)</f>
        <v>0</v>
      </c>
      <c r="P94" s="371">
        <f xml:space="preserve">
IFERROR(
HLOOKUP(
P$1,Sheet_PhaiTra!$B$1:$XFD$9,Sheet_PhaiTra!$A$9,0
),0)</f>
        <v>0</v>
      </c>
      <c r="Q94" s="265"/>
      <c r="R94" s="265"/>
      <c r="S94" s="265"/>
      <c r="T94" s="265"/>
      <c r="U94" s="265"/>
      <c r="V94" s="265"/>
      <c r="W94" s="265"/>
      <c r="X94" s="265"/>
      <c r="Y94" s="265"/>
      <c r="Z94" s="265"/>
      <c r="AA94" s="265"/>
      <c r="AB94" s="265"/>
      <c r="AC94" s="265"/>
      <c r="AD94" s="265"/>
      <c r="AE94" s="265"/>
      <c r="AF94" s="265"/>
      <c r="AG94" s="265"/>
      <c r="AH94" s="265"/>
      <c r="AI94" s="265"/>
      <c r="AJ94" s="265"/>
      <c r="AK94" s="265"/>
      <c r="AL94" s="265"/>
      <c r="AM94" s="244"/>
    </row>
    <row r="95" spans="1:39" ht="18" customHeight="1" outlineLevel="2" x14ac:dyDescent="0.15">
      <c r="A95" s="242">
        <f t="shared" si="1"/>
        <v>92</v>
      </c>
      <c r="B95" s="259">
        <v>220</v>
      </c>
      <c r="C95" s="73" t="s">
        <v>458</v>
      </c>
      <c r="D95" s="244">
        <f>+SUM(D96:D97)</f>
        <v>8658472222.2222214</v>
      </c>
      <c r="E95" s="244">
        <f>+SUM(E96:E97)</f>
        <v>0</v>
      </c>
      <c r="F95" s="244">
        <f>+SUM(F96:F97)</f>
        <v>0</v>
      </c>
      <c r="G95" s="242"/>
      <c r="H95" s="259">
        <v>220</v>
      </c>
      <c r="I95" s="73" t="s">
        <v>458</v>
      </c>
      <c r="J95" s="244">
        <f>+SUM(J96:J97)</f>
        <v>0</v>
      </c>
      <c r="K95" s="244">
        <f>+SUM(K96:K97)</f>
        <v>0</v>
      </c>
      <c r="L95" s="242"/>
      <c r="M95" s="259">
        <v>220</v>
      </c>
      <c r="N95" s="73" t="s">
        <v>458</v>
      </c>
      <c r="O95" s="244">
        <f>+SUM(O96:O97)</f>
        <v>0</v>
      </c>
      <c r="P95" s="244">
        <f>+SUM(P96:P97)</f>
        <v>0</v>
      </c>
      <c r="Q95" s="265"/>
      <c r="R95" s="265"/>
      <c r="S95" s="265"/>
      <c r="T95" s="265"/>
      <c r="U95" s="265"/>
      <c r="V95" s="265"/>
      <c r="W95" s="265"/>
      <c r="X95" s="265"/>
      <c r="Y95" s="265"/>
      <c r="Z95" s="265"/>
      <c r="AA95" s="265"/>
      <c r="AB95" s="265"/>
      <c r="AC95" s="265"/>
      <c r="AD95" s="265"/>
      <c r="AE95" s="265"/>
      <c r="AF95" s="265"/>
      <c r="AG95" s="265"/>
      <c r="AH95" s="265"/>
      <c r="AI95" s="265"/>
      <c r="AJ95" s="265"/>
      <c r="AK95" s="265"/>
      <c r="AL95" s="265"/>
      <c r="AM95" s="244"/>
    </row>
    <row r="96" spans="1:39" ht="18" customHeight="1" outlineLevel="3" x14ac:dyDescent="0.15">
      <c r="A96" s="242">
        <f t="shared" si="1"/>
        <v>93</v>
      </c>
      <c r="B96" s="365">
        <v>222</v>
      </c>
      <c r="C96" s="72" t="s">
        <v>900</v>
      </c>
      <c r="D96" s="362" cm="1">
        <f t="array" ref="D96"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6" s="362" cm="1">
        <f t="array" ref="E96"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6" s="371" cm="1">
        <f t="array" ref="F96"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6" s="242"/>
      <c r="H96" s="365">
        <v>222</v>
      </c>
      <c r="I96" s="72" t="s">
        <v>900</v>
      </c>
      <c r="J96" s="362" cm="1">
        <f t="array" ref="J96"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6" s="362" cm="1">
        <f t="array" ref="K96"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6" s="242"/>
      <c r="M96" s="365">
        <v>222</v>
      </c>
      <c r="N96" s="72" t="s">
        <v>900</v>
      </c>
      <c r="O96" s="371" cm="1">
        <f t="array" ref="O96"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6" s="371" cm="1">
        <f t="array" ref="P96"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6" s="265"/>
      <c r="R96" s="265"/>
      <c r="S96" s="265"/>
      <c r="T96" s="265"/>
      <c r="U96" s="265"/>
      <c r="V96" s="265"/>
      <c r="W96" s="265"/>
      <c r="X96" s="265"/>
      <c r="Y96" s="265"/>
      <c r="Z96" s="265"/>
      <c r="AA96" s="265"/>
      <c r="AB96" s="265"/>
      <c r="AC96" s="265"/>
      <c r="AD96" s="265"/>
      <c r="AE96" s="265"/>
      <c r="AF96" s="265"/>
      <c r="AG96" s="265"/>
      <c r="AH96" s="265"/>
      <c r="AI96" s="265"/>
      <c r="AJ96" s="265"/>
      <c r="AK96" s="265"/>
      <c r="AL96" s="265"/>
      <c r="AM96" s="244"/>
    </row>
    <row r="97" spans="1:39" ht="18" customHeight="1" outlineLevel="3" x14ac:dyDescent="0.15">
      <c r="A97" s="242">
        <f t="shared" si="1"/>
        <v>94</v>
      </c>
      <c r="B97" s="365">
        <v>223</v>
      </c>
      <c r="C97" s="72" t="s">
        <v>459</v>
      </c>
      <c r="D97" s="362" cm="1">
        <f t="array" ref="D97"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7" s="362" cm="1">
        <f t="array" ref="E97"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7" s="371" cm="1">
        <f t="array" ref="F97"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7" s="242"/>
      <c r="H97" s="365">
        <v>223</v>
      </c>
      <c r="I97" s="72" t="s">
        <v>459</v>
      </c>
      <c r="J97" s="362" cm="1">
        <f t="array" ref="J97"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7" s="362" cm="1">
        <f t="array" ref="K97"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7" s="242"/>
      <c r="M97" s="365">
        <v>223</v>
      </c>
      <c r="N97" s="72" t="s">
        <v>459</v>
      </c>
      <c r="O97" s="371" cm="1">
        <f t="array" ref="O97"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7" s="371" cm="1">
        <f t="array" ref="P97"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7" s="265"/>
      <c r="R97" s="265"/>
      <c r="S97" s="265"/>
      <c r="T97" s="265"/>
      <c r="U97" s="265"/>
      <c r="V97" s="265"/>
      <c r="W97" s="265"/>
      <c r="X97" s="265"/>
      <c r="Y97" s="265"/>
      <c r="Z97" s="265"/>
      <c r="AA97" s="265"/>
      <c r="AB97" s="265"/>
      <c r="AC97" s="265"/>
      <c r="AD97" s="265"/>
      <c r="AE97" s="265"/>
      <c r="AF97" s="265"/>
      <c r="AG97" s="265"/>
      <c r="AH97" s="265"/>
      <c r="AI97" s="265"/>
      <c r="AJ97" s="265"/>
      <c r="AK97" s="265"/>
      <c r="AL97" s="265"/>
      <c r="AM97" s="244"/>
    </row>
    <row r="98" spans="1:39" ht="18" customHeight="1" outlineLevel="2" x14ac:dyDescent="0.15">
      <c r="A98" s="242">
        <f t="shared" si="1"/>
        <v>95</v>
      </c>
      <c r="B98" s="259">
        <v>240</v>
      </c>
      <c r="C98" s="73" t="s">
        <v>460</v>
      </c>
      <c r="D98" s="244" cm="1">
        <f t="array" ref="D98">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8" s="312" cm="1">
        <f t="array" ref="E98"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8" s="244" cm="1">
        <f t="array" ref="F98">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8" s="242"/>
      <c r="H98" s="259">
        <v>240</v>
      </c>
      <c r="I98" s="73" t="s">
        <v>460</v>
      </c>
      <c r="J98" s="312" cm="1">
        <f t="array" ref="J98">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8" s="312" cm="1">
        <f t="array" ref="K98">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8" s="242"/>
      <c r="M98" s="259">
        <v>240</v>
      </c>
      <c r="N98" s="73" t="s">
        <v>460</v>
      </c>
      <c r="O98" s="244" cm="1">
        <f t="array" ref="O98">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8" s="244" cm="1">
        <f t="array" ref="P98">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8" s="265"/>
      <c r="R98" s="265"/>
      <c r="S98" s="265"/>
      <c r="T98" s="265"/>
      <c r="U98" s="265"/>
      <c r="V98" s="265"/>
      <c r="W98" s="265"/>
      <c r="X98" s="265"/>
      <c r="Y98" s="265"/>
      <c r="Z98" s="265"/>
      <c r="AA98" s="265"/>
      <c r="AB98" s="265"/>
      <c r="AC98" s="265"/>
      <c r="AD98" s="265"/>
      <c r="AE98" s="265"/>
      <c r="AF98" s="265"/>
      <c r="AG98" s="265"/>
      <c r="AH98" s="265"/>
      <c r="AI98" s="265"/>
      <c r="AJ98" s="265"/>
      <c r="AK98" s="265"/>
      <c r="AL98" s="265"/>
      <c r="AM98" s="244"/>
    </row>
    <row r="99" spans="1:39" ht="18" customHeight="1" outlineLevel="2" x14ac:dyDescent="0.15">
      <c r="A99" s="242">
        <f t="shared" si="1"/>
        <v>96</v>
      </c>
      <c r="B99" s="259">
        <v>250</v>
      </c>
      <c r="C99" s="78" t="s">
        <v>461</v>
      </c>
      <c r="D99" s="244" cm="1">
        <f t="array" ref="D99">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9" s="312" cm="1">
        <f t="array" ref="E99">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9" s="358" cm="1">
        <f t="array" ref="F99">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9" s="242"/>
      <c r="H99" s="359">
        <v>250</v>
      </c>
      <c r="I99" s="78" t="s">
        <v>461</v>
      </c>
      <c r="J99" s="312" cm="1">
        <f t="array" ref="J99">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9" s="312" cm="1">
        <f t="array" ref="K99">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9" s="242"/>
      <c r="M99" s="259">
        <v>250</v>
      </c>
      <c r="N99" s="73" t="s">
        <v>461</v>
      </c>
      <c r="O99" s="358" cm="1">
        <f t="array" ref="O99">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9" s="358" cm="1">
        <f t="array" ref="P99">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9" s="265"/>
      <c r="R99" s="381"/>
      <c r="S99" s="265"/>
      <c r="T99" s="265"/>
      <c r="U99" s="265"/>
      <c r="V99" s="265"/>
      <c r="W99" s="265"/>
      <c r="X99" s="265"/>
      <c r="Y99" s="265"/>
      <c r="Z99" s="265"/>
      <c r="AA99" s="265"/>
      <c r="AB99" s="265"/>
      <c r="AC99" s="265"/>
      <c r="AD99" s="265"/>
      <c r="AE99" s="265"/>
      <c r="AF99" s="265"/>
      <c r="AG99" s="265"/>
      <c r="AH99" s="265"/>
      <c r="AI99" s="265"/>
      <c r="AJ99" s="265"/>
      <c r="AK99" s="265"/>
      <c r="AL99" s="265"/>
      <c r="AM99" s="244"/>
    </row>
    <row r="100" spans="1:39" ht="18" customHeight="1" outlineLevel="2" x14ac:dyDescent="0.15">
      <c r="A100" s="242">
        <f t="shared" si="1"/>
        <v>97</v>
      </c>
      <c r="B100" s="259">
        <v>260</v>
      </c>
      <c r="C100" s="78" t="s">
        <v>462</v>
      </c>
      <c r="D100" s="244">
        <v>0</v>
      </c>
      <c r="E100" s="358">
        <f>+Table_BCTC[[#This Row],[Đầu kỳ]]</f>
        <v>0</v>
      </c>
      <c r="F100" s="358">
        <f>+Table_BCTC[[#This Row],[Đầu kỳ]]</f>
        <v>0</v>
      </c>
      <c r="G100" s="242"/>
      <c r="H100" s="359">
        <v>260</v>
      </c>
      <c r="I100" s="78" t="s">
        <v>462</v>
      </c>
      <c r="J100" s="358"/>
      <c r="K100" s="358"/>
      <c r="L100" s="242"/>
      <c r="M100" s="259">
        <v>260</v>
      </c>
      <c r="N100" s="73" t="s">
        <v>462</v>
      </c>
      <c r="O100" s="358"/>
      <c r="P100" s="358"/>
      <c r="Q100" s="265"/>
      <c r="R100" s="265"/>
      <c r="S100" s="265"/>
      <c r="T100" s="265"/>
      <c r="U100" s="265"/>
      <c r="V100" s="265"/>
      <c r="W100" s="265"/>
      <c r="X100" s="265"/>
      <c r="Y100" s="265"/>
      <c r="Z100" s="265"/>
      <c r="AA100" s="265"/>
      <c r="AB100" s="265"/>
      <c r="AC100" s="265"/>
      <c r="AD100" s="265"/>
      <c r="AE100" s="265"/>
      <c r="AF100" s="265"/>
      <c r="AG100" s="265"/>
      <c r="AH100" s="265"/>
      <c r="AI100" s="265"/>
      <c r="AJ100" s="265"/>
      <c r="AK100" s="265"/>
      <c r="AL100" s="265"/>
      <c r="AM100" s="244"/>
    </row>
    <row r="101" spans="1:39" ht="18" customHeight="1" outlineLevel="1" x14ac:dyDescent="0.15">
      <c r="A101" s="242">
        <f t="shared" si="1"/>
        <v>98</v>
      </c>
      <c r="B101" s="372">
        <v>300</v>
      </c>
      <c r="C101" s="77" t="s">
        <v>463</v>
      </c>
      <c r="D101" s="373">
        <f>+D109+D102</f>
        <v>4050000000</v>
      </c>
      <c r="E101" s="373">
        <f>+E109+E102</f>
        <v>4050000000</v>
      </c>
      <c r="F101" s="373">
        <f>+F109+F102</f>
        <v>4050000000</v>
      </c>
      <c r="G101" s="242"/>
      <c r="H101" s="372">
        <v>300</v>
      </c>
      <c r="I101" s="77" t="s">
        <v>463</v>
      </c>
      <c r="J101" s="373">
        <f>+J109+J102</f>
        <v>717896812.66666663</v>
      </c>
      <c r="K101" s="373">
        <f>+K109+K102</f>
        <v>717896812.66666663</v>
      </c>
      <c r="L101" s="242"/>
      <c r="M101" s="372">
        <v>300</v>
      </c>
      <c r="N101" s="77" t="s">
        <v>463</v>
      </c>
      <c r="O101" s="373">
        <f>+O109+O102</f>
        <v>716666666.66666663</v>
      </c>
      <c r="P101" s="373">
        <f>+P109+P102</f>
        <v>716666666.66666663</v>
      </c>
      <c r="Q101" s="265"/>
      <c r="R101" s="265"/>
      <c r="S101" s="265"/>
      <c r="T101" s="265"/>
      <c r="U101" s="265"/>
      <c r="V101" s="265"/>
      <c r="W101" s="265"/>
      <c r="X101" s="265"/>
      <c r="Y101" s="265"/>
      <c r="Z101" s="265"/>
      <c r="AA101" s="265"/>
      <c r="AB101" s="265"/>
      <c r="AC101" s="265"/>
      <c r="AD101" s="265"/>
      <c r="AE101" s="265"/>
      <c r="AF101" s="265"/>
      <c r="AG101" s="265"/>
      <c r="AH101" s="265"/>
      <c r="AI101" s="265"/>
      <c r="AJ101" s="265"/>
      <c r="AK101" s="265"/>
      <c r="AL101" s="265"/>
      <c r="AM101" s="244"/>
    </row>
    <row r="102" spans="1:39" ht="18" customHeight="1" outlineLevel="2" x14ac:dyDescent="0.15">
      <c r="A102" s="242">
        <f t="shared" si="1"/>
        <v>99</v>
      </c>
      <c r="B102" s="259">
        <v>310</v>
      </c>
      <c r="C102" s="73" t="s">
        <v>464</v>
      </c>
      <c r="D102" s="244">
        <f>+SUM(D103:D108)</f>
        <v>716666666.66666663</v>
      </c>
      <c r="E102" s="244">
        <f>+SUM(E103:E108)</f>
        <v>716666666.66666663</v>
      </c>
      <c r="F102" s="244">
        <f>+SUM(F103:F108)</f>
        <v>716666666.66666663</v>
      </c>
      <c r="G102" s="242"/>
      <c r="H102" s="259">
        <v>310</v>
      </c>
      <c r="I102" s="73" t="s">
        <v>464</v>
      </c>
      <c r="J102" s="244">
        <f>+SUM(J103:J108)</f>
        <v>717896812.66666663</v>
      </c>
      <c r="K102" s="244">
        <f>+SUM(K103:K108)</f>
        <v>717896812.66666663</v>
      </c>
      <c r="L102" s="242"/>
      <c r="M102" s="259">
        <v>310</v>
      </c>
      <c r="N102" s="73" t="s">
        <v>464</v>
      </c>
      <c r="O102" s="244">
        <f>+SUM(O103:O108)</f>
        <v>716666666.66666663</v>
      </c>
      <c r="P102" s="244">
        <f>+SUM(P103:P108)</f>
        <v>716666666.66666663</v>
      </c>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44"/>
    </row>
    <row r="103" spans="1:39" ht="18" customHeight="1" outlineLevel="3" x14ac:dyDescent="0.15">
      <c r="A103" s="242">
        <f t="shared" si="1"/>
        <v>100</v>
      </c>
      <c r="B103" s="365">
        <v>311</v>
      </c>
      <c r="C103" s="72" t="s">
        <v>465</v>
      </c>
      <c r="D103" s="362">
        <f>Sheet_PhaiTra!D2-D110</f>
        <v>0</v>
      </c>
      <c r="E103" s="362">
        <f>Table_BCTC[[#This Row],[Đầu kỳ]]+
IFERROR(
IF(BCTC_Thang = 1,
HLOOKUP(
DATE(BCTC_Nam-1,12,1),Sheet_PhaiTra!$B$1:$XFD$9,Sheet_PhaiTra!$A$2,0
),
HLOOKUP(
DATE(BCTC_Nam,BCTC_Thang-1,1),Sheet_PhaiTra!$B$1:$XFD$9,Sheet_PhaiTra!$A$2,0
)),0)
-E110</f>
        <v>0</v>
      </c>
      <c r="F103" s="371">
        <f>Table_BCTC[[#This Row],[Đầu kỳ]]+
IFERROR(
HLOOKUP(
DATE(BCTC_Nam,BCTC_Thang,1),Sheet_PhaiTra!$B$1:$XFD$9,Sheet_PhaiTra!$A$2,0
),0)
-F110</f>
        <v>0</v>
      </c>
      <c r="G103" s="242"/>
      <c r="H103" s="365">
        <v>311</v>
      </c>
      <c r="I103" s="72" t="s">
        <v>465</v>
      </c>
      <c r="J103" s="362">
        <f>IFERROR(
HLOOKUP(
DATE(J$1,12,1),
Sheet_PhaiTra!$B$1:$XFD$9,Sheet_PhaiTra!$A$2,0
),
IFERROR(
HLOOKUP(
MAX(Sheet_PhaiTra!$D$1:$XFD$1),
Sheet_PhaiTra!$B$1:$XFD$9,Sheet_PhaiTra!$A$2,0
),
0))
-J110</f>
        <v>430146</v>
      </c>
      <c r="K103" s="362">
        <f>IFERROR(
HLOOKUP(
DATE(K$1,12,1),
Sheet_PhaiTra!$B$1:$XFD$9,Sheet_PhaiTra!$A$2,0
),
IFERROR(
HLOOKUP(
MAX(Sheet_PhaiTra!$D$1:$XFD$1),
Sheet_PhaiTra!$B$1:$XFD$9,Sheet_PhaiTra!$A$2,0
),
0))
-K110</f>
        <v>430146</v>
      </c>
      <c r="L103" s="242"/>
      <c r="M103" s="365">
        <v>311</v>
      </c>
      <c r="N103" s="72" t="s">
        <v>465</v>
      </c>
      <c r="O103" s="371">
        <f xml:space="preserve">
IFERROR(
HLOOKUP(
O$1,Sheet_PhaiTra!$B$1:$XFD$9,Sheet_PhaiTra!$A$2,0
),0)
-O110</f>
        <v>0</v>
      </c>
      <c r="P103" s="371">
        <f xml:space="preserve">
IFERROR(
HLOOKUP(
P$1,Sheet_PhaiTra!$B$1:$XFD$9,Sheet_PhaiTra!$A$2,0
),0)
-P110</f>
        <v>0</v>
      </c>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44"/>
    </row>
    <row r="104" spans="1:39" ht="18" customHeight="1" outlineLevel="3" x14ac:dyDescent="0.15">
      <c r="A104" s="242">
        <f t="shared" si="1"/>
        <v>101</v>
      </c>
      <c r="B104" s="365">
        <v>312</v>
      </c>
      <c r="C104" s="72" t="s">
        <v>466</v>
      </c>
      <c r="D104" s="362">
        <f>Sheet_PhaiThu!D4-D111</f>
        <v>0</v>
      </c>
      <c r="E104" s="362">
        <f>Table_BCTC[[#This Row],[Đầu kỳ]]+
IFERROR(
IF(BCTC_Thang = 1,
HLOOKUP(
DATE(BCTC_Nam-1,12,1),Sheet_PhaiThu!$C$1:$XFD$5,Sheet_PhaiThu!$B$4,0
),
HLOOKUP(
DATE(BCTC_Nam,BCTC_Thang-1,1),Sheet_PhaiThu!$C$1:$XFD$5,Sheet_PhaiThu!$B$4,0
)),0)
-E111</f>
        <v>0</v>
      </c>
      <c r="F104" s="371">
        <f>Table_BCTC[[#This Row],[Đầu kỳ]]+
IFERROR(
HLOOKUP(
DATE(BCTC_Nam,BCTC_Thang,1),Sheet_PhaiThu!$C$1:$XFD$5,Sheet_PhaiThu!$B$4,0
),0)
-F111</f>
        <v>0</v>
      </c>
      <c r="G104" s="242"/>
      <c r="H104" s="365">
        <v>312</v>
      </c>
      <c r="I104" s="72" t="s">
        <v>466</v>
      </c>
      <c r="J104" s="362">
        <f>IFERROR(
HLOOKUP(
DATE(J$1,12,1),
Sheet_PhaiThu!$C$1:$XFD$5,Sheet_PhaiThu!$B$4,0
),
IFERROR(
HLOOKUP(
MAX(Sheet_PhaiThu!$D$1:$XFD$1),
Sheet_PhaiThu!$C$1:$XFD$5,Sheet_PhaiThu!$B$4,0
),
0))
-J111</f>
        <v>800000</v>
      </c>
      <c r="K104" s="362">
        <f>IFERROR(
HLOOKUP(
DATE(K$1,12,1),
Sheet_PhaiThu!$C$1:$XFD$5,Sheet_PhaiThu!$B$4,0
),
IFERROR(
HLOOKUP(
MAX(Sheet_PhaiThu!$D$1:$XFD$1),
Sheet_PhaiThu!$C$1:$XFD$5,Sheet_PhaiThu!$B$4,0
),
0))
-K111</f>
        <v>800000</v>
      </c>
      <c r="L104" s="242"/>
      <c r="M104" s="365">
        <v>312</v>
      </c>
      <c r="N104" s="72" t="s">
        <v>466</v>
      </c>
      <c r="O104" s="371">
        <f>IFERROR(
HLOOKUP(
O$1,Sheet_PhaiThu!$C$1:$XFD$5,Sheet_PhaiThu!$B$4,0
),0)
-O111</f>
        <v>0</v>
      </c>
      <c r="P104" s="371">
        <f>IFERROR(
HLOOKUP(
P$1,Sheet_PhaiThu!$C$1:$XFD$5,Sheet_PhaiThu!$B$4,0
),0)
-P111</f>
        <v>0</v>
      </c>
      <c r="Q104" s="265"/>
      <c r="R104" s="265"/>
      <c r="S104" s="265"/>
      <c r="T104" s="265"/>
      <c r="U104" s="265"/>
      <c r="V104" s="265"/>
      <c r="W104" s="265"/>
      <c r="X104" s="265"/>
      <c r="Y104" s="265"/>
      <c r="Z104" s="265"/>
      <c r="AA104" s="265"/>
      <c r="AB104" s="265"/>
      <c r="AC104" s="265"/>
      <c r="AD104" s="265"/>
      <c r="AE104" s="265"/>
      <c r="AF104" s="265"/>
      <c r="AG104" s="265"/>
      <c r="AH104" s="265"/>
      <c r="AI104" s="265"/>
      <c r="AJ104" s="265"/>
      <c r="AK104" s="265"/>
      <c r="AL104" s="265"/>
      <c r="AM104" s="244"/>
    </row>
    <row r="105" spans="1:39" ht="18" customHeight="1" outlineLevel="3" x14ac:dyDescent="0.15">
      <c r="A105" s="242">
        <f t="shared" si="1"/>
        <v>102</v>
      </c>
      <c r="B105" s="365">
        <v>313</v>
      </c>
      <c r="C105" s="72" t="s">
        <v>467</v>
      </c>
      <c r="D105" s="362">
        <v>0</v>
      </c>
      <c r="E105" s="362" cm="1">
        <f t="array" ref="E105">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5" s="371" cm="1">
        <f t="array" ref="F105">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5" s="242"/>
      <c r="H105" s="365">
        <v>313</v>
      </c>
      <c r="I105" s="72" t="s">
        <v>467</v>
      </c>
      <c r="J105" s="375" cm="1">
        <f t="array" ref="J105">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5" s="375" cm="1">
        <f t="array" ref="K105">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5" s="242"/>
      <c r="M105" s="365">
        <v>313</v>
      </c>
      <c r="N105" s="72" t="s">
        <v>467</v>
      </c>
      <c r="O105" s="371" cm="1">
        <f t="array" ref="O105">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5" s="371" cm="1">
        <f t="array" ref="P105">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5" s="265"/>
      <c r="R105" s="265"/>
      <c r="S105" s="265"/>
      <c r="T105" s="265"/>
      <c r="U105" s="265"/>
      <c r="V105" s="265"/>
      <c r="W105" s="265"/>
      <c r="X105" s="265"/>
      <c r="Y105" s="265"/>
      <c r="Z105" s="265"/>
      <c r="AA105" s="265"/>
      <c r="AB105" s="265"/>
      <c r="AC105" s="265"/>
      <c r="AD105" s="265"/>
      <c r="AE105" s="265"/>
      <c r="AF105" s="265"/>
      <c r="AG105" s="265"/>
      <c r="AH105" s="265"/>
      <c r="AI105" s="265"/>
      <c r="AJ105" s="265"/>
      <c r="AK105" s="265"/>
      <c r="AL105" s="265"/>
      <c r="AM105" s="244"/>
    </row>
    <row r="106" spans="1:39" ht="18" customHeight="1" outlineLevel="3" x14ac:dyDescent="0.15">
      <c r="A106" s="242">
        <f t="shared" si="1"/>
        <v>103</v>
      </c>
      <c r="B106" s="365">
        <v>316</v>
      </c>
      <c r="C106" s="72" t="s">
        <v>468</v>
      </c>
      <c r="D106" s="362">
        <f>Sheet_PhaiTra!D6-D112</f>
        <v>0</v>
      </c>
      <c r="E106" s="362">
        <f xml:space="preserve">
IFERROR(
IF(BCTC_Thang = 1,
HLOOKUP(
DATE(BCTC_Nam-1,12,1),Sheet_PhaiTra!$B$1:$XFD$9,Sheet_PhaiTra!$A$6,0
),
HLOOKUP(
DATE(BCTC_Nam,BCTC_Thang-1,1),Sheet_PhaiTra!$B$1:$XFD$9,Sheet_PhaiTra!$A$6,0
)),0)
-E112</f>
        <v>0</v>
      </c>
      <c r="F106" s="371">
        <f xml:space="preserve">
IFERROR(
HLOOKUP(
DATE(BCTC_Nam,BCTC_Thang,1),Sheet_PhaiTra!$B$1:$XFD$9,Sheet_PhaiTra!$A$6,0
),0)
-F112</f>
        <v>0</v>
      </c>
      <c r="G106" s="242"/>
      <c r="H106" s="365">
        <v>316</v>
      </c>
      <c r="I106" s="72" t="s">
        <v>468</v>
      </c>
      <c r="J106" s="362">
        <f>IFERROR(
HLOOKUP(
DATE(J$1,12,1),
Sheet_PhaiTra!$B$1:$XFD$9,Sheet_PhaiTra!$A$6,0
),
IFERROR(
HLOOKUP(
MAX(Sheet_PhaiTra!$D$1:$XFD$1),
Sheet_PhaiTra!$B$1:$XFD$9,Sheet_PhaiTra!$A$6,0
),
0))
-J112</f>
        <v>0</v>
      </c>
      <c r="K106" s="362">
        <f>IFERROR(
HLOOKUP(
DATE(K$1,12,1),
Sheet_PhaiTra!$B$1:$XFD$9,Sheet_PhaiTra!$A$6,0
),
IFERROR(
HLOOKUP(
MAX(Sheet_PhaiTra!$D$1:$XFD$1),
Sheet_PhaiTra!$B$1:$XFD$9,Sheet_PhaiTra!$A$6,0
),
0))
-K112</f>
        <v>0</v>
      </c>
      <c r="L106" s="242"/>
      <c r="M106" s="365">
        <v>316</v>
      </c>
      <c r="N106" s="72" t="s">
        <v>468</v>
      </c>
      <c r="O106" s="371">
        <f xml:space="preserve">
IFERROR(
HLOOKUP(
O$1,Sheet_PhaiTra!$B$1:$XFD$9,Sheet_PhaiTra!$A$6,0
),0)
-O112</f>
        <v>0</v>
      </c>
      <c r="P106" s="371">
        <f xml:space="preserve">
IFERROR(
HLOOKUP(
P$1,Sheet_PhaiTra!$B$1:$XFD$9,Sheet_PhaiTra!$A$6,0
),0)
-P112</f>
        <v>0</v>
      </c>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44"/>
    </row>
    <row r="107" spans="1:39" ht="18" customHeight="1" outlineLevel="3" x14ac:dyDescent="0.15">
      <c r="A107" s="242">
        <f t="shared" si="1"/>
        <v>104</v>
      </c>
      <c r="B107" s="365">
        <v>319</v>
      </c>
      <c r="C107" s="72" t="s">
        <v>469</v>
      </c>
      <c r="D107" s="362">
        <v>0</v>
      </c>
      <c r="E107" s="362">
        <f>+Table_BCTC[[#This Row],[Đầu kỳ]]</f>
        <v>0</v>
      </c>
      <c r="F107" s="371">
        <f>+Table_BCTC[[#This Row],[Đầu kỳ]]</f>
        <v>0</v>
      </c>
      <c r="G107" s="242"/>
      <c r="H107" s="365">
        <v>319</v>
      </c>
      <c r="I107" s="72" t="s">
        <v>469</v>
      </c>
      <c r="J107" s="362"/>
      <c r="K107" s="362"/>
      <c r="L107" s="242"/>
      <c r="M107" s="365">
        <v>319</v>
      </c>
      <c r="N107" s="72" t="s">
        <v>469</v>
      </c>
      <c r="O107" s="371"/>
      <c r="P107" s="371"/>
      <c r="Q107" s="265"/>
      <c r="R107" s="265"/>
      <c r="S107" s="265"/>
      <c r="T107" s="265"/>
      <c r="U107" s="265"/>
      <c r="V107" s="265"/>
      <c r="W107" s="265"/>
      <c r="X107" s="265"/>
      <c r="Y107" s="265"/>
      <c r="Z107" s="265"/>
      <c r="AA107" s="265"/>
      <c r="AB107" s="265"/>
      <c r="AC107" s="265"/>
      <c r="AD107" s="265"/>
      <c r="AE107" s="265"/>
      <c r="AF107" s="265"/>
      <c r="AG107" s="265"/>
      <c r="AH107" s="265"/>
      <c r="AI107" s="265"/>
      <c r="AJ107" s="265"/>
      <c r="AK107" s="265"/>
      <c r="AL107" s="265"/>
      <c r="AM107" s="244"/>
    </row>
    <row r="108" spans="1:39" ht="18" customHeight="1" outlineLevel="3" x14ac:dyDescent="0.15">
      <c r="A108" s="242">
        <f t="shared" si="1"/>
        <v>105</v>
      </c>
      <c r="B108" s="365">
        <v>320</v>
      </c>
      <c r="C108" s="72" t="s">
        <v>470</v>
      </c>
      <c r="D108" s="362" cm="1">
        <f t="array" ref="D108">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8" s="362" cm="1">
        <f t="array" ref="E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8" s="371" cm="1">
        <f t="array" ref="F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8" s="242"/>
      <c r="H108" s="365">
        <v>320</v>
      </c>
      <c r="I108" s="72" t="s">
        <v>470</v>
      </c>
      <c r="J108" s="362" cm="1">
        <f t="array" ref="J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8" s="362" cm="1">
        <f t="array" ref="K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8" s="242"/>
      <c r="M108" s="365">
        <v>320</v>
      </c>
      <c r="N108" s="72" t="s">
        <v>470</v>
      </c>
      <c r="O108" s="371" cm="1">
        <f t="array" ref="O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8" s="371" cm="1">
        <f t="array" ref="P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44"/>
    </row>
    <row r="109" spans="1:39" ht="18" customHeight="1" outlineLevel="2" x14ac:dyDescent="0.15">
      <c r="A109" s="242">
        <f t="shared" si="1"/>
        <v>106</v>
      </c>
      <c r="B109" s="259">
        <v>320</v>
      </c>
      <c r="C109" s="73" t="s">
        <v>471</v>
      </c>
      <c r="D109" s="244">
        <f>+SUM(D110:D114)</f>
        <v>3333333333.3333335</v>
      </c>
      <c r="E109" s="244">
        <f>+SUM(E110:E114)</f>
        <v>3333333333.3333335</v>
      </c>
      <c r="F109" s="244">
        <f>+SUM(F110:F114)</f>
        <v>3333333333.3333335</v>
      </c>
      <c r="G109" s="242"/>
      <c r="H109" s="259">
        <v>320</v>
      </c>
      <c r="I109" s="73" t="s">
        <v>471</v>
      </c>
      <c r="J109" s="244">
        <f>+SUM(J110:J114)</f>
        <v>0</v>
      </c>
      <c r="K109" s="244">
        <f>+SUM(K110:K114)</f>
        <v>0</v>
      </c>
      <c r="L109" s="242"/>
      <c r="M109" s="259">
        <v>320</v>
      </c>
      <c r="N109" s="73" t="s">
        <v>471</v>
      </c>
      <c r="O109" s="244">
        <f>+SUM(O110:O114)</f>
        <v>0</v>
      </c>
      <c r="P109" s="244">
        <f>+SUM(P110:P114)</f>
        <v>0</v>
      </c>
      <c r="Q109" s="265"/>
      <c r="R109" s="265"/>
      <c r="S109" s="265"/>
      <c r="T109" s="265"/>
      <c r="U109" s="265"/>
      <c r="V109" s="265"/>
      <c r="W109" s="265"/>
      <c r="X109" s="265"/>
      <c r="Y109" s="265"/>
      <c r="Z109" s="265"/>
      <c r="AA109" s="265"/>
      <c r="AB109" s="265"/>
      <c r="AC109" s="265"/>
      <c r="AD109" s="265"/>
      <c r="AE109" s="265"/>
      <c r="AF109" s="265"/>
      <c r="AG109" s="265"/>
      <c r="AH109" s="265"/>
      <c r="AI109" s="265"/>
      <c r="AJ109" s="265"/>
      <c r="AK109" s="265"/>
      <c r="AL109" s="265"/>
      <c r="AM109" s="244"/>
    </row>
    <row r="110" spans="1:39" ht="18" customHeight="1" outlineLevel="3" x14ac:dyDescent="0.15">
      <c r="A110" s="242">
        <f t="shared" si="1"/>
        <v>107</v>
      </c>
      <c r="B110" s="365">
        <v>331</v>
      </c>
      <c r="C110" s="72" t="s">
        <v>472</v>
      </c>
      <c r="D110" s="362">
        <f>Sheet_PhaiTra!D3</f>
        <v>0</v>
      </c>
      <c r="E110" s="362">
        <f xml:space="preserve">
IFERROR(
IF(BCTC_Thang = 1,
HLOOKUP(
DATE(BCTC_Nam-1,12,1),Sheet_PhaiTra!$B$1:$XFD$9,Sheet_PhaiTra!$A$3,0
),
HLOOKUP(
DATE(BCTC_Nam,BCTC_Thang-1,1),Sheet_PhaiTra!$B$1:$XFD$9,Sheet_PhaiTra!$A$3,0
)),0)</f>
        <v>0</v>
      </c>
      <c r="F110" s="371">
        <f xml:space="preserve">
IFERROR(
HLOOKUP(
DATE(BCTC_Nam,BCTC_Thang,1),Sheet_PhaiTra!$B$1:$XFD$9,Sheet_PhaiTra!$A$3,0
),0)</f>
        <v>0</v>
      </c>
      <c r="G110" s="242"/>
      <c r="H110" s="365">
        <v>331</v>
      </c>
      <c r="I110" s="72" t="s">
        <v>472</v>
      </c>
      <c r="J110" s="362">
        <f>IFERROR(
HLOOKUP(
DATE(J$1,12,1),
Sheet_PhaiTra!$B$1:$XFD$9,Sheet_PhaiTra!$A$3,0
),
IFERROR(
HLOOKUP(
MAX(Sheet_PhaiTra!$D$1:$XFD$1),
Sheet_PhaiTra!$B$1:$XFD$9,Sheet_PhaiTra!$A$3,0
),
0))</f>
        <v>0</v>
      </c>
      <c r="K110" s="362">
        <f>IFERROR(
HLOOKUP(
DATE(K$1,12,1),
Sheet_PhaiTra!$B$1:$XFD$9,Sheet_PhaiTra!$A$3,0
),
IFERROR(
HLOOKUP(
MAX(Sheet_PhaiTra!$D$1:$XFD$1),
Sheet_PhaiTra!$B$1:$XFD$9,Sheet_PhaiTra!$A$3,0
),
0))</f>
        <v>0</v>
      </c>
      <c r="L110" s="242"/>
      <c r="M110" s="365">
        <v>331</v>
      </c>
      <c r="N110" s="72" t="s">
        <v>472</v>
      </c>
      <c r="O110" s="371">
        <f xml:space="preserve">
IFERROR(
HLOOKUP(
O$1,Sheet_PhaiTra!$B$1:$XFD$9,Sheet_PhaiTra!$A$3,0
),0)</f>
        <v>0</v>
      </c>
      <c r="P110" s="371">
        <f xml:space="preserve">
IFERROR(
HLOOKUP(
P$1,Sheet_PhaiTra!$B$1:$XFD$9,Sheet_PhaiTra!$A$3,0
),0)</f>
        <v>0</v>
      </c>
      <c r="Q110" s="265"/>
      <c r="R110" s="265"/>
      <c r="S110" s="265"/>
      <c r="T110" s="265"/>
      <c r="U110" s="265"/>
      <c r="V110" s="265"/>
      <c r="W110" s="265"/>
      <c r="X110" s="265"/>
      <c r="Y110" s="265"/>
      <c r="Z110" s="265"/>
      <c r="AA110" s="265"/>
      <c r="AB110" s="265"/>
      <c r="AC110" s="265"/>
      <c r="AD110" s="265"/>
      <c r="AE110" s="265"/>
      <c r="AF110" s="265"/>
      <c r="AG110" s="265"/>
      <c r="AH110" s="265"/>
      <c r="AI110" s="265"/>
      <c r="AJ110" s="265"/>
      <c r="AK110" s="265"/>
      <c r="AL110" s="265"/>
      <c r="AM110" s="244"/>
    </row>
    <row r="111" spans="1:39" ht="18" customHeight="1" outlineLevel="3" x14ac:dyDescent="0.15">
      <c r="A111" s="242">
        <f t="shared" si="1"/>
        <v>108</v>
      </c>
      <c r="B111" s="365">
        <v>332</v>
      </c>
      <c r="C111" s="72" t="s">
        <v>473</v>
      </c>
      <c r="D111" s="362">
        <f>Sheet_PhaiThu!D5</f>
        <v>0</v>
      </c>
      <c r="E111" s="362">
        <f xml:space="preserve">
IFERROR(
IF(BCTC_Thang = 1,
HLOOKUP(
DATE(BCTC_Nam-1,12,1),Sheet_PhaiThu!$C$1:$XFD$5,Sheet_PhaiThu!$B$5,0
),
HLOOKUP(
DATE(BCTC_Nam,BCTC_Thang-1,1),Sheet_PhaiThu!$C$1:$XFD$5,Sheet_PhaiThu!$B$5,0
)),0)</f>
        <v>0</v>
      </c>
      <c r="F111" s="371">
        <f xml:space="preserve">
IFERROR(
HLOOKUP(
DATE(BCTC_Nam,BCTC_Thang,1),Sheet_PhaiThu!$C$1:$XFD$5,Sheet_PhaiThu!$B$5,0
),0)</f>
        <v>0</v>
      </c>
      <c r="G111" s="242"/>
      <c r="H111" s="365">
        <v>332</v>
      </c>
      <c r="I111" s="72" t="s">
        <v>473</v>
      </c>
      <c r="J111" s="362">
        <f>IFERROR(
HLOOKUP(
DATE(J$1,12,1),
Sheet_PhaiThu!$C$1:$XFD$5,Sheet_PhaiThu!$B$5,0
),
IFERROR(
HLOOKUP(
MAX(Sheet_PhaiThu!$D$1:$XFD$1),
Sheet_PhaiThu!$C$1:$XFD$5,Sheet_PhaiThu!$B$5,0
),
0))</f>
        <v>0</v>
      </c>
      <c r="K111" s="362">
        <f>IFERROR(
HLOOKUP(
DATE(K$1,12,1),
Sheet_PhaiThu!$C$1:$XFD$5,Sheet_PhaiThu!$B$5,0
),
IFERROR(
HLOOKUP(
MAX(Sheet_PhaiThu!$D$1:$XFD$1),
Sheet_PhaiThu!$C$1:$XFD$5,Sheet_PhaiThu!$B$5,0
),
0))</f>
        <v>0</v>
      </c>
      <c r="L111" s="242"/>
      <c r="M111" s="365">
        <v>332</v>
      </c>
      <c r="N111" s="72" t="s">
        <v>473</v>
      </c>
      <c r="O111" s="371">
        <f>IFERROR(
HLOOKUP(
O$1,Sheet_PhaiThu!$C$1:$XFD$5,Sheet_PhaiThu!$B$5,0
),0)</f>
        <v>0</v>
      </c>
      <c r="P111" s="371">
        <f>IFERROR(
HLOOKUP(
P$1,Sheet_PhaiThu!$C$1:$XFD$5,Sheet_PhaiThu!$B$5,0
),0)</f>
        <v>0</v>
      </c>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44"/>
    </row>
    <row r="112" spans="1:39" ht="18" customHeight="1" outlineLevel="3" x14ac:dyDescent="0.15">
      <c r="A112" s="242">
        <f t="shared" si="1"/>
        <v>109</v>
      </c>
      <c r="B112" s="365">
        <v>335</v>
      </c>
      <c r="C112" s="72" t="s">
        <v>474</v>
      </c>
      <c r="D112" s="362">
        <f>Sheet_PhaiTra!D7</f>
        <v>0</v>
      </c>
      <c r="E112" s="362">
        <f xml:space="preserve">
IFERROR(
IF(BCTC_Thang = 1,
HLOOKUP(
DATE(BCTC_Nam-1,12,1),Sheet_PhaiTra!$B$1:$XFD$9,Sheet_PhaiTra!$A$7,0
),
HLOOKUP(
DATE(BCTC_Nam,BCTC_Thang-1,1),Sheet_PhaiTra!$B$1:$XFD$9,Sheet_PhaiTra!$A$7,0
)),0)</f>
        <v>0</v>
      </c>
      <c r="F112" s="371">
        <f xml:space="preserve">
IFERROR(
HLOOKUP(
DATE(BCTC_Nam,BCTC_Thang,1),Sheet_PhaiTra!$B$1:$XFD$9,Sheet_PhaiTra!$A$7,0
),0)</f>
        <v>0</v>
      </c>
      <c r="G112" s="242"/>
      <c r="H112" s="365">
        <v>335</v>
      </c>
      <c r="I112" s="72" t="s">
        <v>474</v>
      </c>
      <c r="J112" s="362">
        <f>IFERROR(
HLOOKUP(
DATE(J$1,12,1),
Sheet_PhaiTra!$B$1:$XFD$9,Sheet_PhaiTra!$A$7,0
),
IFERROR(
HLOOKUP(
MAX(Sheet_PhaiTra!$D$1:$XFD$1),
Sheet_PhaiTra!$B$1:$XFD$9,Sheet_PhaiTra!$A$7,0
),
0))</f>
        <v>0</v>
      </c>
      <c r="K112" s="362">
        <f>IFERROR(
HLOOKUP(
DATE(K$1,12,1),
Sheet_PhaiTra!$B$1:$XFD$9,Sheet_PhaiTra!$A$7,0
),
IFERROR(
HLOOKUP(
MAX(Sheet_PhaiTra!$D$1:$XFD$1),
Sheet_PhaiTra!$B$1:$XFD$9,Sheet_PhaiTra!$A$7,0
),
0))</f>
        <v>0</v>
      </c>
      <c r="L112" s="242"/>
      <c r="M112" s="365">
        <v>335</v>
      </c>
      <c r="N112" s="72" t="s">
        <v>474</v>
      </c>
      <c r="O112" s="371">
        <f xml:space="preserve">
IFERROR(
HLOOKUP(
O$1,Sheet_PhaiTra!$B$1:$XFD$9,Sheet_PhaiTra!$A$7,0
),0)</f>
        <v>0</v>
      </c>
      <c r="P112" s="371">
        <f xml:space="preserve">
IFERROR(
HLOOKUP(
P$1,Sheet_PhaiTra!$B$1:$XFD$9,Sheet_PhaiTra!$A$7,0
),0)</f>
        <v>0</v>
      </c>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44"/>
    </row>
    <row r="113" spans="1:39" ht="18" customHeight="1" outlineLevel="3" x14ac:dyDescent="0.15">
      <c r="A113" s="242">
        <f t="shared" si="1"/>
        <v>110</v>
      </c>
      <c r="B113" s="365">
        <v>337</v>
      </c>
      <c r="C113" s="72" t="s">
        <v>475</v>
      </c>
      <c r="D113" s="362">
        <v>0</v>
      </c>
      <c r="E113" s="362">
        <f>+Table_BCTC[[#This Row],[Đầu kỳ]]</f>
        <v>0</v>
      </c>
      <c r="F113" s="371">
        <f>+Table_BCTC[[#This Row],[Đầu kỳ]]</f>
        <v>0</v>
      </c>
      <c r="G113" s="242"/>
      <c r="H113" s="365">
        <v>337</v>
      </c>
      <c r="I113" s="72" t="s">
        <v>475</v>
      </c>
      <c r="J113" s="362"/>
      <c r="K113" s="362"/>
      <c r="L113" s="242"/>
      <c r="M113" s="365">
        <v>337</v>
      </c>
      <c r="N113" s="72" t="s">
        <v>475</v>
      </c>
      <c r="O113" s="371"/>
      <c r="P113" s="371"/>
      <c r="Q113" s="265"/>
      <c r="R113" s="376"/>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44"/>
    </row>
    <row r="114" spans="1:39" ht="18" customHeight="1" outlineLevel="3" x14ac:dyDescent="0.15">
      <c r="A114" s="242">
        <f t="shared" si="1"/>
        <v>111</v>
      </c>
      <c r="B114" s="365">
        <v>338</v>
      </c>
      <c r="C114" s="72" t="s">
        <v>476</v>
      </c>
      <c r="D114" s="362" cm="1">
        <f t="array" ref="D114">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4" s="362" cm="1">
        <f t="array" ref="E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4" s="371" cm="1">
        <f t="array" ref="F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4" s="242"/>
      <c r="H114" s="365">
        <v>338</v>
      </c>
      <c r="I114" s="72" t="s">
        <v>476</v>
      </c>
      <c r="J114" s="362" cm="1">
        <f t="array" ref="J114">+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4" s="362" cm="1">
        <f t="array" ref="K114">+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4" s="242"/>
      <c r="M114" s="365">
        <v>338</v>
      </c>
      <c r="N114" s="72" t="s">
        <v>476</v>
      </c>
      <c r="O114" s="371" cm="1">
        <f t="array" ref="O114"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4" s="371" cm="1">
        <f t="array" ref="P114"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4" s="265"/>
      <c r="R114" s="242"/>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44"/>
    </row>
    <row r="115" spans="1:39" ht="18" customHeight="1" outlineLevel="1" x14ac:dyDescent="0.15">
      <c r="A115" s="242">
        <f t="shared" si="1"/>
        <v>112</v>
      </c>
      <c r="B115" s="372">
        <v>400</v>
      </c>
      <c r="C115" s="77" t="s">
        <v>477</v>
      </c>
      <c r="D115" s="373">
        <f>+D116+D121</f>
        <v>0</v>
      </c>
      <c r="E115" s="373">
        <f>+E116+E121</f>
        <v>0</v>
      </c>
      <c r="F115" s="373">
        <f>+F116+F121</f>
        <v>0</v>
      </c>
      <c r="G115" s="242"/>
      <c r="H115" s="372">
        <v>400</v>
      </c>
      <c r="I115" s="77" t="s">
        <v>477</v>
      </c>
      <c r="J115" s="373">
        <f>+J116+J121</f>
        <v>0</v>
      </c>
      <c r="K115" s="373">
        <f>+K116+K121</f>
        <v>0</v>
      </c>
      <c r="L115" s="242"/>
      <c r="M115" s="372">
        <v>400</v>
      </c>
      <c r="N115" s="77" t="s">
        <v>477</v>
      </c>
      <c r="O115" s="373">
        <f>+O116+O121</f>
        <v>0</v>
      </c>
      <c r="P115" s="373">
        <f>+P116+P121</f>
        <v>0</v>
      </c>
      <c r="Q115" s="265"/>
      <c r="R115" s="266"/>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44"/>
    </row>
    <row r="116" spans="1:39" ht="18" customHeight="1" outlineLevel="2" x14ac:dyDescent="0.15">
      <c r="A116" s="242">
        <f t="shared" si="1"/>
        <v>113</v>
      </c>
      <c r="B116" s="259">
        <v>410</v>
      </c>
      <c r="C116" s="73" t="s">
        <v>478</v>
      </c>
      <c r="D116" s="244">
        <f>+SUM(D117:D119)</f>
        <v>0</v>
      </c>
      <c r="E116" s="244">
        <f>+SUM(E117:E120)</f>
        <v>0</v>
      </c>
      <c r="F116" s="244">
        <f>+SUM(F117:F120)</f>
        <v>0</v>
      </c>
      <c r="G116" s="242"/>
      <c r="H116" s="259">
        <v>410</v>
      </c>
      <c r="I116" s="73" t="s">
        <v>478</v>
      </c>
      <c r="J116" s="244">
        <f>+SUM(J117:J120)</f>
        <v>0</v>
      </c>
      <c r="K116" s="244">
        <f>+SUM(K117:K120)</f>
        <v>0</v>
      </c>
      <c r="L116" s="242"/>
      <c r="M116" s="259">
        <v>410</v>
      </c>
      <c r="N116" s="73" t="s">
        <v>478</v>
      </c>
      <c r="O116" s="244">
        <f>+SUM(O117:O120)</f>
        <v>0</v>
      </c>
      <c r="P116" s="244">
        <f>+SUM(P117:P120)</f>
        <v>0</v>
      </c>
      <c r="Q116" s="265"/>
      <c r="R116" s="264"/>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44"/>
    </row>
    <row r="117" spans="1:39" ht="18" customHeight="1" outlineLevel="3" x14ac:dyDescent="0.15">
      <c r="A117" s="242">
        <f t="shared" si="1"/>
        <v>114</v>
      </c>
      <c r="B117" s="365">
        <v>411</v>
      </c>
      <c r="C117" s="72" t="s">
        <v>479</v>
      </c>
      <c r="D117" s="362">
        <f>SUM(Table_CoDong[Vốn góp ban đầu])</f>
        <v>0</v>
      </c>
      <c r="E117" s="362" cm="1">
        <f t="array" ref="E117">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7" s="371" cm="1">
        <f t="array" ref="F117">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7" s="242"/>
      <c r="H117" s="365">
        <v>411</v>
      </c>
      <c r="I117" s="72" t="s">
        <v>479</v>
      </c>
      <c r="J117" s="362" cm="1">
        <f t="array" ref="J117">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7" s="362" cm="1">
        <f t="array" ref="K117">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7" s="242"/>
      <c r="M117" s="365">
        <v>411</v>
      </c>
      <c r="N117" s="72" t="s">
        <v>479</v>
      </c>
      <c r="O117" s="371" cm="1">
        <f t="array" ref="O117">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7" s="371" cm="1">
        <f t="array" ref="P117">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7" s="265"/>
      <c r="R117" s="264"/>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44"/>
    </row>
    <row r="118" spans="1:39" ht="18" customHeight="1" outlineLevel="3" x14ac:dyDescent="0.15">
      <c r="A118" s="242">
        <f t="shared" si="1"/>
        <v>115</v>
      </c>
      <c r="B118" s="365">
        <v>416</v>
      </c>
      <c r="C118" s="72" t="s">
        <v>480</v>
      </c>
      <c r="D118" s="362">
        <v>0</v>
      </c>
      <c r="E118" s="362" cm="1">
        <f t="array" ref="E118">Table_BCTC[[#This Row],[Đầu kỳ]]+
- IFERROR(
SUM(_xlfn._xlws.FILTER(Table_LaiKhac[Giá trị],
(Table_LaiKhac[Phân loại] =$C$45) *
(NOT(ISBLANK(Table_LaiKhac[Tháng]))) *
(Table_LaiKhac[Kỳ] &lt; DATE(BCTC_Nam, BCTC_Thang, 1))
)),0)
-IFERROR(
SUMPRODUCT(
_xlfn._xlws.FILTER(Table_LaiKhac[Giá trị],
(Table_LaiKhac[Phân loại] =$C$45)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=$C$45) *
(Table_LaiKhac[Phân bổ từ] &lt; DATE(BCTC_Nam,BCTC_Thang,1))*
(Table_LaiKhac[Phân bổ đến] &gt; DATE(BCTC_Nam,BCTC_Thang-1,1))
),
1/_xlfn._xlws.FILTER(ROUND((Table_LaiKhac[Phân bổ đến]-Table_LaiKhac[Phân bổ từ])/(365.25/12),0),
(ISBLANK(Table_LaiKhac[Tháng]))*
(Table_LaiKhac[Phân loại] =$C$45) *
(Table_LaiKhac[Phân bổ từ] &lt; DATE(BCTC_Nam,BCTC_Thang,1))*
(Table_LaiKhac[Phân bổ đến] &gt; DATE(BCTC_Nam,BCTC_Thang-1,1))
)),0)</f>
        <v>0</v>
      </c>
      <c r="F118" s="371" cm="1">
        <f t="array" ref="F118">Table_BCTC[[#This Row],[Đầu kỳ]]+
- IFERROR(
SUM(_xlfn._xlws.FILTER(Table_LaiKhac[Giá trị],
(Table_LaiKhac[Phân loại] =$C$45) *
(NOT(ISBLANK(Table_LaiKhac[Tháng]))) *
(Table_LaiKhac[Kỳ] &lt; DATE(BCTC_Nam, BCTC_Thang+1, 1))
)),0)
-IFERROR(
SUMPRODUCT(
_xlfn._xlws.FILTER(Table_LaiKhac[Giá trị],
(Table_LaiKhac[Phân loại] =$C$45)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=$C$45) *
(Table_LaiKhac[Phân bổ từ] &lt; DATE(BCTC_Nam,BCTC_Thang + 1,1))*
(Table_LaiKhac[Phân bổ đến] &gt; DATE(BCTC_Nam,BCTC_Thang,1))
),
1/_xlfn._xlws.FILTER(ROUND((Table_LaiKhac[Phân bổ đến]-Table_LaiKhac[Phân bổ từ])/(365.25/12),0),
(ISBLANK(Table_LaiKhac[Tháng]))*
(Table_LaiKhac[Phân loại] =$C$45) *
(Table_LaiKhac[Phân bổ từ] &lt; DATE(BCTC_Nam,BCTC_Thang + 1,1))*
(Table_LaiKhac[Phân bổ đến] &gt; DATE(BCTC_Nam,BCTC_Thang,1))
)),0)</f>
        <v>0</v>
      </c>
      <c r="G118" s="242"/>
      <c r="H118" s="365">
        <v>416</v>
      </c>
      <c r="I118" s="72" t="s">
        <v>480</v>
      </c>
      <c r="J118" s="362" cm="1">
        <f t="array" ref="J118">Table_BCTC[[#This Row],[Đầu kỳ]]
- IFERROR(
SUM(_xlfn._xlws.FILTER(Table_LaiKhac[Giá trị],
(Table_LaiKhac[Phân loại] =$C$45) *
(NOT(ISBLANK(Table_LaiKhac[Tháng]))) *
(Table_LaiKhac[Kỳ] &lt; DATE(J$1+1,1, 1))
)),0)
-IFERROR(
SUMPRODUCT(
_xlfn._xlws.FILTER(Table_LaiKhac[Giá trị],
(Table_LaiKhac[Phân loại] =$C$45)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=$C$45) *
(Table_LaiKhac[Phân bổ từ] &lt; DATE(J$1+1,1, 1))*
(Table_LaiKhac[Phân bổ đến] &gt; DATE(J$1,1, 1))
),
1/_xlfn._xlws.FILTER(ROUND((Table_LaiKhac[Phân bổ đến]-Table_LaiKhac[Phân bổ từ])/(365.25/12),0),
(ISBLANK(Table_LaiKhac[Tháng]))*
(Table_LaiKhac[Phân loại] =$C$45) *
(Table_LaiKhac[Phân bổ từ] &lt; DATE(J$1+1,1, 1))*
(Table_LaiKhac[Phân bổ đến] &gt; DATE(J$1,1, 1))
)),0)</f>
        <v>0</v>
      </c>
      <c r="K118" s="362" cm="1">
        <f t="array" ref="K118">Table_BCTC[[#This Row],[Đầu kỳ]]
- IFERROR(
SUM(_xlfn._xlws.FILTER(Table_LaiKhac[Giá trị],
(Table_LaiKhac[Phân loại] =$C$45) *
(NOT(ISBLANK(Table_LaiKhac[Tháng]))) *
(Table_LaiKhac[Kỳ] &lt; DATE(K$1+1,1, 1))
)),0)
-IFERROR(
SUMPRODUCT(
_xlfn._xlws.FILTER(Table_LaiKhac[Giá trị],
(Table_LaiKhac[Phân loại] =$C$45)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=$C$45) *
(Table_LaiKhac[Phân bổ từ] &lt; DATE(K$1+1,1, 1))*
(Table_LaiKhac[Phân bổ đến] &gt; DATE(K$1,1, 1))
),
1/_xlfn._xlws.FILTER(ROUND((Table_LaiKhac[Phân bổ đến]-Table_LaiKhac[Phân bổ từ])/(365.25/12),0),
(ISBLANK(Table_LaiKhac[Tháng]))*
(Table_LaiKhac[Phân loại] =$C$45) *
(Table_LaiKhac[Phân bổ từ] &lt; DATE(K$1+1,1, 1))*
(Table_LaiKhac[Phân bổ đến] &gt; DATE(K$1,1, 1))
)),0)</f>
        <v>0</v>
      </c>
      <c r="L118" s="242"/>
      <c r="M118" s="365">
        <v>416</v>
      </c>
      <c r="N118" s="72" t="s">
        <v>480</v>
      </c>
      <c r="O118" s="371" cm="1">
        <f t="array" ref="O118">Table_BCTC[[#This Row],[Đầu kỳ]]
- IFERROR(
SUM(_xlfn._xlws.FILTER(Table_LaiKhac[Giá trị],
(Table_LaiKhac[Phân loại] =$C$45) *
(NOT(ISBLANK(Table_LaiKhac[Tháng]))) *
(Table_LaiKhac[Kỳ] &lt; DATE(YEAR(O$1),MONTH(O$1)+1, 1))
)),0)
-IFERROR(
SUMPRODUCT(
_xlfn._xlws.FILTER(Table_LaiKhac[Giá trị],
(Table_LaiKhac[Phân loại] =$C$45) *
(ISBLANK(Table_LaiKhac[Tháng]))*
(Table_LaiKhac[Phân bổ từ] &lt; DATE(YEAR(O$1),MONTH(O$1)+ 1,1))*
(Table_LaiKhac[Phân bổ đến] &gt; O$1)
),
_xlfn._xlws.FILTER(ROUND((DATE(YEAR(O$1),MONTH(O$1)+1,1)-1-Table_LaiKhac[Phân bổ từ])/(365.25/12),0),
(ISBLANK(Table_LaiKhac[Tháng]))*
(Table_LaiKhac[Phân loại] =$C$45) *
(Table_LaiKhac[Phân bổ từ] &lt; DATE(YEAR(O$1),MONTH(O$1)+ 1,1))*
(Table_LaiKhac[Phân bổ đến] &gt; O$1)
),
1/_xlfn._xlws.FILTER(ROUND((Table_LaiKhac[Phân bổ đến]-Table_LaiKhac[Phân bổ từ])/(365.25/12),0),
(ISBLANK(Table_LaiKhac[Tháng]))*
(Table_LaiKhac[Phân loại] =$C$45) *
(Table_LaiKhac[Phân bổ từ] &lt; DATE(YEAR(O$1),MONTH(O$1)+ 1,1))*
(Table_LaiKhac[Phân bổ đến] &gt; O$1)
)),0)</f>
        <v>0</v>
      </c>
      <c r="P118" s="371" cm="1">
        <f t="array" ref="P118">Table_BCTC[[#This Row],[Đầu kỳ]]
- IFERROR(
SUM(_xlfn._xlws.FILTER(Table_LaiKhac[Giá trị],
(Table_LaiKhac[Phân loại] =$C$45) *
(NOT(ISBLANK(Table_LaiKhac[Tháng]))) *
(Table_LaiKhac[Kỳ] &lt; DATE(YEAR(P$1),MONTH(P$1)+1, 1))
)),0)
-IFERROR(
SUMPRODUCT(
_xlfn._xlws.FILTER(Table_LaiKhac[Giá trị],
(Table_LaiKhac[Phân loại] =$C$45) *
(ISBLANK(Table_LaiKhac[Tháng]))*
(Table_LaiKhac[Phân bổ từ] &lt; DATE(YEAR(P$1),MONTH(P$1)+ 1,1))*
(Table_LaiKhac[Phân bổ đến] &gt; P$1)
),
_xlfn._xlws.FILTER(ROUND((DATE(YEAR(P$1),MONTH(P$1)+1,1)-1-Table_LaiKhac[Phân bổ từ])/(365.25/12),0),
(ISBLANK(Table_LaiKhac[Tháng]))*
(Table_LaiKhac[Phân loại] =$C$45) *
(Table_LaiKhac[Phân bổ từ] &lt; DATE(YEAR(P$1),MONTH(P$1)+ 1,1))*
(Table_LaiKhac[Phân bổ đến] &gt; P$1)
),
1/_xlfn._xlws.FILTER(ROUND((Table_LaiKhac[Phân bổ đến]-Table_LaiKhac[Phân bổ từ])/(365.25/12),0),
(ISBLANK(Table_LaiKhac[Tháng]))*
(Table_LaiKhac[Phân loại] =$C$45) *
(Table_LaiKhac[Phân bổ từ] &lt; DATE(YEAR(P$1),MONTH(P$1)+ 1,1))*
(Table_LaiKhac[Phân bổ đến] &gt; P$1)
)),0)</f>
        <v>0</v>
      </c>
      <c r="Q118" s="265"/>
      <c r="R118" s="377"/>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44"/>
    </row>
    <row r="119" spans="1:39" ht="18" customHeight="1" outlineLevel="3" x14ac:dyDescent="0.15">
      <c r="A119" s="242">
        <f t="shared" si="1"/>
        <v>116</v>
      </c>
      <c r="B119" s="365">
        <v>420</v>
      </c>
      <c r="C119" s="72" t="s">
        <v>481</v>
      </c>
      <c r="D119" s="362">
        <v>0</v>
      </c>
      <c r="E119" s="362" cm="1">
        <f t="array" ref="E119">Table_BCTC[[#This Row],[Đầu kỳ]]
+IFERROR(SUM(_xlfn._xlws.FILTER(Table_Main[Giá trị bán trước VAT],
(Table_Main[Ngày lên đơn] &lt; DATE(BCTC_Nam, BCTC_Thang, 1))
)),0)
-IFERROR(SUM(_xlfn._xlws.FILTER(Table_DonBan[Giá trị CK],
(Table_DonBan[Ngày lập] &lt; DATE(BCTC_Nam, BCTC_Thang, 1))
)),0)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9" s="362" cm="1">
        <f t="array" ref="F119">Table_BCTC[[#This Row],[Đầu kỳ]]
+IFERROR(SUM(_xlfn._xlws.FILTER(Table_Main[Giá trị bán trước VAT],
(Table_Main[Ngày lên đơn] &lt; DATE(BCTC_Nam, BCTC_Thang+1, 1))
)),0)
-IFERROR(SUM(_xlfn._xlws.FILTER(Table_DonBan[Giá trị CK],
(Table_DonBan[Ngày lập] &lt; DATE(BCTC_Nam, BCTC_Thang+1, 1))
)),0)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 + 1,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 + 1, 1))
),
_xlfn._xlws.FILTER(ROUND((MIN(DATE(BCTC_Nam, BCTC_Thang + 1, 1), Table_VayNo[Kết thúc trả gốc]) - MAX(BCTC_BatDau,Table_VayNo[Ngày vay])) / (365.25/12), 0),
(ISBLANK(Table_VayNo[Thời hạn (tháng)]))*
(Table_VayNo[Ngày vay] &lt; DATE(BCTC_Nam, BCTC_Thang + 1,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9" s="242"/>
      <c r="H119" s="365">
        <v>420</v>
      </c>
      <c r="I119" s="72" t="s">
        <v>481</v>
      </c>
      <c r="J119" s="362" cm="1">
        <f t="array" ref="J119" xml:space="preserve">
Table_BCTC[[#This Row],[Đầu kỳ]]
+IFERROR(
SUM(
_xlfn._xlws.FILTER(Table_Main[Giá trị bán trước VAT],
(Table_Main[Ngày lên đơn] &lt; DATE(J$1+1,1, 1))
)),
0)
-IFERROR(
SUM(
_xlfn._xlws.FILTER(Table_DonBan[Giá trị CK],
(Table_DonBan[Ngày lập] &lt; DATE(J$1+1,1, 1))
)),
0)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
),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9" s="362" cm="1">
        <f t="array" ref="K119" xml:space="preserve">
Table_BCTC[[#This Row],[Đầu kỳ]]
+IFERROR(
SUM(
_xlfn._xlws.FILTER(Table_Main[Giá trị bán trước VAT],
(Table_Main[Ngày lên đơn] &lt; DATE(K$1+1,1, 1))
)),
0)
-IFERROR(
SUM(
_xlfn._xlws.FILTER(Table_DonBan[Giá trị CK],
(Table_DonBan[Ngày lập] &lt; DATE(K$1+1,1, 1))
)),
0)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
),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9" s="242"/>
      <c r="M119" s="365">
        <v>420</v>
      </c>
      <c r="N119" s="72" t="s">
        <v>481</v>
      </c>
      <c r="O119" s="312" cm="1">
        <f t="array" ref="O119">Table_BCTC[[#This Row],[Đầu kỳ]]
+IFERROR(
SUM(
_xlfn._xlws.FILTER(Table_Main[Giá trị bán trước VAT],
(Table_Main[Ngày lên đơn] &lt; DATE(YEAR(O$1),MONTH(O$1)+1, 1))
)),
0)
-IFERROR(
SUM(
_xlfn._xlws.FILTER(Table_DonBan[Giá trị CK],
(Table_DonBan[Ngày lập] &lt; DATE(YEAR(O$1),MONTH(O$1)+1, 1))
)),
0)
-IFERROR(
SUM(
_xlfn._xlws.FILTER(Table_TonKho[Chi phí ghi nhận],
(Table_TonKho[Kỳ] &lt; DATE(YEAR(O$1),MONTH(O$1)+1,1)) *
(NOT(ISBLANK(Table_TonKho[Chức năng])))
)),
0)
-IFERROR(
SUM(
_xlfn._xlws.FILTER(Table_ChiPhiKD[Giá trị],
(NOT(ISBLANK(Table_ChiPhiKD[Tháng])))*
(Table_ChiPhiKD[Kỳ] &lt; DATE(YEAR(O$1),MONTH(O$1)+1,1))
)),
0)
-IFERROR(
SUM(
_xlfn._xlws.FILTER(Table_ChiPhiKD[Giá trị],
(ISBLANK(Table_ChiPhiKD[Tháng]))*
(Table_ChiPhiKD[Phân bổ đến] &lt;= O$1)
)),
0)
-IFERROR(
SUMPRODUCT(
_xlfn._xlws.FILTER(Table_ChiPhiKD[Giá trị],
(ISBLANK(Table_ChiPhiKD[Tháng]))*
(Table_ChiPhiKD[Phân bổ từ] &lt;= DATE(YEAR(O$1),MONTH(O$1)+1,1))*
(Table_ChiPhiKD[Phân bổ đến] &gt; O$1)
),
_xlfn._xlws.FILTER(
ROUND(
(DATE(YEAR(O$1),MONTH(O$1)+1,1)-1-Table_ChiPhiKD[Phân bổ từ])
/(365.25/12),
0),
(ISBLANK(Table_ChiPhiKD[Tháng]))*
(Table_ChiPhiKD[Phân bổ từ] &lt;= DATE(YEAR(O$1),MONTH(O$1)+1,1))*
(Table_ChiPhiKD[Phân bổ đến] &gt; O$1)
),
1/_xlfn._xlws.FILTER(
ROUND(
(Table_ChiPhiKD[Phân bổ đến]-Table_ChiPhiKD[Phân bổ từ])
/(365.25/12),
0),
(ISBLANK(Table_ChiPhiKD[Tháng]))*
(Table_ChiPhiKD[Phân bổ từ] &lt;= DATE(YEAR(O$1),MONTH(O$1)+1,1))*
(Table_ChiPhiKD[Phân bổ đến] &gt; O$1)
)
),
0)
-IFERROR(
SUM(
_xlfn._xlws.FILTER(Table_DonMua[Phụ phí]-Table_DonMua[Khuyến mãi],
(Table_DonMua[Ngày lập] &lt; DATE(YEAR(O$1),MONTH(O$1)+1, 1))
)),
0)
-IFERROR(
SUM(
_xlfn._xlws.FILTER(Table_TSCD_KhauHao[Khấu hao],
(Table_TSCD_KhauHao[Kỳ] &lt; DATE(YEAR(O$1),MONTH(O$1)+1, 1))
)),
0)
-IFERROR(
SUM(
_xlfn._xlws.FILTER(Table_Main[CK kênh],
(Table_Main[Ngày lên đơn] &lt; DATE(YEAR(O$1),MONTH(O$1)+1, 1))
)),
0)
-IFERROR(
SUM(
_xlfn._xlws.FILTER(Table_KPI[Thưởng KPI],
(NOT(ISBLANK(Table_KPI[Kênh]))) *
(NOT(ISBLANK(Table_KPI[Tháng]))) *
(Table_KPI[Kỳ] &lt; DATE(YEAR(O$1),MONTH(O$1)+1, 1))
)),
0)
-IFERROR(
SUM(
_xlfn._xlws.FILTER(Table_KPI[Thưởng KPI],
(NOT(ISBLANK(Table_KPI[Kênh]))) *
(ISBLANK(Table_KPI[Tháng])) *
(Table_KPI[Năm] &lt; YEAR(O$1))
)),
0)
-IFERROR(
SUM(
_xlfn._xlws.FILTER(Table_KPI[Thưởng KPI],
(NOT(ISBLANK(Table_KPI[Kênh]))) *
(ISBLANK(Table_KPI[Tháng])) *
(Table_KPI[Năm] = YEAR(O$1))
))*MONTH(O$1)/12,
0)
-IFERROR(
SUM(
_xlfn._xlws.FILTER(Table_ChiPhiNV[Tổng chi phí],
(NOT(ISBLANK(Table_ChiPhiNV[Tháng])))*
(Table_ChiPhiNV[Kỳ] &lt; DATE(YEAR(O$1),MONTH(O$1)+1,1))
)),
0)
-IFERROR(
SUM(
_xlfn._xlws.FILTER(Table_ChiPhiNV[Tổng chi phí],
(ISBLANK(Table_ChiPhiNV[Tháng]))*
(Table_ChiPhiNV[Phân bổ đến] &lt;= O$1)
)),
0)
-IFERROR(
SUMPRODUCT(
_xlfn._xlws.FILTER(Table_ChiPhiNV[Tổng chi phí],
(ISBLANK(Table_ChiPhiNV[Tháng]))*
(Table_ChiPhiNV[Phân bổ từ] &lt;= DATE(YEAR(O$1),MONTH(O$1)+1,1))*
(Table_ChiPhiNV[Phân bổ đến] &gt; O$1)
),
_xlfn._xlws.FILTER(
ROUND(
(DATE(YEAR(O$1),MONTH(O$1)+1,1)-1-Table_ChiPhiNV[Phân bổ từ])
/(365.25/12),
0),
(ISBLANK(Table_ChiPhiNV[Tháng]))*
(Table_ChiPhiNV[Phân bổ từ] &lt;= DATE(YEAR(O$1),MONTH(O$1)+1,1))*
(Table_ChiPhiNV[Phân bổ đến] &gt; O$1)
),
1/_xlfn._xlws.FILTER(
ROUND(
(Table_ChiPhiNV[Phân bổ đến]-Table_ChiPhiNV[Phân bổ từ])
/(365.25/12),
0),
(ISBLANK(Table_ChiPhiNV[Tháng]))*
(Table_ChiPhiNV[Phân bổ từ] &lt;= DATE(YEAR(O$1),MONTH(O$1)+1,1))*
(Table_ChiPhiNV[Phân bổ đến] &gt; O$1)
)
),
0)
-IFERROR(
SUM(
_xlfn._xlws.FILTER(Table_VanDon[Phí ship],
(Table_VanDon[Bên chịu phí] = "Bên bán") *
(Table_VanDon[Ngày lập] &lt; DATE(YEAR(O$1),MONTH(O$1)+1,1))
)),
0)
-IFERROR(
SUM(
_xlfn._xlws.FILTER(Table_ThuChiKD[Phí GD],
(Table_ThuChiKD[Ngày GD] &lt; DATE(YEAR(O$1),MONTH(O$1)+ 1, 1))
)),
0)
-IFERROR(
SUM(
_xlfn._xlws.FILTER(Table_VayNo_LichTra[Lãi vay],
(Table_VayNo_LichTra[Kỳ] &lt; DATE(YEAR(O$1),MONTH(O$1)+1,1))*
(NOT(ISBLANK(Table_VayNo_LichTra[Tháng])))
)),
0)
-IFERROR(
SUM(_xlfn._xlws.FILTER(Table_VayNo_LichTra[Lãi vay],
(Table_VayNo_LichTra[Năm] &lt; YEAR(M$1))*
(ISBLANK(Table_VayNo_LichTra[Tháng]))
)),0)
-IFERROR(
SUMPRODUCT(
_xlfn._xlws.FILTER(Table_VayNo_LichTra[Lãi vay],
(Table_VayNo_LichTra[Năm] = YEAR(M$1)) *
(ISBLANK(Table_VayNo_LichTra[Tháng]))
),
_xlfn._xlws.FILTER(
IF(VLOOKUP(Table_VayNo_LichTra[Khoản vay],
Table_VayNo[], COUNTA(Table_VayNo[[#Headers],[Mã khoản vay]:[Ngày vay]]),
0) &lt; DATE(YEAR(M$1),1,1), MONTH(M$1),
MONTH(M$1) - MONTH(VLOOKUP(Table_VayNo_LichTra[Khoản vay],
Table_VayNo[],COUNTA(Table_VayNo[[#Headers],[Mã khoản vay]:[Ngày vay]]),
0))),
(Table_VayNo_LichTra[Năm] = YEAR(M$1)) *
(ISBLANK(Table_VayNo_LichTra[Tháng]))
),
_xlfn._xlws.FILTER(
IF(VLOOKUP(Table_VayNo_LichTra[Khoản vay],
Table_VayNo[],COUNTA(Table_VayNo[[#Headers],[Mã khoản vay]:[Kết thúc trả gốc]]),
0)&gt;=DATE(YEAR(M$1)+1,1,1),12,
MONTH(VLOOKUP(Table_VayNo_LichTra[Khoản vay],
Table_VayNo[],COUNTA(Table_VayNo[[#Headers],[Mã khoản vay]:[Kết thúc trả gốc]]),
0)))
-IF(VLOOKUP(Table_VayNo_LichTra[Khoản vay],
Table_VayNo[],COUNTA(Table_VayNo[[#Headers],[Mã khoản vay]:[Ngày vay]]),
0) &lt;DATE(YEAR(M$1),1,1),0,
MONTH(VLOOKUP(Table_VayNo_LichTra[Khoản vay],
Table_VayNo[],COUNTA(Table_VayNo[[#Headers],[Mã khoản vay]:[Ngày vay]]),
0))),
(Table_VayNo_LichTra[Năm] = YEAR(M$1)) *
(ISBLANK(Table_VayNo_LichTra[Tháng]))
)),0)
+IFERROR(
SUM(
_xlfn._xlws.FILTER(Table_DauTu_LichThu[Nhận lãi],
(Table_DauTu_LichThu[Kỳ] &lt; DATE(YEAR(O$1),MONTH(O$1)+1,1))
)),
0)
+IFERROR(
SUM(
_xlfn._xlws.FILTER(Table_LaiKhac[Giá trị],
(NOT(ISBLANK(Table_LaiKhac[Tháng])))*
(Table_LaiKhac[Kỳ] &lt; DATE(YEAR(O$1),MONTH(O$1)+1,1))
)),
0)
+IFERROR(
SUM(
_xlfn._xlws.FILTER(Table_LaiKhac[Giá trị],
(ISBLANK(Table_LaiKhac[Tháng]))*
(Table_LaiKhac[Phân bổ đến] &lt;= O$1)
)),
0)
+IFERROR(
SUMPRODUCT(
_xlfn._xlws.FILTER(Table_LaiKhac[Giá trị],
(ISBLANK(Table_LaiKhac[Tháng]))*
(Table_LaiKhac[Phân bổ từ] &lt;= DATE(YEAR(O$1),MONTH(O$1)+1,1))*
(Table_LaiKhac[Phân bổ đến] &gt; O$1)
),
_xlfn._xlws.FILTER(
ROUND(
(DATE(YEAR(O$1),MONTH(O$1)+1,1)-1-Table_LaiKhac[Phân bổ từ])
/(365.25/12),
0),
(ISBLANK(Table_LaiKhac[Tháng]))*
(Table_LaiKhac[Phân bổ từ] &lt;= DATE(YEAR(O$1),MONTH(O$1)+1,1))*
(Table_LaiKhac[Phân bổ đến] &gt; O$1)
),
1/_xlfn._xlws.FILTER(
ROUND(
(Table_LaiKhac[Phân bổ đến]-Table_LaiKhac[Phân bổ từ])
/(365.25/12),
0),
(ISBLANK(Table_LaiKhac[Tháng]))*
(Table_LaiKhac[Phân bổ từ] &lt;= DATE(YEAR(O$1),MONTH(O$1)+1,1))*
(Table_LaiKhac[Phân bổ đến] &gt; O$1)
)
),
0)
-IFERROR(
SUM(
_xlfn._xlws.FILTER(Table_LaiKhac[Giá trị VAT],
(Table_LaiKhac[Giá trị]&gt;0)*
(NOT(ISBLANK(Table_LaiKhac[Tháng])))*
(Table_LaiKhac[Kỳ] &lt; DATE(YEAR(O$1),MONTH(O$1)+1,1))
)),
0)
-IFERROR(
SUM(_xlfn._xlws.FILTER(Table_LaiKhac[Giá trị VAT],
(Table_LaiKhac[Giá trị]&gt;0)*
(ISBLANK(Table_LaiKhac[Tháng]))*
(Table_LaiKhac[Phân bổ đến] &lt;= O$1)
)),
0)
-IFERROR(
SUMPRODUCT(
_xlfn._xlws.FILTER(Table_LaiKhac[Giá trị VAT],
(Table_LaiKhac[Giá trị]&gt;0)*
(ISBLANK(Table_LaiKhac[Tháng]))*
(Table_LaiKhac[Phân bổ từ] &lt;= DATE(YEAR(O$1),MONTH(O$1)+1,1))*
(Table_LaiKhac[Phân bổ đến] &gt; O$1)
),
_xlfn._xlws.FILTER(
ROUND(
(DATE(YEAR(O$1),MONTH(O$1)+1,1)-1-Table_LaiKhac[Phân bổ từ])
/(365.25/12),
0),
(Table_LaiKhac[Giá trị]&gt;0)*
(ISBLANK(Table_LaiKhac[Tháng]))*
(Table_LaiKhac[Phân bổ từ] &lt;= DATE(YEAR(O$1),MONTH(O$1)+1,1))*
(Table_LaiKhac[Phân bổ đến] &gt; O$1)
),
1/_xlfn._xlws.FILTER(
ROUND(
(Table_LaiKhac[Phân bổ đến]-Table_LaiKhac[Phân bổ từ])
/(365.25/12),
0),
(Table_LaiKhac[Giá trị]&gt;0)*
(ISBLANK(Table_LaiKhac[Tháng]))*
(Table_LaiKhac[Phân bổ từ] &lt;= DATE(YEAR(O$1),MONTH(O$1)+1,1))*
(Table_LaiKhac[Phân bổ đến] &gt; O$1)
)
),
0)
-IFERROR(
SUM(
_xlfn._xlws.FILTER(Table_ThuChiTC[Giá trị GD],
(Table_ThuChiTC[Loại GD] = "CHI") *
(Table_ThuChiTC[Nội dung GD] = "Cổ tức, lợi nhuận đã trả cho chú sở hữu") *
(Table_ThuChiTC[Ngày GD] &lt; DATE(YEAR(O$1),MONTH(O$1)+1,1))
)),
0)
+IFERROR(
SUM(
_xlfn._xlws.FILTER(Table_ThuChiTC[Giá trị GD],
(Table_ThuChiTC[Loại GD] = "THU") *
(Table_ThuChiTC[Nội dung GD] = "Cổ tức, lợi nhuận đã trả cho chú sở hữu") *
(Table_ThuChiTC[Ngày GD] &lt; DATE(YEAR(O$1),MONTH(O$1)+1,1))
)),
0)</f>
        <v>0</v>
      </c>
      <c r="P119" s="312" cm="1">
        <f t="array" ref="P119">Table_BCTC[[#This Row],[Đầu kỳ]]
+IFERROR(
SUM(
_xlfn._xlws.FILTER(Table_Main[Giá trị bán trước VAT],
(Table_Main[Ngày lên đơn] &lt; DATE(YEAR(P$1),MONTH(P$1)+1, 1))
)),
0)
-IFERROR(
SUM(
_xlfn._xlws.FILTER(Table_DonBan[Giá trị CK],
(Table_DonBan[Ngày lập] &lt; DATE(YEAR(P$1),MONTH(P$1)+1, 1))
)),
0)
-IFERROR(
SUM(
_xlfn._xlws.FILTER(Table_TonKho[Chi phí ghi nhận],
(Table_TonKho[Kỳ] &lt; DATE(YEAR(P$1),MONTH(P$1)+1,1)) *
(NOT(ISBLANK(Table_TonKho[Chức năng])))
)),
0)
-IFERROR(
SUM(
_xlfn._xlws.FILTER(Table_ChiPhiKD[Giá trị],
(NOT(ISBLANK(Table_ChiPhiKD[Tháng])))*
(Table_ChiPhiKD[Kỳ] &lt; DATE(YEAR(P$1),MONTH(P$1)+1,1))
)),
0)
-IFERROR(
SUM(
_xlfn._xlws.FILTER(Table_ChiPhiKD[Giá trị],
(ISBLANK(Table_ChiPhiKD[Tháng]))*
(Table_ChiPhiKD[Phân bổ đến] &lt;= P$1)
)),
0)
-IFERROR(
SUMPRODUCT(
_xlfn._xlws.FILTER(Table_ChiPhiKD[Giá trị],
(ISBLANK(Table_ChiPhiKD[Tháng]))*
(Table_ChiPhiKD[Phân bổ từ] &lt;= DATE(YEAR(P$1),MONTH(P$1)+1,1))*
(Table_ChiPhiKD[Phân bổ đến] &gt; P$1)
),
_xlfn._xlws.FILTER(
ROUND(
(DATE(YEAR(P$1),MONTH(P$1)+1,1)-1-Table_ChiPhiKD[Phân bổ từ])
/(365.25/12),
0),
(ISBLANK(Table_ChiPhiKD[Tháng]))*
(Table_ChiPhiKD[Phân bổ từ] &lt;= DATE(YEAR(P$1),MONTH(P$1)+1,1))*
(Table_ChiPhiKD[Phân bổ đến] &gt; P$1)
),
1/_xlfn._xlws.FILTER(
ROUND(
(Table_ChiPhiKD[Phân bổ đến]-Table_ChiPhiKD[Phân bổ từ])
/(365.25/12),
0),
(ISBLANK(Table_ChiPhiKD[Tháng]))*
(Table_ChiPhiKD[Phân bổ từ] &lt;= DATE(YEAR(P$1),MONTH(P$1)+1,1))*
(Table_ChiPhiKD[Phân bổ đến] &gt; P$1)
)
),
0)
-IFERROR(
SUM(
_xlfn._xlws.FILTER(Table_DonMua[Phụ phí]-Table_DonMua[Khuyến mãi],
(Table_DonMua[Ngày lập] &lt; DATE(YEAR(P$1),MONTH(P$1)+1, 1))
)),
0)
-IFERROR(
SUM(
_xlfn._xlws.FILTER(Table_TSCD_KhauHao[Khấu hao],
(Table_TSCD_KhauHao[Kỳ] &lt; DATE(YEAR(P$1),MONTH(P$1)+1, 1))
)),
0)
-IFERROR(
SUM(
_xlfn._xlws.FILTER(Table_Main[CK kênh],
(Table_Main[Ngày lên đơn] &lt; DATE(YEAR(P$1),MONTH(P$1)+1, 1))
)),
0)
-IFERROR(
SUM(
_xlfn._xlws.FILTER(Table_KPI[Thưởng KPI],
(NOT(ISBLANK(Table_KPI[Kênh]))) *
(NOT(ISBLANK(Table_KPI[Tháng]))) *
(Table_KPI[Kỳ] &lt; DATE(YEAR(P$1),MONTH(P$1)+1, 1))
)),
0)
-IFERROR(
SUM(
_xlfn._xlws.FILTER(Table_KPI[Thưởng KPI],
(NOT(ISBLANK(Table_KPI[Kênh]))) *
(ISBLANK(Table_KPI[Tháng])) *
(Table_KPI[Năm] &lt; YEAR(P$1))
)),
0)
-IFERROR(
SUM(
_xlfn._xlws.FILTER(Table_KPI[Thưởng KPI],
(NOT(ISBLANK(Table_KPI[Kênh]))) *
(ISBLANK(Table_KPI[Tháng])) *
(Table_KPI[Năm] = YEAR(P$1))
))*MONTH(P$1)/12,
0)
-IFERROR(
SUM(
_xlfn._xlws.FILTER(Table_ChiPhiNV[Tổng chi phí],
(NOT(ISBLANK(Table_ChiPhiNV[Tháng])))*
(Table_ChiPhiNV[Kỳ] &lt; DATE(YEAR(P$1),MONTH(P$1)+1,1))
)),
0)
-IFERROR(
SUM(
_xlfn._xlws.FILTER(Table_ChiPhiNV[Tổng chi phí],
(ISBLANK(Table_ChiPhiNV[Tháng]))*
(Table_ChiPhiNV[Phân bổ đến] &lt;= P$1)
)),
0)
-IFERROR(
SUMPRODUCT(
_xlfn._xlws.FILTER(Table_ChiPhiNV[Tổng chi phí],
(ISBLANK(Table_ChiPhiNV[Tháng]))*
(Table_ChiPhiNV[Phân bổ từ] &lt;= DATE(YEAR(P$1),MONTH(P$1)+1,1))*
(Table_ChiPhiNV[Phân bổ đến] &gt; P$1)
),
_xlfn._xlws.FILTER(
ROUND(
(DATE(YEAR(P$1),MONTH(P$1)+1,1)-1-Table_ChiPhiNV[Phân bổ từ])
/(365.25/12),
0),
(ISBLANK(Table_ChiPhiNV[Tháng]))*
(Table_ChiPhiNV[Phân bổ từ] &lt;= DATE(YEAR(P$1),MONTH(P$1)+1,1))*
(Table_ChiPhiNV[Phân bổ đến] &gt; P$1)
),
1/_xlfn._xlws.FILTER(
ROUND(
(Table_ChiPhiNV[Phân bổ đến]-Table_ChiPhiNV[Phân bổ từ])
/(365.25/12),
0),
(ISBLANK(Table_ChiPhiNV[Tháng]))*
(Table_ChiPhiNV[Phân bổ từ] &lt;= DATE(YEAR(P$1),MONTH(P$1)+1,1))*
(Table_ChiPhiNV[Phân bổ đến] &gt; P$1)
)
),
0)
-IFERROR(
SUM(
_xlfn._xlws.FILTER(Table_VanDon[Phí ship],
(Table_VanDon[Bên chịu phí] = "Bên bán") *
(Table_VanDon[Ngày lập] &lt; DATE(YEAR(P$1),MONTH(P$1)+1,1))
)),
0)
-IFERROR(
SUM(
_xlfn._xlws.FILTER(Table_ThuChiKD[Phí GD],
(Table_ThuChiKD[Ngày GD] &lt; DATE(YEAR(P$1),MONTH(P$1)+ 1, 1))
)),
0)
-IFERROR(
SUM(
_xlfn._xlws.FILTER(Table_VayNo_LichTra[Lãi vay],
(Table_VayNo_LichTra[Kỳ] &lt; DATE(YEAR(P$1),MONTH(P$1)+1,1))*
(NOT(ISBLANK(Table_VayNo_LichTra[Tháng])))
)),
0)
-IFERROR(
SUM(_xlfn._xlws.FILTER(Table_VayNo_LichTra[Lãi vay],
(Table_VayNo_LichTra[Năm] &lt; YEAR(N$1))*
(ISBLANK(Table_VayNo_LichTra[Tháng]))
)),0)
-IFERROR(
SUMPRODUCT(
_xlfn._xlws.FILTER(Table_VayNo_LichTra[Lãi vay],
(Table_VayNo_LichTra[Năm] = YEAR(N$1)) *
(ISBLANK(Table_VayNo_LichTra[Tháng]))
),
_xlfn._xlws.FILTER(
IF(VLOOKUP(Table_VayNo_LichTra[Khoản vay],
Table_VayNo[], COUNTA(Table_VayNo[[#Headers],[Mã khoản vay]:[Ngày vay]]),
0) &lt; DATE(YEAR(N$1),1,1), MONTH(N$1),
MONTH(N$1) - MONTH(VLOOKUP(Table_VayNo_LichTra[Khoản vay],
Table_VayNo[],COUNTA(Table_VayNo[[#Headers],[Mã khoản vay]:[Ngày vay]]),
0))),
(Table_VayNo_LichTra[Năm] = YEAR(N$1)) *
(ISBLANK(Table_VayNo_LichTra[Tháng]))
),
_xlfn._xlws.FILTER(
IF(VLOOKUP(Table_VayNo_LichTra[Khoản vay],
Table_VayNo[],COUNTA(Table_VayNo[[#Headers],[Mã khoản vay]:[Kết thúc trả gốc]]),
0)&gt;=DATE(YEAR(N$1)+1,1,1),12,
MONTH(VLOOKUP(Table_VayNo_LichTra[Khoản vay],
Table_VayNo[],COUNTA(Table_VayNo[[#Headers],[Mã khoản vay]:[Kết thúc trả gốc]]),
0)))
-IF(VLOOKUP(Table_VayNo_LichTra[Khoản vay],
Table_VayNo[],COUNTA(Table_VayNo[[#Headers],[Mã khoản vay]:[Ngày vay]]),
0) &lt;DATE(YEAR(N$1),1,1),0,
MONTH(VLOOKUP(Table_VayNo_LichTra[Khoản vay],
Table_VayNo[],COUNTA(Table_VayNo[[#Headers],[Mã khoản vay]:[Ngày vay]]),
0))),
(Table_VayNo_LichTra[Năm] = YEAR(N$1)) *
(ISBLANK(Table_VayNo_LichTra[Tháng]))
)),0)
+IFERROR(
SUM(
_xlfn._xlws.FILTER(Table_DauTu_LichThu[Nhận lãi],
(Table_DauTu_LichThu[Kỳ] &lt; DATE(YEAR(P$1),MONTH(P$1)+1,1))
)),
0)
+IFERROR(
SUM(
_xlfn._xlws.FILTER(Table_LaiKhac[Giá trị],
(NOT(ISBLANK(Table_LaiKhac[Tháng])))*
(Table_LaiKhac[Kỳ] &lt; DATE(YEAR(P$1),MONTH(P$1)+1,1))
)),
0)
+IFERROR(
SUM(
_xlfn._xlws.FILTER(Table_LaiKhac[Giá trị],
(ISBLANK(Table_LaiKhac[Tháng]))*
(Table_LaiKhac[Phân bổ đến] &lt;= P$1)
)),
0)
+IFERROR(
SUMPRODUCT(
_xlfn._xlws.FILTER(Table_LaiKhac[Giá trị],
(ISBLANK(Table_LaiKhac[Tháng]))*
(Table_LaiKhac[Phân bổ từ] &lt;= DATE(YEAR(P$1),MONTH(P$1)+1,1))*
(Table_LaiKhac[Phân bổ đến] &gt; P$1)
),
_xlfn._xlws.FILTER(
ROUND(
(DATE(YEAR(P$1),MONTH(P$1)+1,1)-1-Table_LaiKhac[Phân bổ từ])
/(365.25/12),
0),
(ISBLANK(Table_LaiKhac[Tháng]))*
(Table_LaiKhac[Phân bổ từ] &lt;= DATE(YEAR(P$1),MONTH(P$1)+1,1))*
(Table_LaiKhac[Phân bổ đến] &gt; P$1)
),
1/_xlfn._xlws.FILTER(
ROUND(
(Table_LaiKhac[Phân bổ đến]-Table_LaiKhac[Phân bổ từ])
/(365.25/12),
0),
(ISBLANK(Table_LaiKhac[Tháng]))*
(Table_LaiKhac[Phân bổ từ] &lt;= DATE(YEAR(P$1),MONTH(P$1)+1,1))*
(Table_LaiKhac[Phân bổ đến] &gt; P$1)
)
),
0)
-IFERROR(
SUM(
_xlfn._xlws.FILTER(Table_LaiKhac[Giá trị VAT],
(Table_LaiKhac[Giá trị]&gt;0)*
(NOT(ISBLANK(Table_LaiKhac[Tháng])))*
(Table_LaiKhac[Kỳ] &lt; DATE(YEAR(P$1),MONTH(P$1)+1,1))
)),
0)
-IFERROR(
SUM(_xlfn._xlws.FILTER(Table_LaiKhac[Giá trị VAT],
(Table_LaiKhac[Giá trị]&gt;0)*
(ISBLANK(Table_LaiKhac[Tháng]))*
(Table_LaiKhac[Phân bổ đến] &lt;= P$1)
)),
0)
-IFERROR(
SUMPRODUCT(
_xlfn._xlws.FILTER(Table_LaiKhac[Giá trị VAT],
(Table_LaiKhac[Giá trị]&gt;0)*
(ISBLANK(Table_LaiKhac[Tháng]))*
(Table_LaiKhac[Phân bổ từ] &lt;= DATE(YEAR(P$1),MONTH(P$1)+1,1))*
(Table_LaiKhac[Phân bổ đến] &gt; P$1)
),
_xlfn._xlws.FILTER(
ROUND(
(DATE(YEAR(P$1),MONTH(P$1)+1,1)-1-Table_LaiKhac[Phân bổ từ])
/(365.25/12),
0),
(Table_LaiKhac[Giá trị]&gt;0)*
(ISBLANK(Table_LaiKhac[Tháng]))*
(Table_LaiKhac[Phân bổ từ] &lt;= DATE(YEAR(P$1),MONTH(P$1)+1,1))*
(Table_LaiKhac[Phân bổ đến] &gt; P$1)
),
1/_xlfn._xlws.FILTER(
ROUND(
(Table_LaiKhac[Phân bổ đến]-Table_LaiKhac[Phân bổ từ])
/(365.25/12),
0),
(Table_LaiKhac[Giá trị]&gt;0)*
(ISBLANK(Table_LaiKhac[Tháng]))*
(Table_LaiKhac[Phân bổ từ] &lt;= DATE(YEAR(P$1),MONTH(P$1)+1,1))*
(Table_LaiKhac[Phân bổ đến] &gt; P$1)
)
),
0)
-IFERROR(
SUM(
_xlfn._xlws.FILTER(Table_ThuChiTC[Giá trị GD],
(Table_ThuChiTC[Loại GD] = "CHI") *
(Table_ThuChiTC[Nội dung GD] = "Cổ tức, lợi nhuận đã trả cho chú sở hữu") *
(Table_ThuChiTC[Ngày GD] &lt; DATE(YEAR(P$1),MONTH(P$1)+1,1))
)),
0)
+IFERROR(
SUM(
_xlfn._xlws.FILTER(Table_ThuChiTC[Giá trị GD],
(Table_ThuChiTC[Loại GD] = "THU") *
(Table_ThuChiTC[Nội dung GD] = "Cổ tức, lợi nhuận đã trả cho chú sở hữu") *
(Table_ThuChiTC[Ngày GD] &lt; DATE(YEAR(P$1),MONTH(P$1)+1,1))
)),
0)</f>
        <v>0</v>
      </c>
      <c r="Q119" s="265"/>
      <c r="R119" s="264"/>
      <c r="S119" s="265"/>
      <c r="T119" s="265"/>
      <c r="U119" s="265"/>
      <c r="V119" s="265"/>
      <c r="W119" s="265"/>
      <c r="X119" s="265"/>
      <c r="Y119" s="265"/>
      <c r="Z119" s="265"/>
      <c r="AA119" s="265"/>
      <c r="AB119" s="265"/>
      <c r="AC119" s="265"/>
      <c r="AD119" s="265"/>
      <c r="AE119" s="265"/>
      <c r="AF119" s="265"/>
      <c r="AG119" s="265"/>
      <c r="AH119" s="265"/>
      <c r="AI119" s="265"/>
      <c r="AJ119" s="265"/>
      <c r="AK119" s="265"/>
      <c r="AL119" s="265"/>
      <c r="AM119" s="244"/>
    </row>
    <row r="120" spans="1:39" ht="18" customHeight="1" outlineLevel="3" x14ac:dyDescent="0.15">
      <c r="A120" s="242">
        <f t="shared" si="1"/>
        <v>117</v>
      </c>
      <c r="B120" s="259"/>
      <c r="C120" s="72" t="s">
        <v>482</v>
      </c>
      <c r="D120" s="362">
        <v>0</v>
      </c>
      <c r="E120" s="312" cm="1">
        <f t="array" ref="E120">Table_BCTC[[#This Row],[Đầu kỳ]]
-IFERROR(
SUMPRODUCT(
_xlfn._xlws.FILTER(Table_ChiPhiNV[Tổng chi phí],
(Table_ChiPhiNV[Năm] = BCTC_Nam) *
(ISBLANK(Table_ChiPhiNV[Tháng]))*
(Table_ChiPhiNV[Phân bổ từ] &lt; DATE(BCTC_Nam,BCTC_Thang,1))*
(Table_ChiPhiNV[Phân bổ đến] &gt; DATE(BCTC_Nam,BCTC_Thang-1,1))
),
_xlfn._xlws.FILTER(ROUND((Table_ChiPhiNV[Phân bổ đến]-DATE(BCTC_Nam,BCTC_Thang,1))/(365.25/12),0),
(Table_ChiPhiNV[Năm] = BCTC_Nam) *
(ISBLANK(Table_ChiPhiNV[Tháng]))*
(Table_ChiPhiNV[Phân bổ từ] &lt; DATE(BCTC_Nam,BCTC_Thang,1))*
(Table_ChiPhiNV[Phân bổ đến] &gt; DATE(BCTC_Nam,BCTC_Thang-1,1))
),
1/_xlfn._xlws.FILTER(ROUND((Table_ChiPhiNV[Phân bổ đến]-Table_ChiPhiNV[Phân bổ từ])/(365.25/12),0),
(Table_ChiPhiNV[Năm] = BCTC_Nam) *
(ISBLANK(Table_ChiPhiNV[Tháng]))*
(Table_ChiPhiNV[Phân bổ từ] &lt; DATE(BCTC_Nam,BCTC_Thang,1))*
(Table_ChiPhiNV[Phân bổ đến] &gt; DATE(BCTC_Nam,BCTC_Thang-1,1))
)),0)
-IFERROR(
SUMPRODUCT(
_xlfn._xlws.FILTER(Table_ChiPhiKD[Giá trị],
(Table_ChiPhiKD[Năm] = BCTC_Nam) *
(ISBLANK(Table_ChiPhiKD[Tháng]))*
(Table_ChiPhiKD[Phân bổ từ] &lt; DATE(BCTC_Nam,BCTC_Thang,1))*
(Table_ChiPhiKD[Phân bổ đến] &gt; DATE(BCTC_Nam,BCTC_Thang-1,1))
),
_xlfn._xlws.FILTER(ROUND((Table_ChiPhiKD[Phân bổ đến]-DATE(BCTC_Nam,BCTC_Thang,1))/(365.25/12),0),
(Table_ChiPhiKD[Năm] = BCTC_Nam) *
(ISBLANK(Table_ChiPhiKD[Tháng]))*
(Table_ChiPhiKD[Phân bổ từ] &lt; DATE(BCTC_Nam,BCTC_Thang,1))*
(Table_ChiPhiKD[Phân bổ đến] &gt; DATE(BCTC_Nam,BCTC_Thang-1,1))
),
1/_xlfn._xlws.FILTER(ROUND((Table_ChiPhiKD[Phân bổ đến]-Table_ChiPhiKD[Phân bổ từ])/(365.25/12),0),
(Table_ChiPhiKD[Năm] = BCTC_Nam) *
(ISBLANK(Table_ChiPhiKD[Tháng]))*
(Table_ChiPhiKD[Phân bổ từ] &lt; DATE(BCTC_Nam,BCTC_Thang,1))*
(Table_ChiPhiKD[Phân bổ đến] &gt; DATE(BCTC_Nam,BCTC_Thang-1,1))
)),0)
-IFERROR(
IF(BCTC_Thang=1,0,
SUM(_xlfn._xlws.FILTER(Table_KPI[Thưởng KPI],
(NOT(ISBLANK(Table_KPI[Kênh]))) *
(ISBLANK(Table_KPI[Tháng])) *
(Table_KPI[Năm]=  BCTC_Nam)
))*(12-BCTC_Thang+1)/12),0)
+IFERROR(
SUMPRODUCT(
_xlfn._xlws.FILTER(Table_LaiKhac[Giá trị],
(Table_LaiKhac[Năm] = BCTC_Nam) *
(ISBLANK(Table_LaiKhac[Tháng]))*
(Table_LaiKhac[Phân bổ từ] &lt; DATE(BCTC_Nam,BCTC_Thang,1))*
(Table_LaiKhac[Phân bổ đến] &gt; DATE(BCTC_Nam,BCTC_Thang-1,1))
),
_xlfn._xlws.FILTER(ROUND((Table_LaiKhac[Phân bổ đến]-DATE(BCTC_Nam,BCTC_Thang,1))/(365.25/12),0),
(Table_LaiKhac[Năm] = BCTC_Nam) *
(ISBLANK(Table_LaiKhac[Tháng]))*
(Table_LaiKhac[Phân bổ từ] &lt; DATE(BCTC_Nam,BCTC_Thang,1))*
(Table_LaiKhac[Phân bổ đến] &gt; DATE(BCTC_Nam,BCTC_Thang-1,1))
),
1/_xlfn._xlws.FILTER(ROUND((Table_LaiKhac[Phân bổ đến]-Table_LaiKhac[Phân bổ từ])/(365.25/12),0),
(Table_LaiKhac[Năm] = BCTC_Nam) *
(ISBLANK(Table_LaiKhac[Tháng]))*
(Table_LaiKhac[Phân bổ từ] &lt; DATE(BCTC_Nam,BCTC_Thang,1))*
(Table_LaiKhac[Phân bổ đến] &gt; DATE(BCTC_Nam,BCTC_Thang-1,1))
)),0)
-IFERROR(
SUMPRODUCT(
_xlfn._xlws.FILTER(Table_LaiKhac[Giá trị VAT],
(Table_LaiKhac[Giá trị] &gt;0)*
(Table_LaiKhac[Năm] = BCTC_Nam) *
(ISBLANK(Table_LaiKhac[Tháng]))*
(Table_LaiKhac[Phân bổ từ] &lt; DATE(BCTC_Nam,BCTC_Thang,1))*
(Table_LaiKhac[Phân bổ đến] &gt; DATE(BCTC_Nam,BCTC_Thang-1,1))
),
_xlfn._xlws.FILTER(ROUND((Table_LaiKhac[Phân bổ đến]-DATE(BCTC_Nam,BCTC_Thang,1))/(365.25/12),0),
(Table_LaiKhac[Giá trị] &gt;0)*
(Table_LaiKhac[Năm] = BCTC_Nam) *
(ISBLANK(Table_LaiKhac[Tháng]))*
(Table_LaiKhac[Phân bổ từ] &lt; DATE(BCTC_Nam,BCTC_Thang,1))*
(Table_LaiKhac[Phân bổ đến] &gt; DATE(BCTC_Nam,BCTC_Thang-1,1))
),
1/_xlfn._xlws.FILTER(ROUND((Table_LaiKhac[Phân bổ đến]-Table_LaiKhac[Phân bổ từ])/(365.25/12),0),
(Table_LaiKhac[Giá trị] &gt;0)*
(Table_LaiKhac[Năm] = BCTC_Nam) *
(ISBLANK(Table_LaiKhac[Tháng]))*
(Table_LaiKhac[Phân bổ từ] &lt; DATE(BCTC_Nam,BCTC_Thang,1))*
(Table_LaiKhac[Phân bổ đến] &gt; DATE(BCTC_Nam,BCTC_Thang-1,1))
)),0)</f>
        <v>0</v>
      </c>
      <c r="F120" s="312" cm="1">
        <f t="array" ref="F120">Table_BCTC[[#This Row],[Đầu kỳ]]
-IFERROR(
SUMPRODUCT(
_xlfn._xlws.FILTER(Table_ChiPhiNV[Tổng chi phí],
(Table_ChiPhiNV[Năm] = BCTC_Nam) *
(ISBLANK(Table_ChiPhiNV[Tháng]))*
(Table_ChiPhiNV[Phân bổ từ] &lt; DATE(BCTC_Nam,BCTC_Thang+1,1))*
(Table_ChiPhiNV[Phân bổ đến] &gt; DATE(BCTC_Nam,BCTC_Thang,1))
),
_xlfn._xlws.FILTER(ROUND((Table_ChiPhiNV[Phân bổ đến]-DATE(BCTC_Nam,BCTC_Thang+1,1))/(365.25/12),0),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(Table_ChiPhiNV[Năm] = BCTC_Nam) *
(ISBLANK(Table_ChiPhiNV[Tháng]))*
(Table_ChiPhiNV[Phân bổ từ] &lt; DATE(BCTC_Nam,BCTC_Thang+1,1))*
(Table_ChiPhiNV[Phân bổ đến] &gt; DATE(BCTC_Nam,BCTC_Thang,1))
)),0)
-IFERROR(
SUMPRODUCT(
_xlfn._xlws.FILTER(Table_ChiPhiKD[Giá trị],
(Table_ChiPhiKD[Năm] = BCTC_Nam) *
(ISBLANK(Table_ChiPhiKD[Tháng]))*
(Table_ChiPhiKD[Phân bổ từ] &lt; DATE(BCTC_Nam,BCTC_Thang+1,1))*
(Table_ChiPhiKD[Phân bổ đến] &gt; DATE(BCTC_Nam,BCTC_Thang,1))
),
_xlfn._xlws.FILTER(ROUND((Table_ChiPhiKD[Phân bổ đến]-DATE(BCTC_Nam,BCTC_Thang+1,1))/(365.25/12),0),
(Table_ChiPhiKD[Năm] = BCTC_Nam) *
(ISBLANK(Table_ChiPhiKD[Tháng]))*
(Table_ChiPhiKD[Phân bổ từ] &lt; DATE(BCTC_Nam,BCTC_Thang+1,1))*
(Table_ChiPhiKD[Phân bổ đến] &gt; DATE(BCTC_Nam,BCTC_Thang,1))
),
1/_xlfn._xlws.FILTER(ROUND((Table_ChiPhiKD[Phân bổ đến]-Table_ChiPhiKD[Phân bổ từ])/(365.25/12),0),
(Table_ChiPhiKD[Năm] = BCTC_Nam) *
(ISBLANK(Table_ChiPhiKD[Tháng]))*
(Table_ChiPhiKD[Phân bổ từ] &lt; DATE(BCTC_Nam,BCTC_Thang+1,1))*
(Table_ChiPhiKD[Phân bổ đến] &gt; DATE(BCTC_Nam,BCTC_Thang,1))
)),0)
-IFERROR(
SUM(_xlfn._xlws.FILTER(Table_KPI[Thưởng KPI],
(NOT(ISBLANK(Table_KPI[Kênh]))) *
(ISBLANK(Table_KPI[Tháng])) *
(Table_KPI[Năm]=  BCTC_Nam)
))*(12-BCTC_Thang)/12,0)
+IFERROR(
SUMPRODUCT(
_xlfn._xlws.FILTER(Table_LaiKhac[Giá trị],
(Table_LaiKhac[Năm] = BCTC_Nam) *
(ISBLANK(Table_LaiKhac[Tháng]))*
(Table_LaiKhac[Phân bổ từ] &lt; DATE(BCTC_Nam,BCTC_Thang+1,1))*
(Table_LaiKhac[Phân bổ đến] &gt; DATE(BCTC_Nam,BCTC_Thang,1))
),
_xlfn._xlws.FILTER(ROUND((Table_LaiKhac[Phân bổ đến]-DATE(BCTC_Nam,BCTC_Thang+1,1))/(365.25/12),0),
(Table_LaiKhac[Năm] = BCTC_Nam) *
(ISBLANK(Table_LaiKhac[Tháng]))*
(Table_LaiKhac[Phân bổ từ] &lt; DATE(BCTC_Nam,BCTC_Thang+1,1))*
(Table_LaiKhac[Phân bổ đến] &gt; DATE(BCTC_Nam,BCTC_Thang,1))
),
1/_xlfn._xlws.FILTER(ROUND((Table_LaiKhac[Phân bổ đến]-Table_LaiKhac[Phân bổ từ])/(365.25/12),0),
(Table_LaiKhac[Năm] = BCTC_Nam) *
(ISBLANK(Table_LaiKhac[Tháng]))*
(Table_LaiKhac[Phân bổ từ] &lt; DATE(BCTC_Nam,BCTC_Thang+1,1))*
(Table_LaiKhac[Phân bổ đến] &gt; DATE(BCTC_Nam,BCTC_Thang,1))
)),0)
-IFERROR(
SUMPRODUCT(
_xlfn._xlws.FILTER(Table_LaiKhac[Giá trị VAT],
(Table_LaiKhac[Giá trị] &gt;0)*
(Table_LaiKhac[Năm] = BCTC_Nam) *
(ISBLANK(Table_LaiKhac[Tháng]))*
(Table_LaiKhac[Phân bổ từ] &lt; DATE(BCTC_Nam,BCTC_Thang+1,1))*
(Table_LaiKhac[Phân bổ đến] &gt; DATE(BCTC_Nam,BCTC_Thang,1))
),
_xlfn._xlws.FILTER(ROUND((Table_LaiKhac[Phân bổ đến]-DATE(BCTC_Nam,BCTC_Thang+1,1))/(365.25/12),0),
(Table_LaiKhac[Giá trị] &gt;0)*
(Table_LaiKhac[Năm] = BCTC_Nam) *
(ISBLANK(Table_LaiKhac[Tháng]))*
(Table_LaiKhac[Phân bổ từ] &lt; DATE(BCTC_Nam,BCTC_Thang+1,1))*
(Table_LaiKhac[Phân bổ đến] &gt; DATE(BCTC_Nam,BCTC_Thang,1))
),
1/_xlfn._xlws.FILTER(ROUND((Table_LaiKhac[Phân bổ đến]-Table_LaiKhac[Phân bổ từ])/(365.25/12),0),
(Table_LaiKhac[Giá trị] &gt;0)*
(Table_LaiKhac[Năm] = BCTC_Nam) *
(ISBLANK(Table_LaiKhac[Tháng]))*
(Table_LaiKhac[Phân bổ từ] &lt; DATE(BCTC_Nam,BCTC_Thang+1,1))*
(Table_LaiKhac[Phân bổ đến] &gt; DATE(BCTC_Nam,BCTC_Thang,1))
)),0)</f>
        <v>0</v>
      </c>
      <c r="G120" s="242"/>
      <c r="H120" s="359"/>
      <c r="I120" s="72" t="s">
        <v>482</v>
      </c>
      <c r="J120" s="312"/>
      <c r="K120" s="312"/>
      <c r="L120" s="242"/>
      <c r="M120" s="365"/>
      <c r="N120" s="72" t="s">
        <v>482</v>
      </c>
      <c r="O120" s="312"/>
      <c r="P120" s="312"/>
      <c r="Q120" s="265"/>
      <c r="R120" s="265"/>
      <c r="S120" s="265"/>
      <c r="T120" s="265"/>
      <c r="U120" s="265"/>
      <c r="V120" s="265"/>
      <c r="W120" s="265"/>
      <c r="X120" s="265"/>
      <c r="Y120" s="265"/>
      <c r="Z120" s="265"/>
      <c r="AA120" s="265"/>
      <c r="AB120" s="265"/>
      <c r="AC120" s="265"/>
      <c r="AD120" s="265"/>
      <c r="AE120" s="265"/>
      <c r="AF120" s="265"/>
      <c r="AG120" s="265"/>
      <c r="AH120" s="265"/>
      <c r="AI120" s="265"/>
      <c r="AJ120" s="265"/>
      <c r="AK120" s="265"/>
      <c r="AL120" s="265"/>
      <c r="AM120" s="244"/>
    </row>
    <row r="121" spans="1:39" ht="18" customHeight="1" outlineLevel="2" x14ac:dyDescent="0.15">
      <c r="A121" s="242">
        <f t="shared" si="1"/>
        <v>118</v>
      </c>
      <c r="B121" s="259">
        <v>430</v>
      </c>
      <c r="C121" s="73" t="s">
        <v>483</v>
      </c>
      <c r="D121" s="244"/>
      <c r="E121" s="312"/>
      <c r="F121" s="244"/>
      <c r="G121" s="242"/>
      <c r="H121" s="259">
        <v>430</v>
      </c>
      <c r="I121" s="73" t="s">
        <v>483</v>
      </c>
      <c r="J121" s="312"/>
      <c r="K121" s="312"/>
      <c r="L121" s="242"/>
      <c r="M121" s="259">
        <v>430</v>
      </c>
      <c r="N121" s="73" t="s">
        <v>483</v>
      </c>
      <c r="O121" s="244"/>
      <c r="P121" s="244"/>
      <c r="Q121" s="265"/>
      <c r="R121" s="265"/>
      <c r="S121" s="265"/>
      <c r="T121" s="265"/>
      <c r="U121" s="265"/>
      <c r="V121" s="265"/>
      <c r="W121" s="265"/>
      <c r="X121" s="265"/>
      <c r="Y121" s="265"/>
      <c r="Z121" s="265"/>
      <c r="AA121" s="265"/>
      <c r="AB121" s="265"/>
      <c r="AC121" s="265"/>
      <c r="AD121" s="265"/>
      <c r="AE121" s="265"/>
      <c r="AF121" s="265"/>
      <c r="AG121" s="265"/>
      <c r="AH121" s="265"/>
      <c r="AI121" s="265"/>
      <c r="AJ121" s="265"/>
      <c r="AK121" s="265"/>
      <c r="AL121" s="265"/>
      <c r="AM121" s="244"/>
    </row>
    <row r="122" spans="1:39" ht="18" customHeight="1" x14ac:dyDescent="0.15">
      <c r="A122" s="242">
        <f t="shared" si="1"/>
        <v>119</v>
      </c>
      <c r="B122" s="259"/>
      <c r="C122" s="368"/>
      <c r="D122" s="242"/>
      <c r="E122" s="358"/>
      <c r="F122" s="358"/>
      <c r="G122" s="242"/>
      <c r="H122" s="359"/>
      <c r="I122" s="368"/>
      <c r="J122" s="358"/>
      <c r="K122" s="358"/>
      <c r="L122" s="242"/>
      <c r="M122" s="365"/>
      <c r="N122" s="361"/>
      <c r="O122" s="358"/>
      <c r="P122" s="358"/>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44"/>
    </row>
    <row r="123" spans="1:39" ht="18" customHeight="1" x14ac:dyDescent="0.15">
      <c r="A123" s="242">
        <f t="shared" si="1"/>
        <v>120</v>
      </c>
      <c r="B123" s="259"/>
      <c r="C123" s="74" t="s">
        <v>484</v>
      </c>
      <c r="D123" s="242"/>
      <c r="E123" s="358"/>
      <c r="F123" s="358"/>
      <c r="G123" s="242"/>
      <c r="H123" s="359"/>
      <c r="I123" s="74" t="s">
        <v>484</v>
      </c>
      <c r="J123" s="358"/>
      <c r="K123" s="358"/>
      <c r="L123" s="242"/>
      <c r="M123" s="365"/>
      <c r="N123" s="74" t="s">
        <v>484</v>
      </c>
      <c r="O123" s="358"/>
      <c r="P123" s="358"/>
      <c r="Q123" s="265"/>
      <c r="R123" s="265"/>
      <c r="S123" s="265"/>
      <c r="T123" s="265"/>
      <c r="U123" s="265"/>
      <c r="V123" s="265"/>
      <c r="W123" s="265"/>
      <c r="X123" s="265"/>
      <c r="Y123" s="265"/>
      <c r="Z123" s="265"/>
      <c r="AA123" s="265"/>
      <c r="AB123" s="265"/>
      <c r="AC123" s="265"/>
      <c r="AD123" s="265"/>
      <c r="AE123" s="265"/>
      <c r="AF123" s="265"/>
      <c r="AG123" s="265"/>
      <c r="AH123" s="265"/>
      <c r="AI123" s="265"/>
      <c r="AJ123" s="265"/>
      <c r="AK123" s="265"/>
      <c r="AL123" s="265"/>
      <c r="AM123" s="244"/>
    </row>
    <row r="124" spans="1:39" ht="18" customHeight="1" outlineLevel="1" x14ac:dyDescent="0.15">
      <c r="A124" s="242">
        <f t="shared" si="1"/>
        <v>121</v>
      </c>
      <c r="B124" s="359"/>
      <c r="C124" s="79" t="s">
        <v>485</v>
      </c>
      <c r="D124" s="265"/>
      <c r="E124" s="358"/>
      <c r="F124" s="358"/>
      <c r="G124" s="242"/>
      <c r="H124" s="359"/>
      <c r="I124" s="79" t="s">
        <v>485</v>
      </c>
      <c r="J124" s="358"/>
      <c r="K124" s="358"/>
      <c r="L124" s="242"/>
      <c r="M124" s="359"/>
      <c r="N124" s="79" t="s">
        <v>485</v>
      </c>
      <c r="O124" s="358"/>
      <c r="P124" s="358"/>
      <c r="Q124" s="265"/>
      <c r="R124" s="265"/>
      <c r="S124" s="265"/>
      <c r="T124" s="265"/>
      <c r="U124" s="265"/>
      <c r="V124" s="265"/>
      <c r="W124" s="265"/>
      <c r="X124" s="265"/>
      <c r="Y124" s="265"/>
      <c r="Z124" s="265"/>
      <c r="AA124" s="265"/>
      <c r="AB124" s="265"/>
      <c r="AC124" s="265"/>
      <c r="AD124" s="265"/>
      <c r="AE124" s="265"/>
      <c r="AF124" s="265"/>
      <c r="AG124" s="265"/>
      <c r="AH124" s="265"/>
      <c r="AI124" s="265"/>
      <c r="AJ124" s="265"/>
      <c r="AK124" s="265"/>
      <c r="AL124" s="265"/>
      <c r="AM124" s="244"/>
    </row>
    <row r="125" spans="1:39" ht="18" customHeight="1" outlineLevel="2" x14ac:dyDescent="0.15">
      <c r="A125" s="242">
        <f t="shared" si="1"/>
        <v>122</v>
      </c>
      <c r="B125" s="359"/>
      <c r="C125" s="78" t="s">
        <v>486</v>
      </c>
      <c r="D125" s="265"/>
      <c r="E125" s="80">
        <f>+IFERROR(E20/E11,0)</f>
        <v>0</v>
      </c>
      <c r="F125" s="80">
        <f>+IFERROR(F20/F11,0)</f>
        <v>0</v>
      </c>
      <c r="G125" s="242"/>
      <c r="H125" s="359"/>
      <c r="I125" s="78" t="s">
        <v>486</v>
      </c>
      <c r="J125" s="80">
        <f>+IFERROR(J20/J11,0)</f>
        <v>0</v>
      </c>
      <c r="K125" s="80">
        <f>+IFERROR(K20/K11,0)</f>
        <v>0</v>
      </c>
      <c r="L125" s="242"/>
      <c r="M125" s="359"/>
      <c r="N125" s="78" t="s">
        <v>486</v>
      </c>
      <c r="O125" s="80">
        <f>+IFERROR(O20/O11,0)</f>
        <v>0</v>
      </c>
      <c r="P125" s="80">
        <f>+IFERROR(P20/P11,0)</f>
        <v>0</v>
      </c>
      <c r="Q125" s="265"/>
      <c r="R125" s="265"/>
      <c r="S125" s="265"/>
      <c r="T125" s="265"/>
      <c r="U125" s="265"/>
      <c r="V125" s="265"/>
      <c r="W125" s="265"/>
      <c r="X125" s="265"/>
      <c r="Y125" s="265"/>
      <c r="Z125" s="265"/>
      <c r="AA125" s="265"/>
      <c r="AB125" s="265"/>
      <c r="AC125" s="265"/>
      <c r="AD125" s="265"/>
      <c r="AE125" s="265"/>
      <c r="AF125" s="265"/>
      <c r="AG125" s="265"/>
      <c r="AH125" s="265"/>
      <c r="AI125" s="265"/>
      <c r="AJ125" s="265"/>
      <c r="AK125" s="265"/>
      <c r="AL125" s="265"/>
      <c r="AM125" s="244"/>
    </row>
    <row r="126" spans="1:39" ht="18" customHeight="1" outlineLevel="2" x14ac:dyDescent="0.15">
      <c r="A126" s="242">
        <f t="shared" si="1"/>
        <v>123</v>
      </c>
      <c r="B126" s="359"/>
      <c r="C126" s="78" t="s">
        <v>487</v>
      </c>
      <c r="D126" s="265"/>
      <c r="E126" s="80">
        <f>+IFERROR(E40/E11,0)</f>
        <v>0</v>
      </c>
      <c r="F126" s="80">
        <f>+IFERROR(F40/F11,0)</f>
        <v>0</v>
      </c>
      <c r="G126" s="242"/>
      <c r="H126" s="359"/>
      <c r="I126" s="78" t="s">
        <v>487</v>
      </c>
      <c r="J126" s="80">
        <f>+IFERROR(J40/J11,0)</f>
        <v>0</v>
      </c>
      <c r="K126" s="80">
        <f>+IFERROR(K40/K11,0)</f>
        <v>0</v>
      </c>
      <c r="L126" s="242"/>
      <c r="M126" s="359"/>
      <c r="N126" s="78" t="s">
        <v>487</v>
      </c>
      <c r="O126" s="80">
        <f>+IFERROR(O40/O11,0)</f>
        <v>0</v>
      </c>
      <c r="P126" s="80">
        <f>+IFERROR(P40/P11,0)</f>
        <v>0</v>
      </c>
      <c r="Q126" s="265"/>
      <c r="R126" s="265"/>
      <c r="S126" s="265"/>
      <c r="T126" s="265"/>
      <c r="U126" s="265"/>
      <c r="V126" s="265"/>
      <c r="W126" s="265"/>
      <c r="X126" s="265"/>
      <c r="Y126" s="265"/>
      <c r="Z126" s="265"/>
      <c r="AA126" s="265"/>
      <c r="AB126" s="265"/>
      <c r="AC126" s="265"/>
      <c r="AD126" s="265"/>
      <c r="AE126" s="265"/>
      <c r="AF126" s="265"/>
      <c r="AG126" s="265"/>
      <c r="AH126" s="265"/>
      <c r="AI126" s="265"/>
      <c r="AJ126" s="265"/>
      <c r="AK126" s="265"/>
      <c r="AL126" s="265"/>
      <c r="AM126" s="244"/>
    </row>
    <row r="127" spans="1:39" ht="18" customHeight="1" outlineLevel="2" x14ac:dyDescent="0.15">
      <c r="A127" s="242">
        <f t="shared" si="1"/>
        <v>124</v>
      </c>
      <c r="B127" s="359"/>
      <c r="C127" s="78" t="s">
        <v>488</v>
      </c>
      <c r="D127" s="265"/>
      <c r="E127" s="80">
        <f>+IFERROR(E50/E11,0)</f>
        <v>0</v>
      </c>
      <c r="F127" s="80">
        <f>+IFERROR(F50/F11,0)</f>
        <v>0</v>
      </c>
      <c r="G127" s="242"/>
      <c r="H127" s="359"/>
      <c r="I127" s="78" t="s">
        <v>488</v>
      </c>
      <c r="J127" s="80">
        <f>+IFERROR(J50/J11,0)</f>
        <v>0</v>
      </c>
      <c r="K127" s="80">
        <f>+IFERROR(K50/K11,0)</f>
        <v>0</v>
      </c>
      <c r="L127" s="242"/>
      <c r="M127" s="359"/>
      <c r="N127" s="78" t="s">
        <v>488</v>
      </c>
      <c r="O127" s="80">
        <f>+IFERROR(O50/O11,0)</f>
        <v>0</v>
      </c>
      <c r="P127" s="80">
        <f>+IFERROR(P50/P11,0)</f>
        <v>0</v>
      </c>
      <c r="Q127" s="265"/>
      <c r="R127" s="265"/>
      <c r="S127" s="265"/>
      <c r="T127" s="265"/>
      <c r="U127" s="265"/>
      <c r="V127" s="265"/>
      <c r="W127" s="265"/>
      <c r="X127" s="265"/>
      <c r="Y127" s="265"/>
      <c r="Z127" s="265"/>
      <c r="AA127" s="265"/>
      <c r="AB127" s="265"/>
      <c r="AC127" s="265"/>
      <c r="AD127" s="265"/>
      <c r="AE127" s="265"/>
      <c r="AF127" s="265"/>
      <c r="AG127" s="265"/>
      <c r="AH127" s="265"/>
      <c r="AI127" s="265"/>
      <c r="AJ127" s="265"/>
      <c r="AK127" s="265"/>
      <c r="AL127" s="265"/>
      <c r="AM127" s="244"/>
    </row>
    <row r="128" spans="1:39" ht="18" customHeight="1" outlineLevel="2" x14ac:dyDescent="0.15">
      <c r="A128" s="242">
        <f t="shared" si="1"/>
        <v>125</v>
      </c>
      <c r="B128" s="359"/>
      <c r="C128" s="78" t="s">
        <v>489</v>
      </c>
      <c r="D128" s="265"/>
      <c r="E128" s="80">
        <f xml:space="preserve">
IFERROR(
E50/
((E77+E90
+ IFERROR(HLOOKUP(E$1-1,Table_BCTC_Nam[],$A$77,0),$D$77)
+ IFERROR(HLOOKUP(E$1-1,Table_BCTC_Nam[],$A$90,0),$D$90)
)/2),0)</f>
        <v>0</v>
      </c>
      <c r="F128" s="80">
        <f>IFERROR(F50/
((F77+F90
+ IFERROR(
HLOOKUP(DATE(YEAR(F$1),MONTH(F$1)-1,1),Table_BCTC_Thang[],$A$77,0),
$D$77)
+ IFERROR(HLOOKUP(DATE(YEAR(F$1),MONTH(F$1)-1,1),Table_BCTC_Thang[],$A$90,0),
$D$90)
)/2),0)</f>
        <v>0</v>
      </c>
      <c r="G128" s="242"/>
      <c r="H128" s="359"/>
      <c r="I128" s="78" t="s">
        <v>489</v>
      </c>
      <c r="J128" s="80">
        <f xml:space="preserve">
IFERROR(
J50/
((J77+J90
+ IFERROR(HLOOKUP(J$1-1,Table_BCTC_Nam[],$A$77,0),$D$77)
+ IFERROR(HLOOKUP(J$1-1,Table_BCTC_Nam[],$A$90,0),$D$90)
)/2),0)</f>
        <v>0</v>
      </c>
      <c r="K128" s="80">
        <f xml:space="preserve">
IFERROR(
K50/
((K77+K90
+ IFERROR(HLOOKUP(K$1-1,Table_BCTC_Nam[],$A$77,0),$D$77)
+ IFERROR(HLOOKUP(K$1-1,Table_BCTC_Nam[],$A$90,0),$D$90)
)/2),0)</f>
        <v>0</v>
      </c>
      <c r="L128" s="242"/>
      <c r="M128" s="359"/>
      <c r="N128" s="78" t="s">
        <v>489</v>
      </c>
      <c r="O128" s="80">
        <f ca="1">IFERROR(O50/
((O77+O90
+ IFERROR(
HLOOKUP(DATE(YEAR(O$1),MONTH(O$1)-1,1),Table_BCTC_Thang[],$A$77,0),
$D$77)
+ IFERROR(HLOOKUP(DATE(YEAR(O$1),MONTH(O$1)-1,1),Table_BCTC_Thang[],$A$90,0),
$D$90)
)/2),0)</f>
        <v>0</v>
      </c>
      <c r="P128" s="80">
        <f ca="1">IFERROR(P50/
((P77+P90
+ IFERROR(
HLOOKUP(DATE(YEAR(P$1),MONTH(P$1)-1,1),Table_BCTC_Thang[],$A$77,0),
$D$77)
+ IFERROR(HLOOKUP(DATE(YEAR(P$1),MONTH(P$1)-1,1),Table_BCTC_Thang[],$A$90,0),
$D$90)
)/2),0)</f>
        <v>0</v>
      </c>
      <c r="Q128" s="265"/>
      <c r="R128" s="265"/>
      <c r="S128" s="265"/>
      <c r="T128" s="265"/>
      <c r="U128" s="265"/>
      <c r="V128" s="265"/>
      <c r="W128" s="265"/>
      <c r="X128" s="265"/>
      <c r="Y128" s="265"/>
      <c r="Z128" s="265"/>
      <c r="AA128" s="265"/>
      <c r="AB128" s="265"/>
      <c r="AC128" s="265"/>
      <c r="AD128" s="265"/>
      <c r="AE128" s="265"/>
      <c r="AF128" s="265"/>
      <c r="AG128" s="265"/>
      <c r="AH128" s="265"/>
      <c r="AI128" s="265"/>
      <c r="AJ128" s="265"/>
      <c r="AK128" s="265"/>
      <c r="AL128" s="265"/>
      <c r="AM128" s="244"/>
    </row>
    <row r="129" spans="1:39" ht="18" customHeight="1" outlineLevel="2" x14ac:dyDescent="0.15">
      <c r="A129" s="242">
        <f t="shared" si="1"/>
        <v>126</v>
      </c>
      <c r="B129" s="359"/>
      <c r="C129" s="78" t="s">
        <v>490</v>
      </c>
      <c r="D129" s="265"/>
      <c r="E129" s="80">
        <f>IFERROR(E50/
((E115
+ IFERROR(HLOOKUP(E$1-1,Table_BCTC_Nam[],$A$115,0),$D$115)
)/2),0)</f>
        <v>0</v>
      </c>
      <c r="F129" s="80" t="e">
        <f>F50/
((F115
+ IFERROR(
HLOOKUP(DATE(YEAR(F$1),MONTH(F$1)-1,1),Table_BCTC_Thang[],$A$115,0),
$D$115)
)/2)</f>
        <v>#DIV/0!</v>
      </c>
      <c r="G129" s="242"/>
      <c r="H129" s="359"/>
      <c r="I129" s="78" t="s">
        <v>490</v>
      </c>
      <c r="J129" s="80">
        <f>IFERROR(J50/
((J115
+ IFERROR(HLOOKUP(J$1-1,Table_BCTC_Nam[],$A$115,0),$D$115)
)/2),0)</f>
        <v>0</v>
      </c>
      <c r="K129" s="80">
        <f>IFERROR(K50/
((K115
+ IFERROR(HLOOKUP(K$1-1,Table_BCTC_Nam[],$A$115,0),$D$115)
)/2),0)</f>
        <v>0</v>
      </c>
      <c r="L129" s="242"/>
      <c r="M129" s="359"/>
      <c r="N129" s="78" t="s">
        <v>490</v>
      </c>
      <c r="O129" s="80" t="e">
        <f>O50/
((O115
+ IFERROR(
HLOOKUP(DATE(YEAR(O$1),MONTH(O$1)-1,1),Table_BCTC_Thang[],$A$115,0),
$D$115)
)/2)</f>
        <v>#DIV/0!</v>
      </c>
      <c r="P129" s="80" t="e">
        <f>P50/
((P115
+ IFERROR(
HLOOKUP(DATE(YEAR(P$1),MONTH(P$1)-1,1),Table_BCTC_Thang[],$A$115,0),
$D$115)
)/2)</f>
        <v>#DIV/0!</v>
      </c>
      <c r="Q129" s="265"/>
      <c r="R129" s="265"/>
      <c r="S129" s="265"/>
      <c r="T129" s="265"/>
      <c r="U129" s="265"/>
      <c r="V129" s="265"/>
      <c r="W129" s="265"/>
      <c r="X129" s="265"/>
      <c r="Y129" s="265"/>
      <c r="Z129" s="265"/>
      <c r="AA129" s="265"/>
      <c r="AB129" s="265"/>
      <c r="AC129" s="265"/>
      <c r="AD129" s="265"/>
      <c r="AE129" s="265"/>
      <c r="AF129" s="265"/>
      <c r="AG129" s="265"/>
      <c r="AH129" s="265"/>
      <c r="AI129" s="265"/>
      <c r="AJ129" s="265"/>
      <c r="AK129" s="265"/>
      <c r="AL129" s="265"/>
      <c r="AM129" s="244"/>
    </row>
    <row r="130" spans="1:39" ht="18" customHeight="1" outlineLevel="2" x14ac:dyDescent="0.15">
      <c r="A130" s="242">
        <f t="shared" si="1"/>
        <v>127</v>
      </c>
      <c r="B130" s="359"/>
      <c r="C130" s="78" t="s">
        <v>491</v>
      </c>
      <c r="D130" s="265"/>
      <c r="E130" s="80">
        <f xml:space="preserve">
IFERROR(
(E$40-E$37-E$30-E$18)/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0" s="219">
        <f>(F$40-F$37-F$30-F$18)/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0" s="242"/>
      <c r="H130" s="359"/>
      <c r="I130" s="78" t="s">
        <v>491</v>
      </c>
      <c r="J130" s="80">
        <f xml:space="preserve">
IFERROR(
(J$40-J$37-J$30-J$18)/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0" s="80">
        <f xml:space="preserve">
IFERROR(
(K$40-K$37-K$30-K$18)/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0" s="242"/>
      <c r="M130" s="359"/>
      <c r="N130" s="78" t="s">
        <v>491</v>
      </c>
      <c r="O130" s="219">
        <f>(O$40-O$37-O$30-O$18)/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0" s="219">
        <f>(P$40-P$37-P$30-P$18)/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0" s="265"/>
      <c r="R130" s="265"/>
      <c r="S130" s="265"/>
      <c r="T130" s="265"/>
      <c r="U130" s="265"/>
      <c r="V130" s="265"/>
      <c r="W130" s="265"/>
      <c r="X130" s="265"/>
      <c r="Y130" s="265"/>
      <c r="Z130" s="265"/>
      <c r="AA130" s="265"/>
      <c r="AB130" s="265"/>
      <c r="AC130" s="265"/>
      <c r="AD130" s="265"/>
      <c r="AE130" s="265"/>
      <c r="AF130" s="265"/>
      <c r="AG130" s="265"/>
      <c r="AH130" s="265"/>
      <c r="AI130" s="265"/>
      <c r="AJ130" s="265"/>
      <c r="AK130" s="265"/>
      <c r="AL130" s="265"/>
      <c r="AM130" s="244"/>
    </row>
    <row r="131" spans="1:39" ht="18" customHeight="1" outlineLevel="2" x14ac:dyDescent="0.15">
      <c r="A131" s="242">
        <f t="shared" si="1"/>
        <v>128</v>
      </c>
      <c r="B131" s="359"/>
      <c r="C131" s="78" t="s">
        <v>492</v>
      </c>
      <c r="D131" s="265"/>
      <c r="E131" s="80" t="e">
        <f>(E40-E37-E30-E18)/-(E12+E21+E32-E37-E30-E18-E23-E27-E25+E42)</f>
        <v>#DIV/0!</v>
      </c>
      <c r="F131" s="80" t="e">
        <f>(F40-F37-F30-F18)/-(F12+F21+F32-F37-F30-F18-F23-F27-F25+F42)</f>
        <v>#DIV/0!</v>
      </c>
      <c r="G131" s="242"/>
      <c r="H131" s="359"/>
      <c r="I131" s="78" t="s">
        <v>492</v>
      </c>
      <c r="J131" s="80" t="e">
        <f>(J40-J37-J30-J18)/-(J12+J21+J32-J37-J30-J18-J23-J27-J25+J42)</f>
        <v>#DIV/0!</v>
      </c>
      <c r="K131" s="80" t="e">
        <f>(K40-K37-K30-K18)/-(K12+K21+K32-K37-K30-K18-K23-K27-K25+K42)</f>
        <v>#DIV/0!</v>
      </c>
      <c r="L131" s="242"/>
      <c r="M131" s="359"/>
      <c r="N131" s="78" t="s">
        <v>492</v>
      </c>
      <c r="O131" s="80" t="e">
        <f>(O40-O37-O30-O18)/-(O12+O21+O32-O37-O30-O18-O23-O27-O25+O42)</f>
        <v>#DIV/0!</v>
      </c>
      <c r="P131" s="80" t="e">
        <f>(P40-P37-P30-P18)/-(P12+P21+P32-P37-P30-P18-P23-P27-P25+P42)</f>
        <v>#DIV/0!</v>
      </c>
      <c r="Q131" s="265"/>
      <c r="R131" s="265"/>
      <c r="S131" s="265"/>
      <c r="T131" s="265"/>
      <c r="U131" s="265"/>
      <c r="V131" s="265"/>
      <c r="W131" s="265"/>
      <c r="X131" s="265"/>
      <c r="Y131" s="265"/>
      <c r="Z131" s="265"/>
      <c r="AA131" s="265"/>
      <c r="AB131" s="265"/>
      <c r="AC131" s="265"/>
      <c r="AD131" s="265"/>
      <c r="AE131" s="265"/>
      <c r="AF131" s="265"/>
      <c r="AG131" s="265"/>
      <c r="AH131" s="265"/>
      <c r="AI131" s="265"/>
      <c r="AJ131" s="265"/>
      <c r="AK131" s="265"/>
      <c r="AL131" s="265"/>
      <c r="AM131" s="244"/>
    </row>
    <row r="132" spans="1:39" ht="18" customHeight="1" outlineLevel="2" x14ac:dyDescent="0.15">
      <c r="A132" s="242">
        <f t="shared" si="1"/>
        <v>129</v>
      </c>
      <c r="B132" s="359"/>
      <c r="C132" s="78" t="s">
        <v>493</v>
      </c>
      <c r="D132" s="265"/>
      <c r="E132" s="80">
        <f>IFERROR((E40-E37-E30-E18)/
(
-(E12+E21+E32-E37-E30-E18-E23-E27-E25+E42)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32" s="219">
        <f>(F40-F37-F30-F18)/
(-(F12+F21+F32-F37-F30-F18-F23-F27-F25+F42)+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2" s="242"/>
      <c r="H132" s="359"/>
      <c r="I132" s="78" t="s">
        <v>493</v>
      </c>
      <c r="J132" s="80">
        <f>IFERROR((J40-J37-J30-J18)/
(
-(J12+J21+J32-J37-J30-J18-J23-J27-J25+J42)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32" s="80">
        <f>IFERROR((K40-K37-K30-K18)/
(
-(K12+K21+K32-K37-K30-K18-K23-K27-K25+K42)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32" s="242"/>
      <c r="M132" s="359"/>
      <c r="N132" s="78" t="s">
        <v>493</v>
      </c>
      <c r="O132" s="219">
        <f>(O40-O37-O30-O18)/
(-(O12+O21+O32-O37-O30-O18-O23-O27-O25+O42)+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2" s="219">
        <f>(P40-P37-P30-P18)/
(-(P12+P21+P32-P37-P30-P18-P23-P27-P25+P42)+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44"/>
    </row>
    <row r="133" spans="1:39" ht="18" customHeight="1" outlineLevel="1" x14ac:dyDescent="0.15">
      <c r="A133" s="242">
        <f t="shared" ref="A133:A170" si="2">+A132+1</f>
        <v>130</v>
      </c>
      <c r="B133" s="359"/>
      <c r="C133" s="79" t="s">
        <v>494</v>
      </c>
      <c r="D133" s="265"/>
      <c r="E133" s="358"/>
      <c r="F133" s="242"/>
      <c r="G133" s="242"/>
      <c r="H133" s="359"/>
      <c r="I133" s="79" t="s">
        <v>494</v>
      </c>
      <c r="J133" s="358"/>
      <c r="K133" s="358"/>
      <c r="L133" s="242"/>
      <c r="M133" s="359"/>
      <c r="N133" s="79" t="s">
        <v>494</v>
      </c>
      <c r="O133" s="242"/>
      <c r="P133" s="242"/>
      <c r="Q133" s="265"/>
      <c r="R133" s="265"/>
      <c r="S133" s="265"/>
      <c r="T133" s="265"/>
      <c r="U133" s="265"/>
      <c r="V133" s="265"/>
      <c r="W133" s="265"/>
      <c r="X133" s="265"/>
      <c r="Y133" s="265"/>
      <c r="Z133" s="265"/>
      <c r="AA133" s="265"/>
      <c r="AB133" s="265"/>
      <c r="AC133" s="265"/>
      <c r="AD133" s="265"/>
      <c r="AE133" s="265"/>
      <c r="AF133" s="265"/>
      <c r="AG133" s="265"/>
      <c r="AH133" s="265"/>
      <c r="AI133" s="265"/>
      <c r="AJ133" s="265"/>
      <c r="AK133" s="265"/>
      <c r="AL133" s="265"/>
      <c r="AM133" s="244"/>
    </row>
    <row r="134" spans="1:39" ht="18" customHeight="1" outlineLevel="2" x14ac:dyDescent="0.15">
      <c r="A134" s="242">
        <f t="shared" si="2"/>
        <v>131</v>
      </c>
      <c r="B134" s="359"/>
      <c r="C134" s="78" t="s">
        <v>495</v>
      </c>
      <c r="D134" s="265"/>
      <c r="E134" s="80" t="e">
        <f>E53/E11</f>
        <v>#DIV/0!</v>
      </c>
      <c r="F134" s="80" t="e">
        <f>F53/F11</f>
        <v>#DIV/0!</v>
      </c>
      <c r="G134" s="242"/>
      <c r="H134" s="359"/>
      <c r="I134" s="78" t="s">
        <v>495</v>
      </c>
      <c r="J134" s="80" t="e">
        <f>J53/J11</f>
        <v>#DIV/0!</v>
      </c>
      <c r="K134" s="80" t="e">
        <f>K53/K11</f>
        <v>#DIV/0!</v>
      </c>
      <c r="L134" s="242"/>
      <c r="M134" s="359"/>
      <c r="N134" s="78" t="s">
        <v>495</v>
      </c>
      <c r="O134" s="80" t="e">
        <f>O53/O11</f>
        <v>#DIV/0!</v>
      </c>
      <c r="P134" s="80" t="e">
        <f>P53/P11</f>
        <v>#DIV/0!</v>
      </c>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44"/>
    </row>
    <row r="135" spans="1:39" ht="18" customHeight="1" outlineLevel="2" x14ac:dyDescent="0.15">
      <c r="A135" s="242">
        <f t="shared" si="2"/>
        <v>132</v>
      </c>
      <c r="B135" s="359"/>
      <c r="C135" s="78" t="s">
        <v>496</v>
      </c>
      <c r="D135" s="265"/>
      <c r="E135" s="81" t="e">
        <f>E53/E40</f>
        <v>#DIV/0!</v>
      </c>
      <c r="F135" s="81" t="e">
        <f>F53/F40</f>
        <v>#DIV/0!</v>
      </c>
      <c r="G135" s="242"/>
      <c r="H135" s="359"/>
      <c r="I135" s="78" t="s">
        <v>496</v>
      </c>
      <c r="J135" s="81" t="e">
        <f>J53/J40</f>
        <v>#DIV/0!</v>
      </c>
      <c r="K135" s="81" t="e">
        <f>K53/K40</f>
        <v>#DIV/0!</v>
      </c>
      <c r="L135" s="242"/>
      <c r="M135" s="359"/>
      <c r="N135" s="78" t="s">
        <v>496</v>
      </c>
      <c r="O135" s="81" t="e">
        <f>O53/O40</f>
        <v>#DIV/0!</v>
      </c>
      <c r="P135" s="81" t="e">
        <f>P53/P40</f>
        <v>#DIV/0!</v>
      </c>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44"/>
    </row>
    <row r="136" spans="1:39" ht="18" customHeight="1" outlineLevel="2" x14ac:dyDescent="0.15">
      <c r="A136" s="242">
        <f t="shared" si="2"/>
        <v>133</v>
      </c>
      <c r="B136" s="359"/>
      <c r="C136" s="78" t="s">
        <v>497</v>
      </c>
      <c r="D136" s="265"/>
      <c r="E136" s="81" t="e">
        <f>E53/(E40-E37-E30-E18)</f>
        <v>#DIV/0!</v>
      </c>
      <c r="F136" s="81" t="e">
        <f>F53/(F40-F37-F30-F18)</f>
        <v>#DIV/0!</v>
      </c>
      <c r="G136" s="242"/>
      <c r="H136" s="359"/>
      <c r="I136" s="78" t="s">
        <v>497</v>
      </c>
      <c r="J136" s="81" t="e">
        <f>J53/(J40-J37-J30-J18)</f>
        <v>#DIV/0!</v>
      </c>
      <c r="K136" s="81" t="e">
        <f>K53/(K40-K37-K30-K18)</f>
        <v>#DIV/0!</v>
      </c>
      <c r="L136" s="242"/>
      <c r="M136" s="359"/>
      <c r="N136" s="78" t="s">
        <v>497</v>
      </c>
      <c r="O136" s="81" t="e">
        <f>O53/(O40-O37-O30-O18)</f>
        <v>#DIV/0!</v>
      </c>
      <c r="P136" s="81" t="e">
        <f>P53/(P40-P37-P30-P18)</f>
        <v>#DIV/0!</v>
      </c>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44"/>
    </row>
    <row r="137" spans="1:39" ht="18" customHeight="1" outlineLevel="2" x14ac:dyDescent="0.15">
      <c r="A137" s="242">
        <f t="shared" si="2"/>
        <v>134</v>
      </c>
      <c r="B137" s="359"/>
      <c r="C137" s="78" t="s">
        <v>498</v>
      </c>
      <c r="D137" s="265"/>
      <c r="E137" s="80">
        <f xml:space="preserve">
IFERROR(E53/
((E77+E90
+ IFERROR(HLOOKUP(E$1-1,Table_BCTC_Nam[],$A$77,0),$D$77)
+ IFERROR(HLOOKUP(E$1-1,Table_BCTC_Nam[],$A$90,0),$D$90)
)/2),0)</f>
        <v>0</v>
      </c>
      <c r="F137" s="80">
        <f>F53/
((F77+F90
+ IFERROR(HLOOKUP(DATE(YEAR(F$1),MONTH(F$1)-1,1),Table_BCTC_Thang[],$A$77,0),
$D$77)
+ IFERROR(HLOOKUP(DATE(YEAR(F$1),MONTH(F$1)-1,1),Table_BCTC_Thang[],$A$90,0),
$D$90)
)/2)</f>
        <v>0</v>
      </c>
      <c r="G137" s="242"/>
      <c r="H137" s="359"/>
      <c r="I137" s="78" t="s">
        <v>498</v>
      </c>
      <c r="J137" s="80">
        <f xml:space="preserve">
IFERROR(J53/
((J77+J90
+ IFERROR(HLOOKUP(J$1-1,Table_BCTC_Nam[],$A$77,0),$D$77)
+ IFERROR(HLOOKUP(J$1-1,Table_BCTC_Nam[],$A$90,0),$D$90)
)/2),0)</f>
        <v>0</v>
      </c>
      <c r="K137" s="80">
        <f xml:space="preserve">
IFERROR(K53/
((K77+K90
+ IFERROR(HLOOKUP(K$1-1,Table_BCTC_Nam[],$A$77,0),$D$77)
+ IFERROR(HLOOKUP(K$1-1,Table_BCTC_Nam[],$A$90,0),$D$90)
)/2),0)</f>
        <v>0</v>
      </c>
      <c r="L137" s="242"/>
      <c r="M137" s="359"/>
      <c r="N137" s="78" t="s">
        <v>498</v>
      </c>
      <c r="O137" s="80">
        <f ca="1">O53/
((O77+O90
+ IFERROR(HLOOKUP(DATE(YEAR(O$1),MONTH(O$1)-1,1),Table_BCTC_Thang[],$A$77,0),
$D$77)
+ IFERROR(HLOOKUP(DATE(YEAR(O$1),MONTH(O$1)-1,1),Table_BCTC_Thang[],$A$90,0),
$D$90)
)/2)</f>
        <v>0</v>
      </c>
      <c r="P137" s="80">
        <f ca="1">P53/
((P77+P90
+ IFERROR(HLOOKUP(DATE(YEAR(P$1),MONTH(P$1)-1,1),Table_BCTC_Thang[],$A$77,0),
$D$77)
+ IFERROR(HLOOKUP(DATE(YEAR(P$1),MONTH(P$1)-1,1),Table_BCTC_Thang[],$A$90,0),
$D$90)
)/2)</f>
        <v>0</v>
      </c>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44"/>
    </row>
    <row r="138" spans="1:39" ht="18" customHeight="1" outlineLevel="2" x14ac:dyDescent="0.15">
      <c r="A138" s="242">
        <f t="shared" si="2"/>
        <v>135</v>
      </c>
      <c r="B138" s="359"/>
      <c r="C138" s="78" t="s">
        <v>499</v>
      </c>
      <c r="D138" s="265"/>
      <c r="E138" s="80">
        <f>IFERROR(E53/
((E115
+ IFERROR(HLOOKUP(E$1-1,Table_BCTC_Nam[],$A$115,0),$D$115)
)/2),0)</f>
        <v>0</v>
      </c>
      <c r="F138" s="80" t="e">
        <f>F53/
((F115
+ IFERROR(HLOOKUP(DATE(YEAR(F$1),MONTH(F$1)-1,1),Table_BCTC_Thang[],$A$115,0),
$D$115)
)/2)</f>
        <v>#DIV/0!</v>
      </c>
      <c r="G138" s="242"/>
      <c r="H138" s="359"/>
      <c r="I138" s="78" t="s">
        <v>499</v>
      </c>
      <c r="J138" s="80">
        <f>IFERROR(J53/
((J115
+ IFERROR(HLOOKUP(J$1-1,Table_BCTC_Nam[],$A$115,0),$D$115)
)/2),0)</f>
        <v>0</v>
      </c>
      <c r="K138" s="80">
        <f>IFERROR(K53/
((K115
+ IFERROR(HLOOKUP(K$1-1,Table_BCTC_Nam[],$A$115,0),$D$115)
)/2),0)</f>
        <v>0</v>
      </c>
      <c r="L138" s="242"/>
      <c r="M138" s="359"/>
      <c r="N138" s="78" t="s">
        <v>499</v>
      </c>
      <c r="O138" s="80" t="e">
        <f>O53/
((O115
+ IFERROR(HLOOKUP(DATE(YEAR(O$1),MONTH(O$1)-1,1),Table_BCTC_Thang[],$A$115,0),
$D$115)
)/2)</f>
        <v>#DIV/0!</v>
      </c>
      <c r="P138" s="80" t="e">
        <f>P53/
((P115
+ IFERROR(HLOOKUP(DATE(YEAR(P$1),MONTH(P$1)-1,1),Table_BCTC_Thang[],$A$115,0),
$D$115)
)/2)</f>
        <v>#DIV/0!</v>
      </c>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44"/>
    </row>
    <row r="139" spans="1:39" ht="18" customHeight="1" outlineLevel="2" x14ac:dyDescent="0.15">
      <c r="A139" s="242">
        <f t="shared" si="2"/>
        <v>136</v>
      </c>
      <c r="B139" s="359"/>
      <c r="C139" s="78" t="s">
        <v>500</v>
      </c>
      <c r="D139" s="265"/>
      <c r="E139" s="80">
        <f>IFERROR(E53/
((E$96+E$87+E$81+E$82+E$83+E$92+E$93+E$94+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9" s="219">
        <f>F53/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9" s="242"/>
      <c r="H139" s="359"/>
      <c r="I139" s="78" t="s">
        <v>500</v>
      </c>
      <c r="J139" s="80">
        <f>IFERROR(J53/
((J$96+J$87+J$81+J$82+J$83+J$92+J$93+J$94+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9" s="80">
        <f>IFERROR(K53/
((K$96+K$87+K$81+K$82+K$83+K$92+K$93+K$94+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9" s="242"/>
      <c r="M139" s="359"/>
      <c r="N139" s="78" t="s">
        <v>500</v>
      </c>
      <c r="O139" s="219">
        <f ca="1">O53/
((O77+O90-O79-O99-O78-O98-O97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39" s="219">
        <f>P53/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44"/>
    </row>
    <row r="140" spans="1:39" ht="18" customHeight="1" outlineLevel="2" x14ac:dyDescent="0.15">
      <c r="A140" s="242">
        <f t="shared" si="2"/>
        <v>137</v>
      </c>
      <c r="B140" s="359"/>
      <c r="C140" s="78" t="s">
        <v>903</v>
      </c>
      <c r="D140" s="265"/>
      <c r="E140" s="80" t="e">
        <f>(E53)/
(-(E55+E61+E62+E73))</f>
        <v>#DIV/0!</v>
      </c>
      <c r="F140" s="80" t="e">
        <f>(F53)/
(-(F55+F61+F62+F73))</f>
        <v>#DIV/0!</v>
      </c>
      <c r="G140" s="242"/>
      <c r="H140" s="359"/>
      <c r="I140" s="78" t="s">
        <v>903</v>
      </c>
      <c r="J140" s="80" t="e">
        <f>(J53)/
(-(J55+J61+J62+J73))</f>
        <v>#DIV/0!</v>
      </c>
      <c r="K140" s="80" t="e">
        <f>(K53)/
(-(K55+K61+K62+K73))</f>
        <v>#DIV/0!</v>
      </c>
      <c r="L140" s="242"/>
      <c r="M140" s="359"/>
      <c r="N140" s="78" t="s">
        <v>903</v>
      </c>
      <c r="O140" s="80" t="e">
        <f>(O53)/
(-(O55+O61+O62+O73))</f>
        <v>#DIV/0!</v>
      </c>
      <c r="P140" s="80" t="e">
        <f>(P53)/
(-(P55+P61+P62+P73))</f>
        <v>#DIV/0!</v>
      </c>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44"/>
    </row>
    <row r="141" spans="1:39" ht="18" customHeight="1" outlineLevel="2" x14ac:dyDescent="0.15">
      <c r="A141" s="242">
        <f t="shared" si="2"/>
        <v>138</v>
      </c>
      <c r="B141" s="359"/>
      <c r="C141" s="78" t="s">
        <v>501</v>
      </c>
      <c r="D141" s="265"/>
      <c r="E141" s="80">
        <f>IFERROR(E53/
(
-(E55+E61+E62+E73)
+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41" s="219">
        <f>(F53)/
(-(F55+F61+F62+F73)+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41" s="242"/>
      <c r="H141" s="359"/>
      <c r="I141" s="78" t="s">
        <v>501</v>
      </c>
      <c r="J141" s="80">
        <f>IFERROR(J53/
(
-(J55+J61+J62+J73)
+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41" s="80">
        <f>IFERROR(K53/
(
-(K55+K61+K62+K73)
+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41" s="242"/>
      <c r="M141" s="359"/>
      <c r="N141" s="78" t="s">
        <v>501</v>
      </c>
      <c r="O141" s="219">
        <f ca="1">(O53)/
(-(O55+O61+O62+O73)+((O77+O90-O79-O99-O78-O98-O97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41" s="219">
        <f>(P53)/
(-(P55+P61+P62+P73)+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44"/>
    </row>
    <row r="142" spans="1:39" ht="18" customHeight="1" outlineLevel="1" x14ac:dyDescent="0.15">
      <c r="A142" s="242">
        <f t="shared" si="2"/>
        <v>139</v>
      </c>
      <c r="B142" s="259"/>
      <c r="C142" s="79" t="s">
        <v>502</v>
      </c>
      <c r="D142" s="265"/>
      <c r="E142" s="358"/>
      <c r="F142" s="242"/>
      <c r="G142" s="242"/>
      <c r="H142" s="359"/>
      <c r="I142" s="79" t="s">
        <v>502</v>
      </c>
      <c r="J142" s="358"/>
      <c r="K142" s="358"/>
      <c r="L142" s="242"/>
      <c r="M142" s="365"/>
      <c r="N142" s="79" t="s">
        <v>502</v>
      </c>
      <c r="O142" s="242"/>
      <c r="P142" s="242"/>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44"/>
    </row>
    <row r="143" spans="1:39" ht="18" customHeight="1" outlineLevel="2" x14ac:dyDescent="0.15">
      <c r="A143" s="242">
        <f t="shared" si="2"/>
        <v>140</v>
      </c>
      <c r="B143" s="359"/>
      <c r="C143" s="78" t="s">
        <v>503</v>
      </c>
      <c r="D143" s="265"/>
      <c r="E143" s="32">
        <f xml:space="preserve">
IFERROR(
-(E13+E15+E24+E34)/
((E86
+ IFERROR(HLOOKUP(E$1-1,Table_BCTC_Nam[],$A$86,0),$D$86)
)/2),0)</f>
        <v>0</v>
      </c>
      <c r="F143" s="219" t="e">
        <f>-(F13+F15+F24+F34)/
((F86
+ IFERROR(HLOOKUP(DATE(YEAR(F$1),MONTH(F$1)-1,1),Table_BCTC_Thang[],$A$86,0),
$D$86)
)/2)</f>
        <v>#DIV/0!</v>
      </c>
      <c r="G143" s="242"/>
      <c r="H143" s="359"/>
      <c r="I143" s="78" t="s">
        <v>503</v>
      </c>
      <c r="J143" s="32">
        <f xml:space="preserve">
IFERROR(
-(J13+J15+J24+J34)/
((J86
+ IFERROR(HLOOKUP(J$1-1,Table_BCTC_Nam[],$A$86,0),$D$86)
)/2),0)</f>
        <v>0</v>
      </c>
      <c r="K143" s="32">
        <f xml:space="preserve">
IFERROR(
-(K13+K15+K24+K34)/
((K86
+ IFERROR(HLOOKUP(K$1-1,Table_BCTC_Nam[],$A$86,0),$D$86)
)/2),0)</f>
        <v>0</v>
      </c>
      <c r="L143" s="242"/>
      <c r="M143" s="359"/>
      <c r="N143" s="78" t="s">
        <v>503</v>
      </c>
      <c r="O143" s="219" t="e">
        <f>-(O13+O15+O24+O34)/
((O86
+ IFERROR(HLOOKUP(DATE(YEAR(O$1),MONTH(O$1)-1,1),Table_BCTC_Thang[],$A$86,0),
$D$86)
)/2)</f>
        <v>#DIV/0!</v>
      </c>
      <c r="P143" s="219" t="e">
        <f>-(P13+P15+P24+P34)/
((P86
+ IFERROR(HLOOKUP(DATE(YEAR(P$1),MONTH(P$1)-1,1),Table_BCTC_Thang[],$A$86,0),
$D$86)
)/2)</f>
        <v>#DIV/0!</v>
      </c>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44"/>
    </row>
    <row r="144" spans="1:39" ht="18" customHeight="1" outlineLevel="2" x14ac:dyDescent="0.15">
      <c r="A144" s="242">
        <f t="shared" si="2"/>
        <v>141</v>
      </c>
      <c r="B144" s="359"/>
      <c r="C144" s="78" t="s">
        <v>504</v>
      </c>
      <c r="D144" s="265"/>
      <c r="E144" s="32">
        <f>IFERROR(365/E143,0)</f>
        <v>0</v>
      </c>
      <c r="F144" s="81" t="e">
        <f>(365/12)/F143</f>
        <v>#DIV/0!</v>
      </c>
      <c r="G144" s="242"/>
      <c r="H144" s="359"/>
      <c r="I144" s="78" t="s">
        <v>504</v>
      </c>
      <c r="J144" s="32">
        <f>IFERROR(365/J143,0)</f>
        <v>0</v>
      </c>
      <c r="K144" s="32">
        <f>IFERROR(365/K143,0)</f>
        <v>0</v>
      </c>
      <c r="L144" s="242"/>
      <c r="M144" s="359"/>
      <c r="N144" s="78" t="s">
        <v>504</v>
      </c>
      <c r="O144" s="81" t="e">
        <f>(365/12)/O143</f>
        <v>#DIV/0!</v>
      </c>
      <c r="P144" s="81" t="e">
        <f>(365/12)/P143</f>
        <v>#DIV/0!</v>
      </c>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44"/>
    </row>
    <row r="145" spans="1:39" ht="18" customHeight="1" outlineLevel="2" x14ac:dyDescent="0.15">
      <c r="A145" s="242">
        <f t="shared" si="2"/>
        <v>142</v>
      </c>
      <c r="B145" s="359"/>
      <c r="C145" s="78" t="s">
        <v>505</v>
      </c>
      <c r="D145" s="265"/>
      <c r="E145" s="32">
        <f>IFERROR(E11/
((E81+E92
+ IFERROR(HLOOKUP(E$1-1,Table_BCTC_Nam[],$A$81,0),$D$81)
+ IFERROR(HLOOKUP(E$1-1,Table_BCTC_Nam[],$A$92,0),$D$92)
)/2),0)</f>
        <v>0</v>
      </c>
      <c r="F145" s="81" t="e">
        <f>F11/
((F81 + F92
+ IFERROR(HLOOKUP(DATE(YEAR(F$1),MONTH(F$1)-1,1),Table_BCTC_Thang[],$A$81,0),
$D$81)
+ IFERROR(HLOOKUP(DATE(YEAR(F$1),MONTH(F$1)-1,1),Table_BCTC_Thang[],$A$92,0),
$D$92)
)/2)</f>
        <v>#DIV/0!</v>
      </c>
      <c r="G145" s="242"/>
      <c r="H145" s="359"/>
      <c r="I145" s="78" t="s">
        <v>505</v>
      </c>
      <c r="J145" s="32">
        <f>IFERROR(J11/
((J81+J92
+ IFERROR(HLOOKUP(J$1-1,Table_BCTC_Nam[],$A$81,0),$D$81)
+ IFERROR(HLOOKUP(J$1-1,Table_BCTC_Nam[],$A$92,0),$D$92)
)/2),0)</f>
        <v>0</v>
      </c>
      <c r="K145" s="32">
        <f>IFERROR(K11/
((K81+K92
+ IFERROR(HLOOKUP(K$1-1,Table_BCTC_Nam[],$A$81,0),$D$81)
+ IFERROR(HLOOKUP(K$1-1,Table_BCTC_Nam[],$A$92,0),$D$92)
)/2),0)</f>
        <v>0</v>
      </c>
      <c r="L145" s="242"/>
      <c r="M145" s="359"/>
      <c r="N145" s="78" t="s">
        <v>505</v>
      </c>
      <c r="O145" s="81" t="e">
        <f>O11/
((O81 + O92
+ IFERROR(HLOOKUP(DATE(YEAR(O$1),MONTH(O$1)-1,1),Table_BCTC_Thang[],$A$81,0),
$D$81)
+ IFERROR(HLOOKUP(DATE(YEAR(O$1),MONTH(O$1)-1,1),Table_BCTC_Thang[],$A$92,0),
$D$92)
)/2)</f>
        <v>#DIV/0!</v>
      </c>
      <c r="P145" s="81" t="e">
        <f>P11/
((P81 + P92
+ IFERROR(HLOOKUP(DATE(YEAR(P$1),MONTH(P$1)-1,1),Table_BCTC_Thang[],$A$81,0),
$D$81)
+ IFERROR(HLOOKUP(DATE(YEAR(P$1),MONTH(P$1)-1,1),Table_BCTC_Thang[],$A$92,0),
$D$92)
)/2)</f>
        <v>#DIV/0!</v>
      </c>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44"/>
    </row>
    <row r="146" spans="1:39" ht="18" customHeight="1" outlineLevel="2" x14ac:dyDescent="0.15">
      <c r="A146" s="242">
        <f t="shared" si="2"/>
        <v>143</v>
      </c>
      <c r="B146" s="359"/>
      <c r="C146" s="78" t="s">
        <v>506</v>
      </c>
      <c r="D146" s="265"/>
      <c r="E146" s="32">
        <f>IFERROR(365/E145,0)</f>
        <v>0</v>
      </c>
      <c r="F146" s="81" t="e">
        <f>(365/12)/F145</f>
        <v>#DIV/0!</v>
      </c>
      <c r="G146" s="242"/>
      <c r="H146" s="359"/>
      <c r="I146" s="78" t="s">
        <v>506</v>
      </c>
      <c r="J146" s="32">
        <f>IFERROR(365/J145,0)</f>
        <v>0</v>
      </c>
      <c r="K146" s="32">
        <f>IFERROR(365/K145,0)</f>
        <v>0</v>
      </c>
      <c r="L146" s="242"/>
      <c r="M146" s="359"/>
      <c r="N146" s="78" t="s">
        <v>506</v>
      </c>
      <c r="O146" s="81" t="e">
        <f>(365/12)/O145</f>
        <v>#DIV/0!</v>
      </c>
      <c r="P146" s="81" t="e">
        <f>(365/12)/P145</f>
        <v>#DIV/0!</v>
      </c>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44"/>
    </row>
    <row r="147" spans="1:39" ht="18" customHeight="1" outlineLevel="2" x14ac:dyDescent="0.15">
      <c r="A147" s="242">
        <f t="shared" si="2"/>
        <v>144</v>
      </c>
      <c r="B147" s="359"/>
      <c r="C147" s="78" t="s">
        <v>507</v>
      </c>
      <c r="D147" s="265"/>
      <c r="E147" s="32">
        <f xml:space="preserve">
IFERROR(
-(E12+E21+E32-E18-E30-E37-E38)/
((E103+E110+E106+E112
+ IFERROR(HLOOKUP(E$1-1,Table_BCTC_Nam[],$A$103,0),$D$103)
+ IFERROR(HLOOKUP(E$1-1,Table_BCTC_Nam[],$A$110,0),$D$110)
+ IFERROR(HLOOKUP(E$1-1,Table_BCTC_Nam[],$A$106,0),$D$106)
+ IFERROR(HLOOKUP(E$1-1,Table_BCTC_Nam[],$A$112,0),$D$112)
)/2),0)</f>
        <v>0</v>
      </c>
      <c r="F147" s="81" t="e">
        <f>-(F12+F21+F32-F18-F30-F37-F38)/
((F103 + F110 + F106 + F112
+ IFERROR(HLOOKUP(DATE(YEAR(F$1),MONTH(F$1)-1,1),Table_BCTC_Thang[],$A$103,0),
$D$103)
+ IFERROR(HLOOKUP(DATE(YEAR(F$1),MONTH(F$1)-1,1),Table_BCTC_Thang[],$A$110,0),
$D$110)
+ IFERROR(HLOOKUP(DATE(YEAR(F$1),MONTH(F$1)-1,1),Table_BCTC_Thang[],$A$106,0),
$D$106)
+ IFERROR(HLOOKUP(DATE(YEAR(F$1),MONTH(F$1)-1,1),Table_BCTC_Thang[],$A$112,0),
$D$112)
)/2)</f>
        <v>#DIV/0!</v>
      </c>
      <c r="G147" s="242"/>
      <c r="H147" s="359"/>
      <c r="I147" s="78" t="s">
        <v>507</v>
      </c>
      <c r="J147" s="32">
        <f xml:space="preserve">
IFERROR(
-(J12+J21+J32-J18-J30-J37-J38)/
((J103+J110+J106+J112
+ IFERROR(HLOOKUP(J$1-1,Table_BCTC_Nam[],$A$103,0),$D$103)
+ IFERROR(HLOOKUP(J$1-1,Table_BCTC_Nam[],$A$110,0),$D$110)
+ IFERROR(HLOOKUP(J$1-1,Table_BCTC_Nam[],$A$106,0),$D$106)
+ IFERROR(HLOOKUP(J$1-1,Table_BCTC_Nam[],$A$112,0),$D$112)
)/2),0)</f>
        <v>0</v>
      </c>
      <c r="K147" s="32">
        <f xml:space="preserve">
IFERROR(
-(K12+K21+K32-K18-K30-K37-K38)/
((K103+K110+K106+K112
+ IFERROR(HLOOKUP(K$1-1,Table_BCTC_Nam[],$A$103,0),$D$103)
+ IFERROR(HLOOKUP(K$1-1,Table_BCTC_Nam[],$A$110,0),$D$110)
+ IFERROR(HLOOKUP(K$1-1,Table_BCTC_Nam[],$A$106,0),$D$106)
+ IFERROR(HLOOKUP(K$1-1,Table_BCTC_Nam[],$A$112,0),$D$112)
)/2),0)</f>
        <v>0</v>
      </c>
      <c r="L147" s="242"/>
      <c r="M147" s="359"/>
      <c r="N147" s="78" t="s">
        <v>507</v>
      </c>
      <c r="O147" s="81" t="e">
        <f>-(O12+O21+O32-O18-O30-O37-O38)/
((O103 + O110 + O106 + O112
+ IFERROR(HLOOKUP(DATE(YEAR(O$1),MONTH(O$1)-1,1),Table_BCTC_Thang[],$A$103,0),
$D$103)
+ IFERROR(HLOOKUP(DATE(YEAR(O$1),MONTH(O$1)-1,1),Table_BCTC_Thang[],$A$110,0),
$D$110)
+ IFERROR(HLOOKUP(DATE(YEAR(O$1),MONTH(O$1)-1,1),Table_BCTC_Thang[],$A$106,0),
$D$106)
+ IFERROR(HLOOKUP(DATE(YEAR(O$1),MONTH(O$1)-1,1),Table_BCTC_Thang[],$A$112,0),
$D$112)
)/2)</f>
        <v>#DIV/0!</v>
      </c>
      <c r="P147" s="81" t="e">
        <f>-(P12+P21+P32-P18-P30-P37-P38)/
((P103 + P110 + P106 + P112
+ IFERROR(HLOOKUP(DATE(YEAR(P$1),MONTH(P$1)-1,1),Table_BCTC_Thang[],$A$103,0),
$D$103)
+ IFERROR(HLOOKUP(DATE(YEAR(P$1),MONTH(P$1)-1,1),Table_BCTC_Thang[],$A$110,0),
$D$110)
+ IFERROR(HLOOKUP(DATE(YEAR(P$1),MONTH(P$1)-1,1),Table_BCTC_Thang[],$A$106,0),
$D$106)
+ IFERROR(HLOOKUP(DATE(YEAR(P$1),MONTH(P$1)-1,1),Table_BCTC_Thang[],$A$112,0),
$D$112)
)/2)</f>
        <v>#DIV/0!</v>
      </c>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44"/>
    </row>
    <row r="148" spans="1:39" ht="18" customHeight="1" outlineLevel="2" x14ac:dyDescent="0.15">
      <c r="A148" s="242">
        <f t="shared" si="2"/>
        <v>145</v>
      </c>
      <c r="B148" s="359"/>
      <c r="C148" s="78" t="s">
        <v>508</v>
      </c>
      <c r="D148" s="265"/>
      <c r="E148" s="32">
        <f>IFERROR(365/E147,0)</f>
        <v>0</v>
      </c>
      <c r="F148" s="81" t="e">
        <f>(365/12)/F147</f>
        <v>#DIV/0!</v>
      </c>
      <c r="G148" s="242"/>
      <c r="H148" s="359"/>
      <c r="I148" s="78" t="s">
        <v>508</v>
      </c>
      <c r="J148" s="32">
        <f>IFERROR(365/J147,0)</f>
        <v>0</v>
      </c>
      <c r="K148" s="32">
        <f>IFERROR(365/K147,0)</f>
        <v>0</v>
      </c>
      <c r="L148" s="242"/>
      <c r="M148" s="359"/>
      <c r="N148" s="78" t="s">
        <v>508</v>
      </c>
      <c r="O148" s="81" t="e">
        <f>(365/12)/O147</f>
        <v>#DIV/0!</v>
      </c>
      <c r="P148" s="81" t="e">
        <f>(365/12)/P147</f>
        <v>#DIV/0!</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44"/>
    </row>
    <row r="149" spans="1:39" ht="18" customHeight="1" outlineLevel="2" x14ac:dyDescent="0.15">
      <c r="A149" s="242">
        <f t="shared" si="2"/>
        <v>146</v>
      </c>
      <c r="B149" s="359"/>
      <c r="C149" s="78" t="s">
        <v>509</v>
      </c>
      <c r="D149" s="265"/>
      <c r="E149" s="32">
        <f>+E144+E146-E148</f>
        <v>0</v>
      </c>
      <c r="F149" s="81" t="e">
        <f>+F144+F146-F148</f>
        <v>#DIV/0!</v>
      </c>
      <c r="G149" s="242"/>
      <c r="H149" s="359"/>
      <c r="I149" s="78" t="s">
        <v>509</v>
      </c>
      <c r="J149" s="32">
        <f>+J144+J146-J148</f>
        <v>0</v>
      </c>
      <c r="K149" s="32">
        <f>+K144+K146-K148</f>
        <v>0</v>
      </c>
      <c r="L149" s="242"/>
      <c r="M149" s="359"/>
      <c r="N149" s="78" t="s">
        <v>509</v>
      </c>
      <c r="O149" s="81" t="e">
        <f>+O144+O146-O148</f>
        <v>#DIV/0!</v>
      </c>
      <c r="P149" s="81" t="e">
        <f>+P144+P146-P148</f>
        <v>#DIV/0!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44"/>
    </row>
    <row r="150" spans="1:39" ht="18" customHeight="1" outlineLevel="1" x14ac:dyDescent="0.15">
      <c r="A150" s="242">
        <f t="shared" si="2"/>
        <v>147</v>
      </c>
      <c r="B150" s="359"/>
      <c r="C150" s="79" t="s">
        <v>510</v>
      </c>
      <c r="D150" s="265"/>
      <c r="E150" s="349"/>
      <c r="F150" s="242"/>
      <c r="G150" s="242"/>
      <c r="H150" s="359"/>
      <c r="I150" s="79" t="s">
        <v>510</v>
      </c>
      <c r="J150" s="349"/>
      <c r="K150" s="349"/>
      <c r="L150" s="242"/>
      <c r="M150" s="359"/>
      <c r="N150" s="79" t="s">
        <v>510</v>
      </c>
      <c r="O150" s="242"/>
      <c r="P150" s="242"/>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44"/>
    </row>
    <row r="151" spans="1:39" ht="18" customHeight="1" outlineLevel="2" x14ac:dyDescent="0.15">
      <c r="A151" s="242">
        <f t="shared" si="2"/>
        <v>148</v>
      </c>
      <c r="B151" s="359"/>
      <c r="C151" s="78" t="s">
        <v>511</v>
      </c>
      <c r="D151" s="265"/>
      <c r="E151" s="32">
        <f>IFERROR(E78/E102,0)</f>
        <v>0</v>
      </c>
      <c r="F151" s="81">
        <f>F78/F102</f>
        <v>0</v>
      </c>
      <c r="G151" s="242"/>
      <c r="H151" s="359"/>
      <c r="I151" s="78" t="s">
        <v>511</v>
      </c>
      <c r="J151" s="32">
        <f>IFERROR(J78/J102,0)</f>
        <v>0</v>
      </c>
      <c r="K151" s="32">
        <f>IFERROR(K78/K102,0)</f>
        <v>0</v>
      </c>
      <c r="L151" s="242"/>
      <c r="M151" s="359"/>
      <c r="N151" s="78" t="s">
        <v>511</v>
      </c>
      <c r="O151" s="81">
        <f>O78/O102</f>
        <v>0</v>
      </c>
      <c r="P151" s="81">
        <f>P78/P102</f>
        <v>0</v>
      </c>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44"/>
    </row>
    <row r="152" spans="1:39" ht="18" customHeight="1" outlineLevel="2" x14ac:dyDescent="0.15">
      <c r="A152" s="242">
        <f t="shared" si="2"/>
        <v>149</v>
      </c>
      <c r="B152" s="359"/>
      <c r="C152" s="78" t="s">
        <v>512</v>
      </c>
      <c r="D152" s="265"/>
      <c r="E152" s="32">
        <f>IFERROR((E77-E80-E86)/E102,0)</f>
        <v>0</v>
      </c>
      <c r="F152" s="81">
        <f>(F77-F80-F86)/F102</f>
        <v>0</v>
      </c>
      <c r="G152" s="242"/>
      <c r="H152" s="359"/>
      <c r="I152" s="78" t="s">
        <v>512</v>
      </c>
      <c r="J152" s="32">
        <f>IFERROR((J77-J80-J86)/J102,0)</f>
        <v>0</v>
      </c>
      <c r="K152" s="32">
        <f>IFERROR((K77-K80-K86)/K102,0)</f>
        <v>0</v>
      </c>
      <c r="L152" s="242"/>
      <c r="M152" s="359"/>
      <c r="N152" s="78" t="s">
        <v>512</v>
      </c>
      <c r="O152" s="81">
        <f ca="1">(O77-O80-O86)/O102</f>
        <v>0</v>
      </c>
      <c r="P152" s="81">
        <f ca="1">(P77-P80-P86)/P102</f>
        <v>0</v>
      </c>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44"/>
    </row>
    <row r="153" spans="1:39" ht="18" customHeight="1" outlineLevel="2" x14ac:dyDescent="0.15">
      <c r="A153" s="242">
        <f t="shared" si="2"/>
        <v>150</v>
      </c>
      <c r="B153" s="359"/>
      <c r="C153" s="78" t="s">
        <v>513</v>
      </c>
      <c r="D153" s="265"/>
      <c r="E153" s="32">
        <f>IFERROR(E77/E102,0)</f>
        <v>0</v>
      </c>
      <c r="F153" s="81">
        <f>F77/F102</f>
        <v>0</v>
      </c>
      <c r="G153" s="242"/>
      <c r="H153" s="359"/>
      <c r="I153" s="78" t="s">
        <v>513</v>
      </c>
      <c r="J153" s="32">
        <f>IFERROR(J77/J102,0)</f>
        <v>7.4672783575185614E-2</v>
      </c>
      <c r="K153" s="32">
        <f>IFERROR(K77/K102,0)</f>
        <v>7.4672783575185614E-2</v>
      </c>
      <c r="L153" s="242"/>
      <c r="M153" s="359"/>
      <c r="N153" s="78" t="s">
        <v>513</v>
      </c>
      <c r="O153" s="81">
        <f ca="1">O77/O102</f>
        <v>0</v>
      </c>
      <c r="P153" s="81">
        <f ca="1">P77/P102</f>
        <v>0</v>
      </c>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44"/>
    </row>
    <row r="154" spans="1:39" ht="18" customHeight="1" outlineLevel="2" x14ac:dyDescent="0.15">
      <c r="A154" s="242">
        <f t="shared" si="2"/>
        <v>151</v>
      </c>
      <c r="B154" s="359"/>
      <c r="C154" s="78" t="s">
        <v>514</v>
      </c>
      <c r="D154" s="265"/>
      <c r="E154" s="32">
        <f>IFERROR(E53/
((E102
+ IFERROR(HLOOKUP(E$1-1,Table_BCTC_Nam[],$A$102,0),$D$102)
)/2),0)</f>
        <v>0</v>
      </c>
      <c r="F154" s="219">
        <f>F53/
((F102
+ IFERROR(HLOOKUP(DATE(YEAR(F$1),MONTH(F$1)-1,1),Table_BCTC_Thang[],$A$102,0),
$D$102)
)/2)</f>
        <v>0</v>
      </c>
      <c r="G154" s="242"/>
      <c r="H154" s="359"/>
      <c r="I154" s="78" t="s">
        <v>514</v>
      </c>
      <c r="J154" s="32">
        <f>IFERROR(J53/
((J102
+ IFERROR(HLOOKUP(J$1-1,Table_BCTC_Nam[],$A$102,0),$D$102)
)/2),0)</f>
        <v>0</v>
      </c>
      <c r="K154" s="32">
        <f>IFERROR(K53/
((K102
+ IFERROR(HLOOKUP(K$1-1,Table_BCTC_Nam[],$A$102,0),$D$102)
)/2),0)</f>
        <v>0</v>
      </c>
      <c r="L154" s="242"/>
      <c r="M154" s="359"/>
      <c r="N154" s="78" t="s">
        <v>514</v>
      </c>
      <c r="O154" s="219">
        <f>O53/
((O102
+ IFERROR(HLOOKUP(DATE(YEAR(O$1),MONTH(O$1)-1,1),Table_BCTC_Thang[],$A$102,0),
$D$102)
)/2)</f>
        <v>0</v>
      </c>
      <c r="P154" s="219">
        <f>P53/
((P102
+ IFERROR(HLOOKUP(DATE(YEAR(P$1),MONTH(P$1)-1,1),Table_BCTC_Thang[],$A$102,0),
$D$102)
)/2)</f>
        <v>0</v>
      </c>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44"/>
    </row>
    <row r="155" spans="1:39" ht="18" customHeight="1" outlineLevel="1" x14ac:dyDescent="0.15">
      <c r="A155" s="242">
        <f t="shared" si="2"/>
        <v>152</v>
      </c>
      <c r="B155" s="359"/>
      <c r="C155" s="79" t="s">
        <v>515</v>
      </c>
      <c r="D155" s="265"/>
      <c r="E155" s="358"/>
      <c r="F155" s="378"/>
      <c r="G155" s="242"/>
      <c r="H155" s="359"/>
      <c r="I155" s="79" t="s">
        <v>515</v>
      </c>
      <c r="J155" s="358"/>
      <c r="K155" s="358"/>
      <c r="L155" s="242"/>
      <c r="M155" s="359"/>
      <c r="N155" s="79" t="s">
        <v>515</v>
      </c>
      <c r="O155" s="378"/>
      <c r="P155" s="378"/>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44"/>
    </row>
    <row r="156" spans="1:39" ht="18" customHeight="1" outlineLevel="2" x14ac:dyDescent="0.15">
      <c r="A156" s="242">
        <f t="shared" si="2"/>
        <v>153</v>
      </c>
      <c r="B156" s="359"/>
      <c r="C156" s="78" t="s">
        <v>516</v>
      </c>
      <c r="D156" s="265"/>
      <c r="E156" s="80">
        <f>IFERROR(E101/(E90+E77),0)</f>
        <v>0</v>
      </c>
      <c r="F156" s="80" t="e">
        <f>F101/(F90+F77)</f>
        <v>#DIV/0!</v>
      </c>
      <c r="G156" s="242"/>
      <c r="H156" s="359"/>
      <c r="I156" s="78" t="s">
        <v>516</v>
      </c>
      <c r="J156" s="80">
        <f>IFERROR(J101/(J90+J77),0)</f>
        <v>13.391760051279357</v>
      </c>
      <c r="K156" s="80">
        <f>IFERROR(K101/(K90+K77),0)</f>
        <v>13.391760051279357</v>
      </c>
      <c r="L156" s="242"/>
      <c r="M156" s="359"/>
      <c r="N156" s="78" t="s">
        <v>516</v>
      </c>
      <c r="O156" s="80" t="e">
        <f ca="1">O101/(O90+O77)</f>
        <v>#DIV/0!</v>
      </c>
      <c r="P156" s="80" t="e">
        <f ca="1">P101/(P90+P77)</f>
        <v>#DIV/0!</v>
      </c>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44"/>
    </row>
    <row r="157" spans="1:39" ht="18" customHeight="1" outlineLevel="2" x14ac:dyDescent="0.15">
      <c r="A157" s="242">
        <f t="shared" si="2"/>
        <v>154</v>
      </c>
      <c r="B157" s="359"/>
      <c r="C157" s="78" t="s">
        <v>517</v>
      </c>
      <c r="D157" s="265"/>
      <c r="E157" s="80">
        <f>IFERROR((E114+E108)/(E90+E77),0)</f>
        <v>0</v>
      </c>
      <c r="F157" s="80" t="e">
        <f>(F114+F108)/(F90+F77)</f>
        <v>#DIV/0!</v>
      </c>
      <c r="G157" s="242"/>
      <c r="H157" s="359"/>
      <c r="I157" s="78" t="s">
        <v>517</v>
      </c>
      <c r="J157" s="80">
        <f>IFERROR((J114+J108)/(J90+J77),0)</f>
        <v>13.368812714323163</v>
      </c>
      <c r="K157" s="80">
        <f>IFERROR((K114+K108)/(K90+K77),0)</f>
        <v>13.368812714323163</v>
      </c>
      <c r="L157" s="242"/>
      <c r="M157" s="359"/>
      <c r="N157" s="78" t="s">
        <v>517</v>
      </c>
      <c r="O157" s="80" t="e">
        <f ca="1">(O114+O108)/(O90+O77)</f>
        <v>#DIV/0!</v>
      </c>
      <c r="P157" s="80" t="e">
        <f ca="1">(P114+P108)/(P90+P77)</f>
        <v>#DIV/0!</v>
      </c>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44"/>
    </row>
    <row r="158" spans="1:39" ht="18" customHeight="1" outlineLevel="2" x14ac:dyDescent="0.15">
      <c r="A158" s="242">
        <f t="shared" si="2"/>
        <v>155</v>
      </c>
      <c r="B158" s="359"/>
      <c r="C158" s="78" t="s">
        <v>518</v>
      </c>
      <c r="D158" s="265"/>
      <c r="E158" s="80">
        <f>IFERROR((E114+E108)/E115,0)</f>
        <v>0</v>
      </c>
      <c r="F158" s="80" t="e">
        <f>(F114+F108)/F115</f>
        <v>#DIV/0!</v>
      </c>
      <c r="G158" s="242"/>
      <c r="H158" s="359"/>
      <c r="I158" s="78" t="s">
        <v>518</v>
      </c>
      <c r="J158" s="80">
        <f>IFERROR((J114+J108)/J115,0)</f>
        <v>0</v>
      </c>
      <c r="K158" s="80">
        <f>IFERROR((K114+K108)/K115,0)</f>
        <v>0</v>
      </c>
      <c r="L158" s="242"/>
      <c r="M158" s="359"/>
      <c r="N158" s="78" t="s">
        <v>518</v>
      </c>
      <c r="O158" s="80" t="e">
        <f>(O114+O108)/O115</f>
        <v>#DIV/0!</v>
      </c>
      <c r="P158" s="80" t="e">
        <f>(P114+P108)/P115</f>
        <v>#DIV/0!</v>
      </c>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44"/>
    </row>
    <row r="159" spans="1:39" ht="18" customHeight="1" outlineLevel="2" x14ac:dyDescent="0.15">
      <c r="A159" s="242">
        <f t="shared" si="2"/>
        <v>156</v>
      </c>
      <c r="B159" s="359"/>
      <c r="C159" s="78" t="s">
        <v>519</v>
      </c>
      <c r="D159" s="265"/>
      <c r="E159" s="80">
        <f>IFERROR(E53/
((E101
+ IFERROR(HLOOKUP(E$1-1,Table_BCTC_Nam[],$A$101,0),$D$101)
)/2),0)</f>
        <v>0</v>
      </c>
      <c r="F159" s="219">
        <f>F53/
((F101
+  IFERROR(HLOOKUP(DATE(YEAR(F$1),MONTH(F$1)-1,1),Table_BCTC_Thang[],$A$101,0),
$D$101)
)/2)</f>
        <v>0</v>
      </c>
      <c r="G159" s="242"/>
      <c r="H159" s="359"/>
      <c r="I159" s="78" t="s">
        <v>519</v>
      </c>
      <c r="J159" s="80">
        <f>IFERROR(J53/
((J101
+ IFERROR(HLOOKUP(J$1-1,Table_BCTC_Nam[],$A$101,0),$D$101)
)/2),0)</f>
        <v>0</v>
      </c>
      <c r="K159" s="80">
        <f>IFERROR(K53/
((K101
+ IFERROR(HLOOKUP(K$1-1,Table_BCTC_Nam[],$A$101,0),$D$101)
)/2),0)</f>
        <v>0</v>
      </c>
      <c r="L159" s="242"/>
      <c r="M159" s="359"/>
      <c r="N159" s="78" t="s">
        <v>519</v>
      </c>
      <c r="O159" s="219">
        <f>O53/
((O101
+  IFERROR(HLOOKUP(DATE(YEAR(O$1),MONTH(O$1)-1,1),Table_BCTC_Thang[],$A$101,0),
$D$101)
)/2)</f>
        <v>0</v>
      </c>
      <c r="P159" s="219">
        <f>P53/
((P101
+  IFERROR(HLOOKUP(DATE(YEAR(P$1),MONTH(P$1)-1,1),Table_BCTC_Thang[],$A$101,0),
$D$101)
)/2)</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44"/>
    </row>
    <row r="160" spans="1:39" ht="18" customHeight="1" outlineLevel="2" x14ac:dyDescent="0.15">
      <c r="A160" s="242">
        <f t="shared" si="2"/>
        <v>157</v>
      </c>
      <c r="B160" s="359"/>
      <c r="C160" s="78" t="s">
        <v>520</v>
      </c>
      <c r="D160" s="265"/>
      <c r="E160" s="80">
        <f>IFERROR(E53/
((E114+E108
+ IFERROR(HLOOKUP(E$1-1,Table_BCTC_Nam[],$A$114,0),$D$114)
+ IFERROR(HLOOKUP(E$1-1,Table_BCTC_Nam[],$A$108,0),$D$108)
)/2),0)</f>
        <v>0</v>
      </c>
      <c r="F160" s="80">
        <f>F53/
((F114+F108
+IFERROR(HLOOKUP(DATE(YEAR(F$1),MONTH(F$1)-1,1),Table_BCTC_Thang[],$A$114,0),
$D$114)
+IFERROR(HLOOKUP(DATE(YEAR(F$1),MONTH(F$1)-1,1),Table_BCTC_Thang[],$A$108,0),
$D$108)
)/2)</f>
        <v>0</v>
      </c>
      <c r="G160" s="242"/>
      <c r="H160" s="359"/>
      <c r="I160" s="78" t="s">
        <v>520</v>
      </c>
      <c r="J160" s="80">
        <f>IFERROR(J53/
((J114+J108
+ IFERROR(HLOOKUP(J$1-1,Table_BCTC_Nam[],$A$114,0),$D$114)
+ IFERROR(HLOOKUP(J$1-1,Table_BCTC_Nam[],$A$108,0),$D$108)
)/2),0)</f>
        <v>0</v>
      </c>
      <c r="K160" s="80">
        <f>IFERROR(K53/
((K114+K108
+ IFERROR(HLOOKUP(K$1-1,Table_BCTC_Nam[],$A$114,0),$D$114)
+ IFERROR(HLOOKUP(K$1-1,Table_BCTC_Nam[],$A$108,0),$D$108)
)/2),0)</f>
        <v>0</v>
      </c>
      <c r="L160" s="242"/>
      <c r="M160" s="359"/>
      <c r="N160" s="78" t="s">
        <v>520</v>
      </c>
      <c r="O160" s="80">
        <f>O53/
((O114+O108
+IFERROR(HLOOKUP(DATE(YEAR(O$1),MONTH(O$1)-1,1),Table_BCTC_Thang[],$A$114,0),
$D$114)
+IFERROR(HLOOKUP(DATE(YEAR(O$1),MONTH(O$1)-1,1),Table_BCTC_Thang[],$A$108,0),
$D$108)
)/2)</f>
        <v>0</v>
      </c>
      <c r="P160" s="80">
        <f>P53/
((P114+P108
+IFERROR(HLOOKUP(DATE(YEAR(P$1),MONTH(P$1)-1,1),Table_BCTC_Thang[],$A$114,0),
$D$114)
+IFERROR(HLOOKUP(DATE(YEAR(P$1),MONTH(P$1)-1,1),Table_BCTC_Thang[],$A$108,0),
$D$108)
)/2)</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44"/>
    </row>
    <row r="161" spans="1:39" ht="18" customHeight="1" outlineLevel="1" x14ac:dyDescent="0.15">
      <c r="A161" s="242">
        <f t="shared" si="2"/>
        <v>158</v>
      </c>
      <c r="B161" s="359"/>
      <c r="C161" s="82" t="s">
        <v>521</v>
      </c>
      <c r="D161" s="265"/>
      <c r="E161" s="312"/>
      <c r="F161" s="242"/>
      <c r="G161" s="242"/>
      <c r="H161" s="359"/>
      <c r="I161" s="82" t="s">
        <v>521</v>
      </c>
      <c r="J161" s="312"/>
      <c r="K161" s="312"/>
      <c r="L161" s="242"/>
      <c r="M161" s="359"/>
      <c r="N161" s="82" t="s">
        <v>521</v>
      </c>
      <c r="O161" s="242"/>
      <c r="P161" s="242"/>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44"/>
    </row>
    <row r="162" spans="1:39" ht="18" customHeight="1" outlineLevel="2" x14ac:dyDescent="0.15">
      <c r="A162" s="242">
        <f t="shared" si="2"/>
        <v>159</v>
      </c>
      <c r="B162" s="359"/>
      <c r="C162" s="78" t="s">
        <v>522</v>
      </c>
      <c r="D162" s="265"/>
      <c r="E162" s="80">
        <f xml:space="preserve">
IFERROR(E6/
HLOOKUP(
E$1 -1,Table_BCTC_Nam[],$A$6,0)-1,
0)</f>
        <v>0</v>
      </c>
      <c r="F162" s="80">
        <f xml:space="preserve">
IFERROR(
F6/
HLOOKUP(DATE(YEAR(F$1),MONTH(F$1)-1,1),Table_BCTC_Thang[],$A$6,0)
-1,
0)</f>
        <v>0</v>
      </c>
      <c r="G162" s="242"/>
      <c r="H162" s="359"/>
      <c r="I162" s="78" t="s">
        <v>522</v>
      </c>
      <c r="J162" s="80">
        <f xml:space="preserve">
IFERROR(J6/
HLOOKUP(
J$1 -1,Table_BCTC_Nam[],$A$6,0)-1,
0)</f>
        <v>0</v>
      </c>
      <c r="K162" s="80">
        <f xml:space="preserve">
IFERROR(K6/
HLOOKUP(
K$1 -1,Table_BCTC_Nam[],$A$6,0)-1,
0)</f>
        <v>0</v>
      </c>
      <c r="L162" s="242"/>
      <c r="M162" s="359"/>
      <c r="N162" s="78" t="s">
        <v>522</v>
      </c>
      <c r="O162" s="80">
        <f xml:space="preserve">
IFERROR(
O6/
HLOOKUP(DATE(YEAR(O$1),MONTH(O$1)-1,1),Table_BCTC_Thang[],$A$6,0)
-1,
0)</f>
        <v>0</v>
      </c>
      <c r="P162" s="80">
        <f xml:space="preserve">
IFERROR(
P6/
HLOOKUP(DATE(YEAR(P$1),MONTH(P$1)-1,1),Table_BCTC_Thang[],$A$6,0)
-1,
0)</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44"/>
    </row>
    <row r="163" spans="1:39" ht="18" customHeight="1" outlineLevel="2" x14ac:dyDescent="0.15">
      <c r="A163" s="242">
        <f t="shared" si="2"/>
        <v>160</v>
      </c>
      <c r="B163" s="359"/>
      <c r="C163" s="78" t="s">
        <v>523</v>
      </c>
      <c r="D163" s="265"/>
      <c r="E163" s="80">
        <f xml:space="preserve">
IFERROR(E11/
HLOOKUP(
E$1 -1,Table_BCTC_Nam[],$A$11,0)-1,
0)</f>
        <v>0</v>
      </c>
      <c r="F163" s="80">
        <f xml:space="preserve">
IFERROR(
F11/
HLOOKUP(DATE(YEAR(F$1),MONTH(F$1)-1,1),Table_BCTC_Thang[],$A$11,0)-1,
0)</f>
        <v>0</v>
      </c>
      <c r="G163" s="242"/>
      <c r="H163" s="359"/>
      <c r="I163" s="78" t="s">
        <v>523</v>
      </c>
      <c r="J163" s="80">
        <f xml:space="preserve">
IFERROR(J11/
HLOOKUP(
J$1 -1,Table_BCTC_Nam[],$A$11,0)-1,
0)</f>
        <v>0</v>
      </c>
      <c r="K163" s="80">
        <f xml:space="preserve">
IFERROR(K11/
HLOOKUP(
K$1 -1,Table_BCTC_Nam[],$A$11,0)-1,
0)</f>
        <v>0</v>
      </c>
      <c r="L163" s="242"/>
      <c r="M163" s="359"/>
      <c r="N163" s="78" t="s">
        <v>523</v>
      </c>
      <c r="O163" s="80">
        <f xml:space="preserve">
IFERROR(
O11/
HLOOKUP(DATE(YEAR(O$1),MONTH(O$1)-1,1),Table_BCTC_Thang[],$A$11,0)-1,
0)</f>
        <v>0</v>
      </c>
      <c r="P163" s="80">
        <f xml:space="preserve">
IFERROR(
P11/
HLOOKUP(DATE(YEAR(P$1),MONTH(P$1)-1,1),Table_BCTC_Thang[],$A$11,0)-1,
0)</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44"/>
    </row>
    <row r="164" spans="1:39" ht="18" customHeight="1" outlineLevel="2" x14ac:dyDescent="0.15">
      <c r="A164" s="242">
        <f t="shared" si="2"/>
        <v>161</v>
      </c>
      <c r="B164" s="359"/>
      <c r="C164" s="78" t="s">
        <v>524</v>
      </c>
      <c r="D164" s="265"/>
      <c r="E164" s="80">
        <f xml:space="preserve">
IFERROR(E20/
HLOOKUP(
E$1 -1,Table_BCTC_Nam[],$A$20,0)-1,
0)</f>
        <v>0</v>
      </c>
      <c r="F164" s="80">
        <f xml:space="preserve">
IFERROR(
F20/
HLOOKUP(DATE(YEAR(F$1),MONTH(F$1)-1,1),Table_BCTC_Thang[],$A$20,0)-1,
0)</f>
        <v>0</v>
      </c>
      <c r="G164" s="242"/>
      <c r="H164" s="359"/>
      <c r="I164" s="78" t="s">
        <v>524</v>
      </c>
      <c r="J164" s="80">
        <f xml:space="preserve">
IFERROR(J20/
HLOOKUP(
J$1 -1,Table_BCTC_Nam[],$A$20,0)-1,
0)</f>
        <v>0</v>
      </c>
      <c r="K164" s="80">
        <f xml:space="preserve">
IFERROR(K20/
HLOOKUP(
K$1 -1,Table_BCTC_Nam[],$A$20,0)-1,
0)</f>
        <v>0</v>
      </c>
      <c r="L164" s="242"/>
      <c r="M164" s="359"/>
      <c r="N164" s="78" t="s">
        <v>524</v>
      </c>
      <c r="O164" s="80">
        <f xml:space="preserve">
IFERROR(
O20/
HLOOKUP(DATE(YEAR(O$1),MONTH(O$1)-1,1),Table_BCTC_Thang[],$A$20,0)-1,
0)</f>
        <v>0</v>
      </c>
      <c r="P164" s="80">
        <f xml:space="preserve">
IFERROR(
P20/
HLOOKUP(DATE(YEAR(P$1),MONTH(P$1)-1,1),Table_BCTC_Thang[],$A$20,0)-1,
0)</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44"/>
    </row>
    <row r="165" spans="1:39" ht="18" customHeight="1" outlineLevel="2" x14ac:dyDescent="0.15">
      <c r="A165" s="242">
        <f t="shared" si="2"/>
        <v>162</v>
      </c>
      <c r="B165" s="359"/>
      <c r="C165" s="78" t="s">
        <v>525</v>
      </c>
      <c r="D165" s="265"/>
      <c r="E165" s="80">
        <f xml:space="preserve">
IFERROR(E40/
HLOOKUP(
E$1 -1,Table_BCTC_Nam[],$A$40,0)-1,
0)</f>
        <v>0</v>
      </c>
      <c r="F165" s="80">
        <f xml:space="preserve">
IFERROR(
F40/
HLOOKUP(DATE(YEAR(F$1),MONTH(F$1)-1,1),Table_BCTC_Thang[],$A$40,0)-1,
0)</f>
        <v>0</v>
      </c>
      <c r="G165" s="242"/>
      <c r="H165" s="359"/>
      <c r="I165" s="78" t="s">
        <v>525</v>
      </c>
      <c r="J165" s="80">
        <f xml:space="preserve">
IFERROR(J40/
HLOOKUP(
J$1 -1,Table_BCTC_Nam[],$A$40,0)-1,
0)</f>
        <v>0</v>
      </c>
      <c r="K165" s="80">
        <f xml:space="preserve">
IFERROR(K40/
HLOOKUP(
K$1 -1,Table_BCTC_Nam[],$A$40,0)-1,
0)</f>
        <v>0</v>
      </c>
      <c r="L165" s="242"/>
      <c r="M165" s="359"/>
      <c r="N165" s="78" t="s">
        <v>525</v>
      </c>
      <c r="O165" s="80">
        <f xml:space="preserve">
IFERROR(
O40/
HLOOKUP(DATE(YEAR(O$1),MONTH(O$1)-1,1),Table_BCTC_Thang[],$A$40,0)-1,
0)</f>
        <v>0</v>
      </c>
      <c r="P165" s="80">
        <f xml:space="preserve">
IFERROR(
P40/
HLOOKUP(DATE(YEAR(P$1),MONTH(P$1)-1,1),Table_BCTC_Thang[],$A$40,0)-1,
0)</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44"/>
    </row>
    <row r="166" spans="1:39" ht="18" customHeight="1" outlineLevel="2" x14ac:dyDescent="0.15">
      <c r="A166" s="242">
        <f t="shared" si="2"/>
        <v>163</v>
      </c>
      <c r="B166" s="359"/>
      <c r="C166" s="78" t="s">
        <v>526</v>
      </c>
      <c r="D166" s="265"/>
      <c r="E166" s="80">
        <f xml:space="preserve">
IFERROR(E50/
HLOOKUP(
E$1 -1,Table_BCTC_Nam[],$A$50,0)-1,
0)</f>
        <v>0</v>
      </c>
      <c r="F166" s="80">
        <f xml:space="preserve">
IFERROR(
F50/
HLOOKUP(DATE(YEAR(F$1),MONTH(F$1)-1,1),Table_BCTC_Thang[],$A$50,0)-1,
0)</f>
        <v>0</v>
      </c>
      <c r="G166" s="242"/>
      <c r="H166" s="359"/>
      <c r="I166" s="78" t="s">
        <v>526</v>
      </c>
      <c r="J166" s="80">
        <f xml:space="preserve">
IFERROR(J50/
HLOOKUP(
J$1 -1,Table_BCTC_Nam[],$A$50,0)-1,
0)</f>
        <v>0</v>
      </c>
      <c r="K166" s="80">
        <f xml:space="preserve">
IFERROR(K50/
HLOOKUP(
K$1 -1,Table_BCTC_Nam[],$A$50,0)-1,
0)</f>
        <v>0</v>
      </c>
      <c r="L166" s="242"/>
      <c r="M166" s="359"/>
      <c r="N166" s="78" t="s">
        <v>526</v>
      </c>
      <c r="O166" s="80">
        <f xml:space="preserve">
IFERROR(
O50/
HLOOKUP(DATE(YEAR(O$1),MONTH(O$1)-1,1),Table_BCTC_Thang[],$A$50,0)-1,
0)</f>
        <v>0</v>
      </c>
      <c r="P166" s="80">
        <f xml:space="preserve">
IFERROR(
P50/
HLOOKUP(DATE(YEAR(P$1),MONTH(P$1)-1,1),Table_BCTC_Thang[],$A$50,0)-1,
0)</f>
        <v>0</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44"/>
    </row>
    <row r="167" spans="1:39" ht="18" customHeight="1" outlineLevel="2" x14ac:dyDescent="0.15">
      <c r="A167" s="242">
        <f t="shared" si="2"/>
        <v>164</v>
      </c>
      <c r="B167" s="359"/>
      <c r="C167" s="78" t="s">
        <v>527</v>
      </c>
      <c r="D167" s="265"/>
      <c r="E167" s="80">
        <f xml:space="preserve">
IFERROR(E53/
HLOOKUP(
E$1 -1,Table_BCTC_Nam[],$A$53,0)-1,
0)</f>
        <v>0</v>
      </c>
      <c r="F167" s="80">
        <f xml:space="preserve">
IFERROR(F53/
HLOOKUP(DATE(YEAR(F$1),MONTH(F$1)-1,1),Table_BCTC_Thang[],$A$53,0)-1,
0)</f>
        <v>0</v>
      </c>
      <c r="G167" s="244"/>
      <c r="H167" s="359"/>
      <c r="I167" s="78" t="s">
        <v>527</v>
      </c>
      <c r="J167" s="80">
        <f xml:space="preserve">
IFERROR(J53/
HLOOKUP(
J$1 -1,Table_BCTC_Nam[],$A$53,0)-1,
0)</f>
        <v>0</v>
      </c>
      <c r="K167" s="80">
        <f xml:space="preserve">
IFERROR(K53/
HLOOKUP(
K$1 -1,Table_BCTC_Nam[],$A$53,0)-1,
0)</f>
        <v>0</v>
      </c>
      <c r="L167" s="244"/>
      <c r="M167" s="359"/>
      <c r="N167" s="78" t="s">
        <v>527</v>
      </c>
      <c r="O167" s="80">
        <f xml:space="preserve">
IFERROR(O53/
HLOOKUP(DATE(YEAR(O$1),MONTH(O$1)-1,1),Table_BCTC_Thang[],$A$53,0)-1,
0)</f>
        <v>0</v>
      </c>
      <c r="P167" s="80">
        <f xml:space="preserve">
IFERROR(P53/
HLOOKUP(DATE(YEAR(P$1),MONTH(P$1)-1,1),Table_BCTC_Thang[],$A$53,0)-1,
0)</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44"/>
    </row>
    <row r="168" spans="1:39" ht="18" customHeight="1" outlineLevel="2" x14ac:dyDescent="0.15">
      <c r="A168" s="242">
        <f t="shared" si="2"/>
        <v>165</v>
      </c>
      <c r="B168" s="359"/>
      <c r="C168" s="78" t="s">
        <v>528</v>
      </c>
      <c r="D168" s="265"/>
      <c r="E168" s="80">
        <f xml:space="preserve">
IFERROR(E74/
HLOOKUP(
E$1 -1,Table_BCTC_Nam[],$A$74,0)-1,
0)</f>
        <v>0</v>
      </c>
      <c r="F168" s="80">
        <f xml:space="preserve">
IFERROR(F74/
HLOOKUP(DATE(YEAR(F$1),MONTH(F$1)-1,1),Table_BCTC_Thang[],$A$74,0)-1,
0)</f>
        <v>0</v>
      </c>
      <c r="G168" s="244"/>
      <c r="H168" s="359"/>
      <c r="I168" s="78" t="s">
        <v>528</v>
      </c>
      <c r="J168" s="80">
        <f xml:space="preserve">
IFERROR(J74/
HLOOKUP(
J$1 -1,Table_BCTC_Nam[],$A$74,0)-1,
0)</f>
        <v>0</v>
      </c>
      <c r="K168" s="80">
        <f xml:space="preserve">
IFERROR(K74/
HLOOKUP(
K$1 -1,Table_BCTC_Nam[],$A$74,0)-1,
0)</f>
        <v>0</v>
      </c>
      <c r="L168" s="244"/>
      <c r="M168" s="359"/>
      <c r="N168" s="78" t="s">
        <v>528</v>
      </c>
      <c r="O168" s="80">
        <f xml:space="preserve">
IFERROR(O74/
HLOOKUP(DATE(YEAR(O$1),MONTH(O$1)-1,1),Table_BCTC_Thang[],$A$74,0)-1,
0)</f>
        <v>0</v>
      </c>
      <c r="P168" s="80">
        <f xml:space="preserve">
IFERROR(P74/
HLOOKUP(DATE(YEAR(P$1),MONTH(P$1)-1,1),Table_BCTC_Thang[],$A$74,0)-1,
0)</f>
        <v>0</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44"/>
    </row>
    <row r="169" spans="1:39" ht="18" customHeight="1" outlineLevel="2" x14ac:dyDescent="0.15">
      <c r="A169" s="242">
        <f t="shared" si="2"/>
        <v>166</v>
      </c>
      <c r="B169" s="359"/>
      <c r="C169" s="78" t="s">
        <v>529</v>
      </c>
      <c r="D169" s="265"/>
      <c r="E169" s="80">
        <f xml:space="preserve">
IFERROR(
(E77+E90)/
(HLOOKUP(E$1 -1,Table_BCTC_Nam[],$A$77,$D$77)
+ HLOOKUP(E$1 -1,Table_BCTC_Nam[],$A$90,$D$90))-1, 0)</f>
        <v>0</v>
      </c>
      <c r="F169" s="80">
        <f xml:space="preserve">
IFERROR(
(F77+F90)/
(
IFERROR(HLOOKUP(DATE(YEAR(F$1),MONTH(F$1)-1,1),Table_BCTC_Thang[],$A$77,0),
$D$77)
+ IFERROR(HLOOKUP(DATE(YEAR(F$1),MONTH(F$1)-1,1),Table_BCTC_Thang[],$A$90,0),
$D$90)
)-1,0)</f>
        <v>-1</v>
      </c>
      <c r="G169" s="244"/>
      <c r="H169" s="359"/>
      <c r="I169" s="78" t="s">
        <v>529</v>
      </c>
      <c r="J169" s="80">
        <f xml:space="preserve">
IFERROR(
(J77+J90)/
(HLOOKUP(J$1 -1,Table_BCTC_Nam[],$A$77,$D$77)
+ HLOOKUP(J$1 -1,Table_BCTC_Nam[],$A$90,$D$90))-1, 0)</f>
        <v>0</v>
      </c>
      <c r="K169" s="80">
        <f xml:space="preserve">
IFERROR(
(K77+K90)/
(HLOOKUP(K$1 -1,Table_BCTC_Nam[],$A$77,$D$77)
+ HLOOKUP(K$1 -1,Table_BCTC_Nam[],$A$90,$D$90))-1, 0)</f>
        <v>0</v>
      </c>
      <c r="L169" s="244"/>
      <c r="M169" s="359"/>
      <c r="N169" s="78" t="s">
        <v>529</v>
      </c>
      <c r="O169" s="80">
        <f ca="1" xml:space="preserve">
IFERROR(
(O77+O90)/
(
IFERROR(HLOOKUP(DATE(YEAR(O$1),MONTH(O$1)-1,1),Table_BCTC_Thang[],$A$77,0),
$D$77)
+ IFERROR(HLOOKUP(DATE(YEAR(O$1),MONTH(O$1)-1,1),Table_BCTC_Thang[],$A$90,0),
$D$90)
)-1,0)</f>
        <v>-1</v>
      </c>
      <c r="P169" s="80">
        <f ca="1" xml:space="preserve">
IFERROR(
(P77+P90)/
(
IFERROR(HLOOKUP(DATE(YEAR(P$1),MONTH(P$1)-1,1),Table_BCTC_Thang[],$A$77,0),
$D$77)
+ IFERROR(HLOOKUP(DATE(YEAR(P$1),MONTH(P$1)-1,1),Table_BCTC_Thang[],$A$90,0),
$D$90)
)-1,0)</f>
        <v>-1</v>
      </c>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44"/>
    </row>
    <row r="170" spans="1:39" ht="18" customHeight="1" outlineLevel="2" x14ac:dyDescent="0.15">
      <c r="A170" s="242">
        <f t="shared" si="2"/>
        <v>167</v>
      </c>
      <c r="B170" s="359"/>
      <c r="C170" s="78" t="s">
        <v>530</v>
      </c>
      <c r="D170" s="265"/>
      <c r="E170" s="80">
        <f xml:space="preserve">
IFERROR(
E115/
+ HLOOKUP(E$1 -1,Table_BCTC_Nam[],$A$115,$D$115)-1, 0)</f>
        <v>0</v>
      </c>
      <c r="F170" s="80">
        <f xml:space="preserve">
IFERROR(F115/
IFERROR(HLOOKUP(DATE(YEAR(F$1),MONTH(F$1)-1,1),Table_BCTC_Thang[],$A$115,0),
$D$115)-1,0)</f>
        <v>0</v>
      </c>
      <c r="G170" s="244"/>
      <c r="H170" s="359"/>
      <c r="I170" s="78" t="s">
        <v>530</v>
      </c>
      <c r="J170" s="80">
        <f xml:space="preserve">
IFERROR(
J115/
+ HLOOKUP(J$1 -1,Table_BCTC_Nam[],$A$115,$D$115)-1, 0)</f>
        <v>0</v>
      </c>
      <c r="K170" s="80">
        <f xml:space="preserve">
IFERROR(
K115/
+ HLOOKUP(K$1 -1,Table_BCTC_Nam[],$A$115,$D$115)-1, 0)</f>
        <v>0</v>
      </c>
      <c r="L170" s="244"/>
      <c r="M170" s="359"/>
      <c r="N170" s="78" t="s">
        <v>530</v>
      </c>
      <c r="O170" s="80">
        <f xml:space="preserve">
IFERROR(O115/
IFERROR(HLOOKUP(DATE(YEAR(O$1),MONTH(O$1)-1,1),Table_BCTC_Thang[],$A$115,0),
$D$115)-1,0)</f>
        <v>0</v>
      </c>
      <c r="P170" s="80">
        <f xml:space="preserve">
IFERROR(P115/
IFERROR(HLOOKUP(DATE(YEAR(P$1),MONTH(P$1)-1,1),Table_BCTC_Thang[],$A$115,0),
$D$115)-1,0)</f>
        <v>0</v>
      </c>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44"/>
    </row>
    <row r="171" spans="1:39" ht="18" customHeight="1" x14ac:dyDescent="0.15">
      <c r="A171" s="242"/>
      <c r="B171" s="244"/>
      <c r="C171" s="242"/>
      <c r="D171" s="265"/>
      <c r="E171" s="244"/>
      <c r="F171" s="244"/>
      <c r="G171" s="244"/>
      <c r="H171" s="242"/>
      <c r="I171" s="265"/>
      <c r="J171" s="265"/>
      <c r="K171" s="265"/>
      <c r="L171" s="244"/>
      <c r="M171" s="244"/>
      <c r="N171" s="242"/>
      <c r="O171" s="242"/>
      <c r="P171" s="242"/>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44"/>
    </row>
    <row r="172" spans="1:39" ht="18" customHeight="1" x14ac:dyDescent="0.15">
      <c r="A172" s="242"/>
      <c r="B172" s="244"/>
      <c r="C172" s="242"/>
      <c r="D172" s="265"/>
      <c r="E172" s="244"/>
      <c r="F172" s="244"/>
      <c r="G172" s="244"/>
      <c r="H172" s="242"/>
      <c r="I172" s="242"/>
      <c r="J172" s="242"/>
      <c r="K172" s="242"/>
      <c r="L172" s="244"/>
      <c r="M172" s="242"/>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44"/>
    </row>
    <row r="173" spans="1:39" ht="18" customHeight="1" x14ac:dyDescent="0.15">
      <c r="A173" s="242"/>
      <c r="B173" s="244"/>
      <c r="C173" s="242"/>
      <c r="D173" s="265"/>
      <c r="E173" s="244"/>
      <c r="F173" s="244"/>
      <c r="G173" s="244"/>
      <c r="H173" s="242"/>
      <c r="I173" s="242"/>
      <c r="J173" s="242"/>
      <c r="K173" s="242"/>
      <c r="L173" s="244"/>
      <c r="M173" s="242"/>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44"/>
    </row>
    <row r="174" spans="1:39" ht="18" customHeight="1" x14ac:dyDescent="0.15">
      <c r="A174" s="242"/>
      <c r="B174" s="244"/>
      <c r="C174" s="242"/>
      <c r="D174" s="265"/>
      <c r="E174" s="244"/>
      <c r="F174" s="244"/>
      <c r="G174" s="244"/>
      <c r="H174" s="242"/>
      <c r="I174" s="242"/>
      <c r="J174" s="242"/>
      <c r="K174" s="242"/>
      <c r="L174" s="244"/>
      <c r="M174" s="242"/>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44"/>
    </row>
    <row r="175" spans="1:39" ht="18" customHeight="1" x14ac:dyDescent="0.15">
      <c r="A175" s="242"/>
      <c r="B175" s="244"/>
      <c r="C175" s="242"/>
      <c r="D175" s="265"/>
      <c r="E175" s="244"/>
      <c r="F175" s="244"/>
      <c r="G175" s="244"/>
      <c r="H175" s="242"/>
      <c r="I175" s="242"/>
      <c r="J175" s="242"/>
      <c r="K175" s="242"/>
      <c r="L175" s="244"/>
      <c r="M175" s="242"/>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44"/>
    </row>
    <row r="176" spans="1:39" ht="18" customHeight="1" x14ac:dyDescent="0.15">
      <c r="A176" s="242"/>
      <c r="B176" s="244"/>
      <c r="C176" s="242"/>
      <c r="D176" s="265"/>
      <c r="E176" s="244"/>
      <c r="F176" s="244"/>
      <c r="G176" s="244"/>
      <c r="H176" s="242"/>
      <c r="I176" s="242"/>
      <c r="J176" s="242"/>
      <c r="K176" s="242"/>
      <c r="L176" s="244"/>
      <c r="M176" s="242"/>
      <c r="N176" s="265"/>
      <c r="O176" s="265"/>
      <c r="P176" s="265"/>
      <c r="Q176" s="265"/>
      <c r="R176" s="265"/>
      <c r="S176" s="265"/>
      <c r="T176" s="265"/>
      <c r="U176" s="265"/>
      <c r="V176" s="265"/>
      <c r="W176" s="265"/>
      <c r="X176" s="265"/>
      <c r="Y176" s="265"/>
      <c r="Z176" s="265"/>
      <c r="AA176" s="265"/>
      <c r="AB176" s="265"/>
      <c r="AC176" s="265"/>
      <c r="AD176" s="265"/>
      <c r="AE176" s="265"/>
      <c r="AF176" s="265"/>
      <c r="AG176" s="265"/>
      <c r="AH176" s="265"/>
      <c r="AI176" s="265"/>
      <c r="AJ176" s="265"/>
      <c r="AK176" s="265"/>
      <c r="AL176" s="265"/>
      <c r="AM176" s="244"/>
    </row>
    <row r="177" spans="1:39" ht="18" customHeight="1" x14ac:dyDescent="0.15">
      <c r="A177" s="242"/>
      <c r="B177" s="244"/>
      <c r="C177" s="242"/>
      <c r="D177" s="265"/>
      <c r="E177" s="244"/>
      <c r="F177" s="244"/>
      <c r="G177" s="244"/>
      <c r="H177" s="242"/>
      <c r="I177" s="242"/>
      <c r="J177" s="242"/>
      <c r="K177" s="242"/>
      <c r="L177" s="244"/>
      <c r="M177" s="242"/>
      <c r="N177" s="265"/>
      <c r="O177" s="265"/>
      <c r="P177" s="265"/>
      <c r="Q177" s="265"/>
      <c r="R177" s="265"/>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44"/>
    </row>
    <row r="178" spans="1:39" ht="18" customHeight="1" x14ac:dyDescent="0.15">
      <c r="A178" s="242"/>
      <c r="B178" s="244"/>
      <c r="C178" s="242"/>
      <c r="D178" s="265"/>
      <c r="E178" s="244"/>
      <c r="F178" s="244"/>
      <c r="G178" s="244"/>
      <c r="H178" s="242"/>
      <c r="I178" s="242"/>
      <c r="J178" s="242"/>
      <c r="K178" s="242"/>
      <c r="L178" s="244"/>
      <c r="M178" s="242"/>
      <c r="N178" s="265"/>
      <c r="O178" s="265"/>
      <c r="P178" s="265"/>
      <c r="Q178" s="265"/>
      <c r="R178" s="265"/>
      <c r="S178" s="265"/>
      <c r="T178" s="265"/>
      <c r="U178" s="265"/>
      <c r="V178" s="265"/>
      <c r="W178" s="265"/>
      <c r="X178" s="265"/>
      <c r="Y178" s="265"/>
      <c r="Z178" s="265"/>
      <c r="AA178" s="265"/>
      <c r="AB178" s="265"/>
      <c r="AC178" s="265"/>
      <c r="AD178" s="265"/>
      <c r="AE178" s="265"/>
      <c r="AF178" s="265"/>
      <c r="AG178" s="265"/>
      <c r="AH178" s="265"/>
      <c r="AI178" s="265"/>
      <c r="AJ178" s="265"/>
      <c r="AK178" s="265"/>
      <c r="AL178" s="265"/>
      <c r="AM178" s="244"/>
    </row>
    <row r="179" spans="1:39" ht="18" customHeight="1" x14ac:dyDescent="0.15">
      <c r="A179" s="242"/>
      <c r="B179" s="244"/>
      <c r="C179" s="242"/>
      <c r="D179" s="265"/>
      <c r="E179" s="244"/>
      <c r="F179" s="244"/>
      <c r="G179" s="244"/>
      <c r="H179" s="242"/>
      <c r="I179" s="242"/>
      <c r="J179" s="242"/>
      <c r="K179" s="242"/>
      <c r="L179" s="244"/>
      <c r="M179" s="242"/>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44"/>
    </row>
    <row r="180" spans="1:39" ht="18" customHeight="1" x14ac:dyDescent="0.15">
      <c r="A180" s="242"/>
      <c r="B180" s="244"/>
      <c r="C180" s="242"/>
      <c r="D180" s="265"/>
      <c r="E180" s="244"/>
      <c r="F180" s="244"/>
      <c r="G180" s="244"/>
      <c r="H180" s="242"/>
      <c r="I180" s="242"/>
      <c r="J180" s="242"/>
      <c r="K180" s="242"/>
      <c r="L180" s="244"/>
      <c r="M180" s="242"/>
      <c r="N180" s="265"/>
      <c r="O180" s="265"/>
      <c r="P180" s="265"/>
      <c r="Q180" s="265"/>
      <c r="R180" s="265"/>
      <c r="S180" s="265"/>
      <c r="T180" s="265"/>
      <c r="U180" s="265"/>
      <c r="V180" s="265"/>
      <c r="W180" s="265"/>
      <c r="X180" s="265"/>
      <c r="Y180" s="265"/>
      <c r="Z180" s="265"/>
      <c r="AA180" s="265"/>
      <c r="AB180" s="265"/>
      <c r="AC180" s="265"/>
      <c r="AD180" s="265"/>
      <c r="AE180" s="265"/>
      <c r="AF180" s="265"/>
      <c r="AG180" s="265"/>
      <c r="AH180" s="265"/>
      <c r="AI180" s="265"/>
      <c r="AJ180" s="265"/>
      <c r="AK180" s="265"/>
      <c r="AL180" s="265"/>
      <c r="AM180" s="244"/>
    </row>
    <row r="181" spans="1:39" ht="18" customHeight="1" x14ac:dyDescent="0.15">
      <c r="A181" s="265"/>
      <c r="B181" s="244"/>
      <c r="C181" s="242"/>
      <c r="D181" s="265"/>
      <c r="E181" s="244"/>
      <c r="F181" s="244"/>
      <c r="G181" s="244"/>
      <c r="H181" s="242"/>
      <c r="I181" s="242"/>
      <c r="J181" s="242"/>
      <c r="K181" s="242"/>
      <c r="L181" s="244"/>
      <c r="M181" s="242"/>
      <c r="N181" s="265"/>
      <c r="O181" s="265"/>
      <c r="P181" s="265"/>
      <c r="Q181" s="265"/>
      <c r="R181" s="265"/>
      <c r="S181" s="265"/>
      <c r="T181" s="265"/>
      <c r="U181" s="265"/>
      <c r="V181" s="265"/>
      <c r="W181" s="265"/>
      <c r="X181" s="265"/>
      <c r="Y181" s="265"/>
      <c r="Z181" s="265"/>
      <c r="AA181" s="265"/>
      <c r="AB181" s="265"/>
      <c r="AC181" s="265"/>
      <c r="AD181" s="265"/>
      <c r="AE181" s="265"/>
      <c r="AF181" s="265"/>
      <c r="AG181" s="265"/>
      <c r="AH181" s="265"/>
      <c r="AI181" s="265"/>
      <c r="AJ181" s="265"/>
      <c r="AK181" s="265"/>
      <c r="AL181" s="265"/>
      <c r="AM181" s="244"/>
    </row>
    <row r="182" spans="1:39" ht="18" customHeight="1" x14ac:dyDescent="0.15">
      <c r="A182" s="242"/>
      <c r="B182" s="244"/>
      <c r="C182" s="242"/>
      <c r="D182" s="265"/>
      <c r="E182" s="244"/>
      <c r="F182" s="244"/>
      <c r="G182" s="244"/>
      <c r="H182" s="242"/>
      <c r="I182" s="242"/>
      <c r="J182" s="242"/>
      <c r="K182" s="242"/>
      <c r="L182" s="244"/>
      <c r="M182" s="242"/>
      <c r="N182" s="265"/>
      <c r="O182" s="265"/>
      <c r="P182" s="265"/>
      <c r="Q182" s="265"/>
      <c r="R182" s="265"/>
      <c r="S182" s="265"/>
      <c r="T182" s="265"/>
      <c r="U182" s="265"/>
      <c r="V182" s="265"/>
      <c r="W182" s="265"/>
      <c r="X182" s="265"/>
      <c r="Y182" s="265"/>
      <c r="Z182" s="265"/>
      <c r="AA182" s="265"/>
      <c r="AB182" s="265"/>
      <c r="AC182" s="265"/>
      <c r="AD182" s="265"/>
      <c r="AE182" s="265"/>
      <c r="AF182" s="265"/>
      <c r="AG182" s="265"/>
      <c r="AH182" s="265"/>
      <c r="AI182" s="265"/>
      <c r="AJ182" s="265"/>
      <c r="AK182" s="265"/>
      <c r="AL182" s="265"/>
      <c r="AM182" s="244"/>
    </row>
    <row r="183" spans="1:39" ht="18" customHeight="1" x14ac:dyDescent="0.15">
      <c r="A183" s="242"/>
      <c r="B183" s="244"/>
      <c r="C183" s="242"/>
      <c r="D183" s="265"/>
      <c r="E183" s="244"/>
      <c r="F183" s="244"/>
      <c r="G183" s="244"/>
      <c r="H183" s="242"/>
      <c r="I183" s="242"/>
      <c r="J183" s="242"/>
      <c r="K183" s="242"/>
      <c r="L183" s="244"/>
      <c r="M183" s="242"/>
      <c r="N183" s="265"/>
      <c r="O183" s="265"/>
      <c r="P183" s="265"/>
      <c r="Q183" s="265"/>
      <c r="R183" s="265"/>
      <c r="S183" s="265"/>
      <c r="T183" s="265"/>
      <c r="U183" s="265"/>
      <c r="V183" s="265"/>
      <c r="W183" s="265"/>
      <c r="X183" s="265"/>
      <c r="Y183" s="265"/>
      <c r="Z183" s="265"/>
      <c r="AA183" s="265"/>
      <c r="AB183" s="265"/>
      <c r="AC183" s="265"/>
      <c r="AD183" s="265"/>
      <c r="AE183" s="265"/>
      <c r="AF183" s="265"/>
      <c r="AG183" s="265"/>
      <c r="AH183" s="265"/>
      <c r="AI183" s="265"/>
      <c r="AJ183" s="265"/>
      <c r="AK183" s="265"/>
      <c r="AL183" s="265"/>
      <c r="AM183" s="244"/>
    </row>
    <row r="184" spans="1:39" ht="18" customHeight="1" x14ac:dyDescent="0.15">
      <c r="A184" s="242"/>
      <c r="B184" s="244"/>
      <c r="C184" s="242"/>
      <c r="D184" s="265"/>
      <c r="E184" s="244"/>
      <c r="F184" s="244"/>
      <c r="G184" s="244"/>
      <c r="H184" s="242"/>
      <c r="I184" s="242"/>
      <c r="J184" s="242"/>
      <c r="K184" s="242"/>
      <c r="L184" s="244"/>
      <c r="M184" s="242"/>
      <c r="N184" s="265"/>
      <c r="O184" s="265"/>
      <c r="P184" s="265"/>
      <c r="Q184" s="265"/>
      <c r="R184" s="265"/>
      <c r="S184" s="265"/>
      <c r="T184" s="265"/>
      <c r="U184" s="265"/>
      <c r="V184" s="265"/>
      <c r="W184" s="265"/>
      <c r="X184" s="265"/>
      <c r="Y184" s="265"/>
      <c r="Z184" s="265"/>
      <c r="AA184" s="265"/>
      <c r="AB184" s="265"/>
      <c r="AC184" s="265"/>
      <c r="AD184" s="265"/>
      <c r="AE184" s="265"/>
      <c r="AF184" s="265"/>
      <c r="AG184" s="265"/>
      <c r="AH184" s="265"/>
      <c r="AI184" s="265"/>
      <c r="AJ184" s="265"/>
      <c r="AK184" s="265"/>
      <c r="AL184" s="265"/>
      <c r="AM184" s="244"/>
    </row>
    <row r="185" spans="1:39" ht="18" customHeight="1" x14ac:dyDescent="0.15">
      <c r="A185" s="242"/>
      <c r="B185" s="244"/>
      <c r="C185" s="242"/>
      <c r="D185" s="265"/>
      <c r="E185" s="244"/>
      <c r="F185" s="244"/>
      <c r="G185" s="244"/>
      <c r="H185" s="242"/>
      <c r="I185" s="242"/>
      <c r="J185" s="242"/>
      <c r="K185" s="242"/>
      <c r="L185" s="244"/>
      <c r="M185" s="242"/>
      <c r="N185" s="265"/>
      <c r="O185" s="265"/>
      <c r="P185" s="265"/>
      <c r="Q185" s="265"/>
      <c r="R185" s="265"/>
      <c r="S185" s="265"/>
      <c r="T185" s="265"/>
      <c r="U185" s="265"/>
      <c r="V185" s="265"/>
      <c r="W185" s="265"/>
      <c r="X185" s="265"/>
      <c r="Y185" s="265"/>
      <c r="Z185" s="265"/>
      <c r="AA185" s="265"/>
      <c r="AB185" s="265"/>
      <c r="AC185" s="265"/>
      <c r="AD185" s="265"/>
      <c r="AE185" s="265"/>
      <c r="AF185" s="265"/>
      <c r="AG185" s="265"/>
      <c r="AH185" s="265"/>
      <c r="AI185" s="265"/>
      <c r="AJ185" s="265"/>
      <c r="AK185" s="265"/>
      <c r="AL185" s="265"/>
      <c r="AM185" s="244"/>
    </row>
    <row r="186" spans="1:39" ht="18" customHeight="1" x14ac:dyDescent="0.15">
      <c r="A186" s="242"/>
      <c r="B186" s="244"/>
      <c r="C186" s="242"/>
      <c r="D186" s="265"/>
      <c r="E186" s="244"/>
      <c r="F186" s="244"/>
      <c r="G186" s="244"/>
      <c r="H186" s="242"/>
      <c r="I186" s="242"/>
      <c r="J186" s="242"/>
      <c r="K186" s="242"/>
      <c r="L186" s="244"/>
      <c r="M186" s="242"/>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44"/>
    </row>
    <row r="187" spans="1:39" ht="18" customHeight="1" x14ac:dyDescent="0.15">
      <c r="A187" s="242"/>
      <c r="B187" s="244"/>
      <c r="C187" s="242"/>
      <c r="D187" s="265"/>
      <c r="E187" s="244"/>
      <c r="F187" s="244"/>
      <c r="G187" s="244"/>
      <c r="H187" s="242"/>
      <c r="I187" s="242"/>
      <c r="J187" s="242"/>
      <c r="K187" s="242"/>
      <c r="L187" s="244"/>
      <c r="M187" s="242"/>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44"/>
    </row>
    <row r="188" spans="1:39" ht="18" customHeight="1" x14ac:dyDescent="0.15">
      <c r="A188" s="242"/>
      <c r="B188" s="244"/>
      <c r="C188" s="242"/>
      <c r="D188" s="265"/>
      <c r="E188" s="244"/>
      <c r="F188" s="244"/>
      <c r="G188" s="244"/>
      <c r="H188" s="242"/>
      <c r="I188" s="242"/>
      <c r="J188" s="242"/>
      <c r="K188" s="242"/>
      <c r="L188" s="244"/>
      <c r="M188" s="242"/>
      <c r="N188" s="265"/>
      <c r="O188" s="265"/>
      <c r="P188" s="265"/>
      <c r="Q188" s="265"/>
      <c r="R188" s="265"/>
      <c r="S188" s="265"/>
      <c r="T188" s="265"/>
      <c r="U188" s="265"/>
      <c r="V188" s="265"/>
      <c r="W188" s="265"/>
      <c r="X188" s="265"/>
      <c r="Y188" s="265"/>
      <c r="Z188" s="265"/>
      <c r="AA188" s="265"/>
      <c r="AB188" s="265"/>
      <c r="AC188" s="265"/>
      <c r="AD188" s="265"/>
      <c r="AE188" s="265"/>
      <c r="AF188" s="265"/>
      <c r="AG188" s="265"/>
      <c r="AH188" s="265"/>
      <c r="AI188" s="265"/>
      <c r="AJ188" s="265"/>
      <c r="AK188" s="265"/>
      <c r="AL188" s="265"/>
      <c r="AM188" s="244"/>
    </row>
    <row r="189" spans="1:39" ht="18" customHeight="1" x14ac:dyDescent="0.15">
      <c r="A189" s="242"/>
      <c r="B189" s="244"/>
      <c r="C189" s="242"/>
      <c r="D189" s="265"/>
      <c r="E189" s="244"/>
      <c r="F189" s="244"/>
      <c r="G189" s="244"/>
      <c r="H189" s="242"/>
      <c r="I189" s="242"/>
      <c r="J189" s="242"/>
      <c r="K189" s="242"/>
      <c r="L189" s="244"/>
      <c r="M189" s="242"/>
      <c r="N189" s="265"/>
      <c r="O189" s="265"/>
      <c r="P189" s="265"/>
      <c r="Q189" s="265"/>
      <c r="R189" s="265"/>
      <c r="S189" s="265"/>
      <c r="T189" s="265"/>
      <c r="U189" s="265"/>
      <c r="V189" s="265"/>
      <c r="W189" s="265"/>
      <c r="X189" s="265"/>
      <c r="Y189" s="265"/>
      <c r="Z189" s="265"/>
      <c r="AA189" s="265"/>
      <c r="AB189" s="265"/>
      <c r="AC189" s="265"/>
      <c r="AD189" s="265"/>
      <c r="AE189" s="265"/>
      <c r="AF189" s="265"/>
      <c r="AG189" s="265"/>
      <c r="AH189" s="265"/>
      <c r="AI189" s="265"/>
      <c r="AJ189" s="265"/>
      <c r="AK189" s="265"/>
      <c r="AL189" s="265"/>
      <c r="AM189" s="244"/>
    </row>
    <row r="190" spans="1:39" ht="18" customHeight="1" x14ac:dyDescent="0.15">
      <c r="A190" s="242"/>
      <c r="B190" s="244"/>
      <c r="C190" s="242"/>
      <c r="D190" s="265"/>
      <c r="E190" s="244"/>
      <c r="F190" s="244"/>
      <c r="G190" s="244"/>
      <c r="H190" s="242"/>
      <c r="I190" s="242"/>
      <c r="J190" s="242"/>
      <c r="K190" s="242"/>
      <c r="L190" s="244"/>
      <c r="M190" s="242"/>
      <c r="N190" s="265"/>
      <c r="O190" s="265"/>
      <c r="P190" s="265"/>
      <c r="Q190" s="265"/>
      <c r="R190" s="265"/>
      <c r="S190" s="265"/>
      <c r="T190" s="265"/>
      <c r="U190" s="265"/>
      <c r="V190" s="265"/>
      <c r="W190" s="265"/>
      <c r="X190" s="265"/>
      <c r="Y190" s="265"/>
      <c r="Z190" s="265"/>
      <c r="AA190" s="265"/>
      <c r="AB190" s="265"/>
      <c r="AC190" s="265"/>
      <c r="AD190" s="265"/>
      <c r="AE190" s="265"/>
      <c r="AF190" s="265"/>
      <c r="AG190" s="265"/>
      <c r="AH190" s="265"/>
      <c r="AI190" s="265"/>
      <c r="AJ190" s="265"/>
      <c r="AK190" s="265"/>
      <c r="AL190" s="265"/>
      <c r="AM190" s="244"/>
    </row>
    <row r="191" spans="1:39" ht="18" customHeight="1" x14ac:dyDescent="0.15">
      <c r="A191" s="242"/>
      <c r="B191" s="244"/>
      <c r="C191" s="242"/>
      <c r="D191" s="265"/>
      <c r="E191" s="244"/>
      <c r="F191" s="244"/>
      <c r="G191" s="244"/>
      <c r="H191" s="242"/>
      <c r="I191" s="242"/>
      <c r="J191" s="242"/>
      <c r="K191" s="242"/>
      <c r="L191" s="244"/>
      <c r="M191" s="242"/>
      <c r="N191" s="265"/>
      <c r="O191" s="265"/>
      <c r="P191" s="265"/>
      <c r="Q191" s="265"/>
      <c r="R191" s="265"/>
      <c r="S191" s="265"/>
      <c r="T191" s="265"/>
      <c r="U191" s="265"/>
      <c r="V191" s="265"/>
      <c r="W191" s="265"/>
      <c r="X191" s="265"/>
      <c r="Y191" s="265"/>
      <c r="Z191" s="265"/>
      <c r="AA191" s="265"/>
      <c r="AB191" s="265"/>
      <c r="AC191" s="265"/>
      <c r="AD191" s="265"/>
      <c r="AE191" s="265"/>
      <c r="AF191" s="265"/>
      <c r="AG191" s="265"/>
      <c r="AH191" s="265"/>
      <c r="AI191" s="265"/>
      <c r="AJ191" s="265"/>
      <c r="AK191" s="265"/>
      <c r="AL191" s="265"/>
      <c r="AM191" s="244"/>
    </row>
    <row r="192" spans="1:39" ht="18" customHeight="1" x14ac:dyDescent="0.15">
      <c r="A192" s="242"/>
      <c r="B192" s="244"/>
      <c r="C192" s="242"/>
      <c r="D192" s="265"/>
      <c r="E192" s="244"/>
      <c r="F192" s="244"/>
      <c r="G192" s="244"/>
      <c r="H192" s="242"/>
      <c r="I192" s="242"/>
      <c r="J192" s="242"/>
      <c r="K192" s="242"/>
      <c r="L192" s="244"/>
      <c r="M192" s="242"/>
      <c r="N192" s="265"/>
      <c r="O192" s="265"/>
      <c r="P192" s="265"/>
      <c r="Q192" s="265"/>
      <c r="R192" s="265"/>
      <c r="S192" s="265"/>
      <c r="T192" s="265"/>
      <c r="U192" s="265"/>
      <c r="V192" s="265"/>
      <c r="W192" s="265"/>
      <c r="X192" s="265"/>
      <c r="Y192" s="265"/>
      <c r="Z192" s="265"/>
      <c r="AA192" s="265"/>
      <c r="AB192" s="265"/>
      <c r="AC192" s="265"/>
      <c r="AD192" s="265"/>
      <c r="AE192" s="265"/>
      <c r="AF192" s="265"/>
      <c r="AG192" s="265"/>
      <c r="AH192" s="265"/>
      <c r="AI192" s="265"/>
      <c r="AJ192" s="265"/>
      <c r="AK192" s="265"/>
      <c r="AL192" s="265"/>
      <c r="AM192" s="244"/>
    </row>
    <row r="193" spans="1:39" ht="18" customHeight="1" x14ac:dyDescent="0.15">
      <c r="A193" s="242"/>
      <c r="B193" s="244"/>
      <c r="C193" s="242"/>
      <c r="D193" s="265"/>
      <c r="E193" s="244"/>
      <c r="F193" s="244"/>
      <c r="G193" s="244"/>
      <c r="H193" s="242"/>
      <c r="I193" s="242"/>
      <c r="J193" s="242"/>
      <c r="K193" s="242"/>
      <c r="L193" s="244"/>
      <c r="M193" s="242"/>
      <c r="N193" s="265"/>
      <c r="O193" s="265"/>
      <c r="P193" s="265"/>
      <c r="Q193" s="265"/>
      <c r="R193" s="265"/>
      <c r="S193" s="265"/>
      <c r="T193" s="265"/>
      <c r="U193" s="265"/>
      <c r="V193" s="265"/>
      <c r="W193" s="265"/>
      <c r="X193" s="265"/>
      <c r="Y193" s="265"/>
      <c r="Z193" s="265"/>
      <c r="AA193" s="265"/>
      <c r="AB193" s="265"/>
      <c r="AC193" s="265"/>
      <c r="AD193" s="265"/>
      <c r="AE193" s="265"/>
      <c r="AF193" s="265"/>
      <c r="AG193" s="265"/>
      <c r="AH193" s="265"/>
      <c r="AI193" s="265"/>
      <c r="AJ193" s="265"/>
      <c r="AK193" s="265"/>
      <c r="AL193" s="265"/>
      <c r="AM193" s="244"/>
    </row>
    <row r="194" spans="1:39" ht="18" customHeight="1" x14ac:dyDescent="0.15">
      <c r="A194" s="242"/>
      <c r="B194" s="244"/>
      <c r="C194" s="242"/>
      <c r="D194" s="265"/>
      <c r="E194" s="244"/>
      <c r="F194" s="244"/>
      <c r="G194" s="244"/>
      <c r="H194" s="242"/>
      <c r="I194" s="242"/>
      <c r="J194" s="242"/>
      <c r="K194" s="242"/>
      <c r="L194" s="244"/>
      <c r="M194" s="242"/>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44"/>
    </row>
    <row r="195" spans="1:39" ht="18" customHeight="1" x14ac:dyDescent="0.15">
      <c r="A195" s="242"/>
      <c r="B195" s="244"/>
      <c r="C195" s="242"/>
      <c r="D195" s="265"/>
      <c r="E195" s="244"/>
      <c r="F195" s="244"/>
      <c r="G195" s="244"/>
      <c r="H195" s="242"/>
      <c r="I195" s="242"/>
      <c r="J195" s="242"/>
      <c r="K195" s="242"/>
      <c r="L195" s="244"/>
      <c r="M195" s="242"/>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44"/>
    </row>
    <row r="196" spans="1:39" ht="18" customHeight="1" x14ac:dyDescent="0.15">
      <c r="A196" s="242"/>
      <c r="B196" s="244"/>
      <c r="C196" s="242"/>
      <c r="D196" s="265"/>
      <c r="E196" s="244"/>
      <c r="F196" s="244"/>
      <c r="G196" s="244"/>
      <c r="H196" s="242"/>
      <c r="I196" s="242"/>
      <c r="J196" s="242"/>
      <c r="K196" s="242"/>
      <c r="L196" s="244"/>
      <c r="M196" s="242"/>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44"/>
    </row>
    <row r="197" spans="1:39" ht="18" customHeight="1" x14ac:dyDescent="0.15">
      <c r="A197" s="242"/>
      <c r="B197" s="244"/>
      <c r="C197" s="242"/>
      <c r="D197" s="265"/>
      <c r="E197" s="244"/>
      <c r="F197" s="244"/>
      <c r="G197" s="244"/>
      <c r="H197" s="242"/>
      <c r="I197" s="242"/>
      <c r="J197" s="242"/>
      <c r="K197" s="242"/>
      <c r="L197" s="244"/>
      <c r="M197" s="242"/>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44"/>
    </row>
    <row r="198" spans="1:39" ht="18" customHeight="1" x14ac:dyDescent="0.15">
      <c r="A198" s="242"/>
      <c r="B198" s="244"/>
      <c r="C198" s="242"/>
      <c r="D198" s="265"/>
      <c r="E198" s="244"/>
      <c r="F198" s="244"/>
      <c r="G198" s="244"/>
      <c r="H198" s="242"/>
      <c r="I198" s="242"/>
      <c r="J198" s="242"/>
      <c r="K198" s="242"/>
      <c r="L198" s="244"/>
      <c r="M198" s="242"/>
      <c r="N198" s="265"/>
      <c r="O198" s="265"/>
      <c r="P198" s="265"/>
      <c r="Q198" s="265"/>
      <c r="R198" s="265"/>
      <c r="S198" s="265"/>
      <c r="T198" s="265"/>
      <c r="U198" s="265"/>
      <c r="V198" s="265"/>
      <c r="W198" s="265"/>
      <c r="X198" s="265"/>
      <c r="Y198" s="265"/>
      <c r="Z198" s="265"/>
      <c r="AA198" s="265"/>
      <c r="AB198" s="265"/>
      <c r="AC198" s="265"/>
      <c r="AD198" s="265"/>
      <c r="AE198" s="265"/>
      <c r="AF198" s="265"/>
      <c r="AG198" s="265"/>
      <c r="AH198" s="265"/>
      <c r="AI198" s="265"/>
      <c r="AJ198" s="265"/>
      <c r="AK198" s="265"/>
      <c r="AL198" s="265"/>
      <c r="AM198" s="244"/>
    </row>
    <row r="199" spans="1:39" ht="18" customHeight="1" x14ac:dyDescent="0.15">
      <c r="A199" s="242"/>
      <c r="B199" s="244"/>
      <c r="C199" s="242"/>
      <c r="D199" s="265"/>
      <c r="E199" s="244"/>
      <c r="F199" s="244"/>
      <c r="G199" s="244"/>
      <c r="H199" s="242"/>
      <c r="I199" s="242"/>
      <c r="J199" s="242"/>
      <c r="K199" s="242"/>
      <c r="L199" s="244"/>
      <c r="M199" s="242"/>
      <c r="N199" s="265"/>
      <c r="O199" s="265"/>
      <c r="P199" s="265"/>
      <c r="Q199" s="265"/>
      <c r="R199" s="265"/>
      <c r="S199" s="265"/>
      <c r="T199" s="265"/>
      <c r="U199" s="265"/>
      <c r="V199" s="265"/>
      <c r="W199" s="265"/>
      <c r="X199" s="265"/>
      <c r="Y199" s="265"/>
      <c r="Z199" s="265"/>
      <c r="AA199" s="265"/>
      <c r="AB199" s="265"/>
      <c r="AC199" s="265"/>
      <c r="AD199" s="265"/>
      <c r="AE199" s="265"/>
      <c r="AF199" s="265"/>
      <c r="AG199" s="265"/>
      <c r="AH199" s="265"/>
      <c r="AI199" s="265"/>
      <c r="AJ199" s="265"/>
      <c r="AK199" s="265"/>
      <c r="AL199" s="265"/>
      <c r="AM199" s="244"/>
    </row>
    <row r="200" spans="1:39" ht="18" customHeight="1" x14ac:dyDescent="0.15">
      <c r="A200" s="242"/>
      <c r="B200" s="244"/>
      <c r="C200" s="242"/>
      <c r="D200" s="265"/>
      <c r="E200" s="244"/>
      <c r="F200" s="244"/>
      <c r="G200" s="244"/>
      <c r="H200" s="242"/>
      <c r="I200" s="242"/>
      <c r="J200" s="242"/>
      <c r="K200" s="242"/>
      <c r="L200" s="244"/>
      <c r="M200" s="242"/>
      <c r="N200" s="265"/>
      <c r="O200" s="265"/>
      <c r="P200" s="265"/>
      <c r="Q200" s="265"/>
      <c r="R200" s="265"/>
      <c r="S200" s="265"/>
      <c r="T200" s="265"/>
      <c r="U200" s="265"/>
      <c r="V200" s="265"/>
      <c r="W200" s="265"/>
      <c r="X200" s="265"/>
      <c r="Y200" s="265"/>
      <c r="Z200" s="265"/>
      <c r="AA200" s="265"/>
      <c r="AB200" s="265"/>
      <c r="AC200" s="265"/>
      <c r="AD200" s="265"/>
      <c r="AE200" s="265"/>
      <c r="AF200" s="265"/>
      <c r="AG200" s="265"/>
      <c r="AH200" s="265"/>
      <c r="AI200" s="265"/>
      <c r="AJ200" s="265"/>
      <c r="AK200" s="265"/>
      <c r="AL200" s="265"/>
      <c r="AM200" s="244"/>
    </row>
    <row r="201" spans="1:39" ht="18" customHeight="1" x14ac:dyDescent="0.15">
      <c r="A201" s="242"/>
      <c r="B201" s="244"/>
      <c r="C201" s="242"/>
      <c r="D201" s="265"/>
      <c r="E201" s="244"/>
      <c r="F201" s="244"/>
      <c r="G201" s="244"/>
      <c r="H201" s="242"/>
      <c r="I201" s="242"/>
      <c r="J201" s="242"/>
      <c r="K201" s="242"/>
      <c r="L201" s="244"/>
      <c r="M201" s="242"/>
      <c r="N201" s="265"/>
      <c r="O201" s="265"/>
      <c r="P201" s="265"/>
      <c r="Q201" s="265"/>
      <c r="R201" s="265"/>
      <c r="S201" s="265"/>
      <c r="T201" s="265"/>
      <c r="U201" s="265"/>
      <c r="V201" s="265"/>
      <c r="W201" s="265"/>
      <c r="X201" s="265"/>
      <c r="Y201" s="265"/>
      <c r="Z201" s="265"/>
      <c r="AA201" s="265"/>
      <c r="AB201" s="265"/>
      <c r="AC201" s="265"/>
      <c r="AD201" s="265"/>
      <c r="AE201" s="265"/>
      <c r="AF201" s="265"/>
      <c r="AG201" s="265"/>
      <c r="AH201" s="265"/>
      <c r="AI201" s="265"/>
      <c r="AJ201" s="265"/>
      <c r="AK201" s="265"/>
      <c r="AL201" s="265"/>
      <c r="AM201" s="244"/>
    </row>
    <row r="202" spans="1:39" ht="18" customHeight="1" x14ac:dyDescent="0.15">
      <c r="A202" s="242"/>
      <c r="B202" s="244"/>
      <c r="C202" s="242"/>
      <c r="D202" s="265"/>
      <c r="E202" s="244"/>
      <c r="F202" s="244"/>
      <c r="G202" s="244"/>
      <c r="H202" s="242"/>
      <c r="I202" s="242"/>
      <c r="J202" s="242"/>
      <c r="K202" s="242"/>
      <c r="L202" s="244"/>
      <c r="M202" s="242"/>
      <c r="N202" s="265"/>
      <c r="O202" s="265"/>
      <c r="P202" s="265"/>
      <c r="Q202" s="265"/>
      <c r="R202" s="265"/>
      <c r="S202" s="265"/>
      <c r="T202" s="265"/>
      <c r="U202" s="265"/>
      <c r="V202" s="265"/>
      <c r="W202" s="265"/>
      <c r="X202" s="265"/>
      <c r="Y202" s="265"/>
      <c r="Z202" s="265"/>
      <c r="AA202" s="265"/>
      <c r="AB202" s="265"/>
      <c r="AC202" s="265"/>
      <c r="AD202" s="265"/>
      <c r="AE202" s="265"/>
      <c r="AF202" s="265"/>
      <c r="AG202" s="265"/>
      <c r="AH202" s="265"/>
      <c r="AI202" s="265"/>
      <c r="AJ202" s="265"/>
      <c r="AK202" s="265"/>
      <c r="AL202" s="265"/>
      <c r="AM202" s="244"/>
    </row>
    <row r="203" spans="1:39" ht="18" customHeight="1" x14ac:dyDescent="0.15">
      <c r="A203" s="242"/>
      <c r="B203" s="244"/>
      <c r="C203" s="242"/>
      <c r="D203" s="265"/>
      <c r="E203" s="244"/>
      <c r="F203" s="244"/>
      <c r="G203" s="244"/>
      <c r="H203" s="242"/>
      <c r="I203" s="242"/>
      <c r="J203" s="242"/>
      <c r="K203" s="242"/>
      <c r="L203" s="244"/>
      <c r="M203" s="242"/>
      <c r="N203" s="265"/>
      <c r="O203" s="265"/>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44"/>
    </row>
    <row r="204" spans="1:39" ht="18" customHeight="1" x14ac:dyDescent="0.15">
      <c r="A204" s="242"/>
      <c r="B204" s="244"/>
      <c r="C204" s="242"/>
      <c r="D204" s="265"/>
      <c r="E204" s="244"/>
      <c r="F204" s="244"/>
      <c r="G204" s="244"/>
      <c r="H204" s="242"/>
      <c r="I204" s="242"/>
      <c r="J204" s="242"/>
      <c r="K204" s="242"/>
      <c r="L204" s="244"/>
      <c r="M204" s="242"/>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44"/>
    </row>
    <row r="205" spans="1:39" ht="18" customHeight="1" x14ac:dyDescent="0.15">
      <c r="A205" s="242"/>
      <c r="B205" s="244"/>
      <c r="C205" s="242"/>
      <c r="D205" s="265"/>
      <c r="E205" s="244"/>
      <c r="F205" s="244"/>
      <c r="G205" s="244"/>
      <c r="H205" s="242"/>
      <c r="I205" s="242"/>
      <c r="J205" s="242"/>
      <c r="K205" s="242"/>
      <c r="L205" s="244"/>
      <c r="M205" s="242"/>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44"/>
    </row>
    <row r="206" spans="1:39" ht="18" customHeight="1" x14ac:dyDescent="0.15">
      <c r="A206" s="242"/>
      <c r="B206" s="244"/>
      <c r="C206" s="242"/>
      <c r="D206" s="265"/>
      <c r="E206" s="244"/>
      <c r="F206" s="244"/>
      <c r="G206" s="244"/>
      <c r="H206" s="242"/>
      <c r="I206" s="242"/>
      <c r="J206" s="242"/>
      <c r="K206" s="242"/>
      <c r="L206" s="244"/>
      <c r="M206" s="242"/>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44"/>
    </row>
    <row r="207" spans="1:39" ht="18" customHeight="1" x14ac:dyDescent="0.15">
      <c r="A207" s="242"/>
      <c r="B207" s="244"/>
      <c r="C207" s="242"/>
      <c r="D207" s="265"/>
      <c r="E207" s="244"/>
      <c r="F207" s="244"/>
      <c r="G207" s="244"/>
      <c r="H207" s="242"/>
      <c r="I207" s="242"/>
      <c r="J207" s="242"/>
      <c r="K207" s="242"/>
      <c r="L207" s="244"/>
      <c r="M207" s="242"/>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44"/>
    </row>
    <row r="208" spans="1:39" ht="18" customHeight="1" x14ac:dyDescent="0.15">
      <c r="A208" s="242"/>
      <c r="B208" s="244"/>
      <c r="C208" s="242"/>
      <c r="D208" s="265"/>
      <c r="E208" s="244"/>
      <c r="F208" s="244"/>
      <c r="G208" s="244"/>
      <c r="H208" s="242"/>
      <c r="I208" s="242"/>
      <c r="J208" s="242"/>
      <c r="K208" s="242"/>
      <c r="L208" s="244"/>
      <c r="M208" s="242"/>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44"/>
    </row>
    <row r="209" spans="1:39" ht="18" customHeight="1" x14ac:dyDescent="0.15">
      <c r="A209" s="242"/>
      <c r="B209" s="244"/>
      <c r="C209" s="242"/>
      <c r="D209" s="265"/>
      <c r="E209" s="244"/>
      <c r="F209" s="244"/>
      <c r="G209" s="244"/>
      <c r="H209" s="242"/>
      <c r="I209" s="242"/>
      <c r="J209" s="242"/>
      <c r="K209" s="242"/>
      <c r="L209" s="244"/>
      <c r="M209" s="242"/>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c r="AK209" s="265"/>
      <c r="AL209" s="265"/>
      <c r="AM209" s="244"/>
    </row>
    <row r="210" spans="1:39" ht="18" customHeight="1" x14ac:dyDescent="0.15">
      <c r="A210" s="242"/>
      <c r="B210" s="244"/>
      <c r="C210" s="242"/>
      <c r="D210" s="265"/>
      <c r="E210" s="244"/>
      <c r="F210" s="244"/>
      <c r="G210" s="244"/>
      <c r="H210" s="242"/>
      <c r="I210" s="242"/>
      <c r="J210" s="242"/>
      <c r="K210" s="242"/>
      <c r="L210" s="244"/>
      <c r="M210" s="242"/>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44"/>
    </row>
    <row r="211" spans="1:39" ht="18" customHeight="1" x14ac:dyDescent="0.15">
      <c r="A211" s="242"/>
      <c r="B211" s="244"/>
      <c r="C211" s="242"/>
      <c r="D211" s="265"/>
      <c r="E211" s="244"/>
      <c r="F211" s="244"/>
      <c r="G211" s="244"/>
      <c r="H211" s="242"/>
      <c r="I211" s="242"/>
      <c r="J211" s="242"/>
      <c r="K211" s="242"/>
      <c r="L211" s="244"/>
      <c r="M211" s="242"/>
      <c r="N211" s="265"/>
      <c r="O211" s="265"/>
      <c r="P211" s="265"/>
      <c r="Q211" s="265"/>
      <c r="R211" s="265"/>
      <c r="S211" s="265"/>
      <c r="T211" s="265"/>
      <c r="U211" s="265"/>
      <c r="V211" s="265"/>
      <c r="W211" s="265"/>
      <c r="X211" s="265"/>
      <c r="Y211" s="265"/>
      <c r="Z211" s="265"/>
      <c r="AA211" s="265"/>
      <c r="AB211" s="265"/>
      <c r="AC211" s="265"/>
      <c r="AD211" s="265"/>
      <c r="AE211" s="265"/>
      <c r="AF211" s="265"/>
      <c r="AG211" s="265"/>
      <c r="AH211" s="265"/>
      <c r="AI211" s="265"/>
      <c r="AJ211" s="265"/>
      <c r="AK211" s="265"/>
      <c r="AL211" s="265"/>
      <c r="AM211" s="244"/>
    </row>
    <row r="212" spans="1:39" ht="18" customHeight="1" x14ac:dyDescent="0.15">
      <c r="A212" s="242"/>
      <c r="B212" s="244"/>
      <c r="C212" s="242"/>
      <c r="D212" s="265"/>
      <c r="E212" s="244"/>
      <c r="F212" s="244"/>
      <c r="G212" s="244"/>
      <c r="H212" s="242"/>
      <c r="I212" s="242"/>
      <c r="J212" s="242"/>
      <c r="K212" s="242"/>
      <c r="L212" s="244"/>
      <c r="M212" s="242"/>
      <c r="N212" s="265"/>
      <c r="O212" s="265"/>
      <c r="P212" s="265"/>
      <c r="Q212" s="265"/>
      <c r="R212" s="265"/>
      <c r="S212" s="265"/>
      <c r="T212" s="265"/>
      <c r="U212" s="265"/>
      <c r="V212" s="265"/>
      <c r="W212" s="265"/>
      <c r="X212" s="265"/>
      <c r="Y212" s="265"/>
      <c r="Z212" s="265"/>
      <c r="AA212" s="265"/>
      <c r="AB212" s="265"/>
      <c r="AC212" s="265"/>
      <c r="AD212" s="265"/>
      <c r="AE212" s="265"/>
      <c r="AF212" s="265"/>
      <c r="AG212" s="265"/>
      <c r="AH212" s="265"/>
      <c r="AI212" s="265"/>
      <c r="AJ212" s="265"/>
      <c r="AK212" s="265"/>
      <c r="AL212" s="265"/>
      <c r="AM212" s="244"/>
    </row>
    <row r="213" spans="1:39" ht="18" customHeight="1" x14ac:dyDescent="0.15">
      <c r="A213" s="242"/>
      <c r="B213" s="244"/>
      <c r="C213" s="242"/>
      <c r="D213" s="265"/>
      <c r="E213" s="244"/>
      <c r="F213" s="244"/>
      <c r="G213" s="244"/>
      <c r="H213" s="242"/>
      <c r="I213" s="242"/>
      <c r="J213" s="242"/>
      <c r="K213" s="242"/>
      <c r="L213" s="244"/>
      <c r="M213" s="242"/>
      <c r="N213" s="265"/>
      <c r="O213" s="265"/>
      <c r="P213" s="265"/>
      <c r="Q213" s="265"/>
      <c r="R213" s="265"/>
      <c r="S213" s="265"/>
      <c r="T213" s="265"/>
      <c r="U213" s="265"/>
      <c r="V213" s="265"/>
      <c r="W213" s="265"/>
      <c r="X213" s="265"/>
      <c r="Y213" s="265"/>
      <c r="Z213" s="265"/>
      <c r="AA213" s="265"/>
      <c r="AB213" s="265"/>
      <c r="AC213" s="265"/>
      <c r="AD213" s="265"/>
      <c r="AE213" s="265"/>
      <c r="AF213" s="265"/>
      <c r="AG213" s="265"/>
      <c r="AH213" s="265"/>
      <c r="AI213" s="265"/>
      <c r="AJ213" s="265"/>
      <c r="AK213" s="265"/>
      <c r="AL213" s="265"/>
      <c r="AM213" s="244"/>
    </row>
    <row r="214" spans="1:39" ht="18" customHeight="1" x14ac:dyDescent="0.15">
      <c r="A214" s="242"/>
      <c r="B214" s="244"/>
      <c r="C214" s="242"/>
      <c r="D214" s="265"/>
      <c r="E214" s="244"/>
      <c r="F214" s="244"/>
      <c r="G214" s="244"/>
      <c r="H214" s="242"/>
      <c r="I214" s="242"/>
      <c r="J214" s="242"/>
      <c r="K214" s="242"/>
      <c r="L214" s="244"/>
      <c r="M214" s="242"/>
      <c r="N214" s="265"/>
      <c r="O214" s="265"/>
      <c r="P214" s="265"/>
      <c r="Q214" s="265"/>
      <c r="R214" s="265"/>
      <c r="S214" s="265"/>
      <c r="T214" s="265"/>
      <c r="U214" s="265"/>
      <c r="V214" s="265"/>
      <c r="W214" s="265"/>
      <c r="X214" s="265"/>
      <c r="Y214" s="265"/>
      <c r="Z214" s="265"/>
      <c r="AA214" s="265"/>
      <c r="AB214" s="265"/>
      <c r="AC214" s="265"/>
      <c r="AD214" s="265"/>
      <c r="AE214" s="265"/>
      <c r="AF214" s="265"/>
      <c r="AG214" s="265"/>
      <c r="AH214" s="265"/>
      <c r="AI214" s="265"/>
      <c r="AJ214" s="265"/>
      <c r="AK214" s="265"/>
      <c r="AL214" s="265"/>
      <c r="AM214" s="244"/>
    </row>
    <row r="215" spans="1:39" ht="18" customHeight="1" x14ac:dyDescent="0.15">
      <c r="A215" s="242"/>
      <c r="B215" s="244"/>
      <c r="C215" s="242"/>
      <c r="D215" s="265"/>
      <c r="E215" s="244"/>
      <c r="F215" s="244"/>
      <c r="G215" s="244"/>
      <c r="H215" s="242"/>
      <c r="I215" s="242"/>
      <c r="J215" s="242"/>
      <c r="K215" s="242"/>
      <c r="L215" s="244"/>
      <c r="M215" s="242"/>
      <c r="N215" s="265"/>
      <c r="O215" s="265"/>
      <c r="P215" s="265"/>
      <c r="Q215" s="265"/>
      <c r="R215" s="265"/>
      <c r="S215" s="265"/>
      <c r="T215" s="265"/>
      <c r="U215" s="265"/>
      <c r="V215" s="265"/>
      <c r="W215" s="265"/>
      <c r="X215" s="265"/>
      <c r="Y215" s="265"/>
      <c r="Z215" s="265"/>
      <c r="AA215" s="265"/>
      <c r="AB215" s="265"/>
      <c r="AC215" s="265"/>
      <c r="AD215" s="265"/>
      <c r="AE215" s="265"/>
      <c r="AF215" s="265"/>
      <c r="AG215" s="265"/>
      <c r="AH215" s="265"/>
      <c r="AI215" s="265"/>
      <c r="AJ215" s="265"/>
      <c r="AK215" s="265"/>
      <c r="AL215" s="265"/>
      <c r="AM215" s="244"/>
    </row>
    <row r="216" spans="1:39" ht="18" customHeight="1" x14ac:dyDescent="0.15">
      <c r="A216" s="242"/>
      <c r="B216" s="244"/>
      <c r="C216" s="242"/>
      <c r="D216" s="265"/>
      <c r="E216" s="244"/>
      <c r="F216" s="244"/>
      <c r="G216" s="244"/>
      <c r="H216" s="242"/>
      <c r="I216" s="242"/>
      <c r="J216" s="242"/>
      <c r="K216" s="242"/>
      <c r="L216" s="244"/>
      <c r="M216" s="242"/>
      <c r="N216" s="265"/>
      <c r="O216" s="265"/>
      <c r="P216" s="265"/>
      <c r="Q216" s="265"/>
      <c r="R216" s="265"/>
      <c r="S216" s="265"/>
      <c r="T216" s="265"/>
      <c r="U216" s="265"/>
      <c r="V216" s="265"/>
      <c r="W216" s="265"/>
      <c r="X216" s="265"/>
      <c r="Y216" s="265"/>
      <c r="Z216" s="265"/>
      <c r="AA216" s="265"/>
      <c r="AB216" s="265"/>
      <c r="AC216" s="265"/>
      <c r="AD216" s="265"/>
      <c r="AE216" s="265"/>
      <c r="AF216" s="265"/>
      <c r="AG216" s="265"/>
      <c r="AH216" s="265"/>
      <c r="AI216" s="265"/>
      <c r="AJ216" s="265"/>
      <c r="AK216" s="265"/>
      <c r="AL216" s="265"/>
      <c r="AM216" s="244"/>
    </row>
    <row r="217" spans="1:39" ht="18" customHeight="1" x14ac:dyDescent="0.15">
      <c r="A217" s="242"/>
      <c r="B217" s="244"/>
      <c r="C217" s="242"/>
      <c r="D217" s="265"/>
      <c r="E217" s="244"/>
      <c r="F217" s="244"/>
      <c r="G217" s="244"/>
      <c r="H217" s="242"/>
      <c r="I217" s="242"/>
      <c r="J217" s="242"/>
      <c r="K217" s="242"/>
      <c r="L217" s="244"/>
      <c r="M217" s="242"/>
      <c r="N217" s="265"/>
      <c r="O217" s="265"/>
      <c r="P217" s="265"/>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44"/>
    </row>
    <row r="218" spans="1:39" ht="18" customHeight="1" x14ac:dyDescent="0.15">
      <c r="A218" s="242"/>
      <c r="B218" s="244"/>
      <c r="C218" s="242"/>
      <c r="D218" s="265"/>
      <c r="E218" s="244"/>
      <c r="F218" s="244"/>
      <c r="G218" s="244"/>
      <c r="H218" s="242"/>
      <c r="I218" s="242"/>
      <c r="J218" s="242"/>
      <c r="K218" s="242"/>
      <c r="L218" s="244"/>
      <c r="M218" s="242"/>
      <c r="N218" s="265"/>
      <c r="O218" s="265"/>
      <c r="P218" s="265"/>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44"/>
    </row>
    <row r="219" spans="1:39" ht="18" customHeight="1" x14ac:dyDescent="0.15">
      <c r="A219" s="242"/>
      <c r="B219" s="244"/>
      <c r="C219" s="242"/>
      <c r="D219" s="265"/>
      <c r="E219" s="244"/>
      <c r="F219" s="244"/>
      <c r="G219" s="244"/>
      <c r="H219" s="242"/>
      <c r="I219" s="242"/>
      <c r="J219" s="242"/>
      <c r="K219" s="242"/>
      <c r="L219" s="244"/>
      <c r="M219" s="242"/>
      <c r="N219" s="265"/>
      <c r="O219" s="265"/>
      <c r="P219" s="265"/>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44"/>
    </row>
    <row r="220" spans="1:39" ht="18" customHeight="1" x14ac:dyDescent="0.15">
      <c r="A220" s="242"/>
      <c r="B220" s="244"/>
      <c r="C220" s="242"/>
      <c r="D220" s="265"/>
      <c r="E220" s="244"/>
      <c r="F220" s="244"/>
      <c r="G220" s="244"/>
      <c r="H220" s="242"/>
      <c r="I220" s="242"/>
      <c r="J220" s="242"/>
      <c r="K220" s="242"/>
      <c r="L220" s="244"/>
      <c r="M220" s="242"/>
      <c r="N220" s="265"/>
      <c r="O220" s="265"/>
      <c r="P220" s="265"/>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44"/>
    </row>
    <row r="221" spans="1:39" ht="18" customHeight="1" x14ac:dyDescent="0.15">
      <c r="A221" s="242"/>
      <c r="B221" s="244"/>
      <c r="C221" s="242"/>
      <c r="D221" s="265"/>
      <c r="E221" s="244"/>
      <c r="F221" s="244"/>
      <c r="G221" s="244"/>
      <c r="H221" s="242"/>
      <c r="I221" s="242"/>
      <c r="J221" s="242"/>
      <c r="K221" s="242"/>
      <c r="L221" s="244"/>
      <c r="M221" s="242"/>
      <c r="N221" s="265"/>
      <c r="O221" s="265"/>
      <c r="P221" s="265"/>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44"/>
    </row>
    <row r="222" spans="1:39" ht="18" customHeight="1" x14ac:dyDescent="0.15">
      <c r="A222" s="242"/>
      <c r="B222" s="244"/>
      <c r="C222" s="242"/>
      <c r="D222" s="265"/>
      <c r="E222" s="244"/>
      <c r="F222" s="244"/>
      <c r="G222" s="244"/>
      <c r="H222" s="242"/>
      <c r="I222" s="242"/>
      <c r="J222" s="242"/>
      <c r="K222" s="242"/>
      <c r="L222" s="244"/>
      <c r="M222" s="242"/>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44"/>
    </row>
    <row r="223" spans="1:39" ht="18" customHeight="1" x14ac:dyDescent="0.15">
      <c r="A223" s="242"/>
      <c r="B223" s="244"/>
      <c r="C223" s="242"/>
      <c r="D223" s="265"/>
      <c r="E223" s="244"/>
      <c r="F223" s="244"/>
      <c r="G223" s="244"/>
      <c r="H223" s="242"/>
      <c r="I223" s="242"/>
      <c r="J223" s="242"/>
      <c r="K223" s="242"/>
      <c r="L223" s="244"/>
      <c r="M223" s="242"/>
      <c r="N223" s="265"/>
      <c r="O223" s="265"/>
      <c r="P223" s="265"/>
      <c r="Q223" s="265"/>
      <c r="R223" s="265"/>
      <c r="S223" s="265"/>
      <c r="T223" s="265"/>
      <c r="U223" s="265"/>
      <c r="V223" s="265"/>
      <c r="W223" s="265"/>
      <c r="X223" s="265"/>
      <c r="Y223" s="265"/>
      <c r="Z223" s="265"/>
      <c r="AA223" s="265"/>
      <c r="AB223" s="265"/>
      <c r="AC223" s="265"/>
      <c r="AD223" s="265"/>
      <c r="AE223" s="265"/>
      <c r="AF223" s="265"/>
      <c r="AG223" s="265"/>
      <c r="AH223" s="265"/>
      <c r="AI223" s="265"/>
      <c r="AJ223" s="265"/>
      <c r="AK223" s="265"/>
      <c r="AL223" s="265"/>
      <c r="AM223" s="244"/>
    </row>
    <row r="224" spans="1:39" ht="18" customHeight="1" x14ac:dyDescent="0.15">
      <c r="A224" s="242"/>
      <c r="B224" s="244"/>
      <c r="C224" s="242"/>
      <c r="D224" s="265"/>
      <c r="E224" s="244"/>
      <c r="F224" s="244"/>
      <c r="G224" s="244"/>
      <c r="H224" s="242"/>
      <c r="I224" s="242"/>
      <c r="J224" s="242"/>
      <c r="K224" s="242"/>
      <c r="L224" s="244"/>
      <c r="M224" s="242"/>
      <c r="N224" s="265"/>
      <c r="O224" s="265"/>
      <c r="P224" s="265"/>
      <c r="Q224" s="265"/>
      <c r="R224" s="265"/>
      <c r="S224" s="265"/>
      <c r="T224" s="265"/>
      <c r="U224" s="265"/>
      <c r="V224" s="265"/>
      <c r="W224" s="265"/>
      <c r="X224" s="265"/>
      <c r="Y224" s="265"/>
      <c r="Z224" s="265"/>
      <c r="AA224" s="265"/>
      <c r="AB224" s="265"/>
      <c r="AC224" s="265"/>
      <c r="AD224" s="265"/>
      <c r="AE224" s="265"/>
      <c r="AF224" s="265"/>
      <c r="AG224" s="265"/>
      <c r="AH224" s="265"/>
      <c r="AI224" s="265"/>
      <c r="AJ224" s="265"/>
      <c r="AK224" s="265"/>
      <c r="AL224" s="265"/>
      <c r="AM224" s="244"/>
    </row>
    <row r="225" spans="1:39" ht="18" customHeight="1" x14ac:dyDescent="0.15">
      <c r="A225" s="242"/>
      <c r="B225" s="244"/>
      <c r="C225" s="242"/>
      <c r="D225" s="265"/>
      <c r="E225" s="244"/>
      <c r="F225" s="244"/>
      <c r="G225" s="244"/>
      <c r="H225" s="242"/>
      <c r="I225" s="242"/>
      <c r="J225" s="242"/>
      <c r="K225" s="242"/>
      <c r="L225" s="244"/>
      <c r="M225" s="242"/>
      <c r="N225" s="265"/>
      <c r="O225" s="265"/>
      <c r="P225" s="265"/>
      <c r="Q225" s="265"/>
      <c r="R225" s="265"/>
      <c r="S225" s="265"/>
      <c r="T225" s="265"/>
      <c r="U225" s="265"/>
      <c r="V225" s="265"/>
      <c r="W225" s="265"/>
      <c r="X225" s="265"/>
      <c r="Y225" s="265"/>
      <c r="Z225" s="265"/>
      <c r="AA225" s="265"/>
      <c r="AB225" s="265"/>
      <c r="AC225" s="265"/>
      <c r="AD225" s="265"/>
      <c r="AE225" s="265"/>
      <c r="AF225" s="265"/>
      <c r="AG225" s="265"/>
      <c r="AH225" s="265"/>
      <c r="AI225" s="265"/>
      <c r="AJ225" s="265"/>
      <c r="AK225" s="265"/>
      <c r="AL225" s="265"/>
      <c r="AM225" s="244"/>
    </row>
    <row r="226" spans="1:39" ht="18" customHeight="1" x14ac:dyDescent="0.15">
      <c r="A226" s="242"/>
      <c r="B226" s="244"/>
      <c r="C226" s="242"/>
      <c r="D226" s="265"/>
      <c r="E226" s="244"/>
      <c r="F226" s="244"/>
      <c r="G226" s="244"/>
      <c r="H226" s="242"/>
      <c r="I226" s="242"/>
      <c r="J226" s="242"/>
      <c r="K226" s="242"/>
      <c r="L226" s="244"/>
      <c r="M226" s="242"/>
      <c r="N226" s="265"/>
      <c r="O226" s="265"/>
      <c r="P226" s="265"/>
      <c r="Q226" s="265"/>
      <c r="R226" s="265"/>
      <c r="S226" s="265"/>
      <c r="T226" s="265"/>
      <c r="U226" s="265"/>
      <c r="V226" s="265"/>
      <c r="W226" s="265"/>
      <c r="X226" s="265"/>
      <c r="Y226" s="265"/>
      <c r="Z226" s="265"/>
      <c r="AA226" s="265"/>
      <c r="AB226" s="265"/>
      <c r="AC226" s="265"/>
      <c r="AD226" s="265"/>
      <c r="AE226" s="265"/>
      <c r="AF226" s="265"/>
      <c r="AG226" s="265"/>
      <c r="AH226" s="265"/>
      <c r="AI226" s="265"/>
      <c r="AJ226" s="265"/>
      <c r="AK226" s="265"/>
      <c r="AL226" s="265"/>
      <c r="AM226" s="244"/>
    </row>
    <row r="227" spans="1:39" ht="18" customHeight="1" x14ac:dyDescent="0.15">
      <c r="A227" s="242"/>
      <c r="B227" s="244"/>
      <c r="C227" s="242"/>
      <c r="D227" s="265"/>
      <c r="E227" s="244"/>
      <c r="F227" s="244"/>
      <c r="G227" s="244"/>
      <c r="H227" s="242"/>
      <c r="I227" s="242"/>
      <c r="J227" s="242"/>
      <c r="K227" s="242"/>
      <c r="L227" s="244"/>
      <c r="M227" s="242"/>
      <c r="N227" s="265"/>
      <c r="O227" s="265"/>
      <c r="P227" s="265"/>
      <c r="Q227" s="265"/>
      <c r="R227" s="265"/>
      <c r="S227" s="265"/>
      <c r="T227" s="265"/>
      <c r="U227" s="265"/>
      <c r="V227" s="265"/>
      <c r="W227" s="265"/>
      <c r="X227" s="265"/>
      <c r="Y227" s="265"/>
      <c r="Z227" s="265"/>
      <c r="AA227" s="265"/>
      <c r="AB227" s="265"/>
      <c r="AC227" s="265"/>
      <c r="AD227" s="265"/>
      <c r="AE227" s="265"/>
      <c r="AF227" s="265"/>
      <c r="AG227" s="265"/>
      <c r="AH227" s="265"/>
      <c r="AI227" s="265"/>
      <c r="AJ227" s="265"/>
      <c r="AK227" s="265"/>
      <c r="AL227" s="265"/>
      <c r="AM227" s="244"/>
    </row>
    <row r="228" spans="1:39" ht="18" customHeight="1" x14ac:dyDescent="0.15">
      <c r="A228" s="242"/>
      <c r="B228" s="244"/>
      <c r="C228" s="242"/>
      <c r="D228" s="265"/>
      <c r="E228" s="244"/>
      <c r="F228" s="244"/>
      <c r="G228" s="244"/>
      <c r="H228" s="242"/>
      <c r="I228" s="242"/>
      <c r="J228" s="242"/>
      <c r="K228" s="242"/>
      <c r="L228" s="244"/>
      <c r="M228" s="242"/>
      <c r="N228" s="265"/>
      <c r="O228" s="265"/>
      <c r="P228" s="265"/>
      <c r="Q228" s="265"/>
      <c r="R228" s="265"/>
      <c r="S228" s="265"/>
      <c r="T228" s="265"/>
      <c r="U228" s="265"/>
      <c r="V228" s="265"/>
      <c r="W228" s="265"/>
      <c r="X228" s="265"/>
      <c r="Y228" s="265"/>
      <c r="Z228" s="265"/>
      <c r="AA228" s="265"/>
      <c r="AB228" s="265"/>
      <c r="AC228" s="265"/>
      <c r="AD228" s="265"/>
      <c r="AE228" s="265"/>
      <c r="AF228" s="265"/>
      <c r="AG228" s="265"/>
      <c r="AH228" s="265"/>
      <c r="AI228" s="265"/>
      <c r="AJ228" s="265"/>
      <c r="AK228" s="265"/>
      <c r="AL228" s="265"/>
      <c r="AM228" s="244"/>
    </row>
    <row r="229" spans="1:39" ht="18" customHeight="1" x14ac:dyDescent="0.15">
      <c r="A229" s="242"/>
      <c r="B229" s="244"/>
      <c r="C229" s="242"/>
      <c r="D229" s="265"/>
      <c r="E229" s="244"/>
      <c r="F229" s="244"/>
      <c r="G229" s="244"/>
      <c r="H229" s="242"/>
      <c r="I229" s="242"/>
      <c r="J229" s="242"/>
      <c r="K229" s="242"/>
      <c r="L229" s="244"/>
      <c r="M229" s="242"/>
      <c r="N229" s="265"/>
      <c r="O229" s="265"/>
      <c r="P229" s="265"/>
      <c r="Q229" s="265"/>
      <c r="R229" s="265"/>
      <c r="S229" s="265"/>
      <c r="T229" s="265"/>
      <c r="U229" s="265"/>
      <c r="V229" s="265"/>
      <c r="W229" s="265"/>
      <c r="X229" s="265"/>
      <c r="Y229" s="265"/>
      <c r="Z229" s="265"/>
      <c r="AA229" s="265"/>
      <c r="AB229" s="265"/>
      <c r="AC229" s="265"/>
      <c r="AD229" s="265"/>
      <c r="AE229" s="265"/>
      <c r="AF229" s="265"/>
      <c r="AG229" s="265"/>
      <c r="AH229" s="265"/>
      <c r="AI229" s="265"/>
      <c r="AJ229" s="265"/>
      <c r="AK229" s="265"/>
      <c r="AL229" s="265"/>
      <c r="AM229" s="244"/>
    </row>
    <row r="230" spans="1:39" ht="18" customHeight="1" x14ac:dyDescent="0.15">
      <c r="A230" s="242"/>
      <c r="B230" s="244"/>
      <c r="C230" s="242"/>
      <c r="D230" s="265"/>
      <c r="E230" s="244"/>
      <c r="F230" s="244"/>
      <c r="G230" s="244"/>
      <c r="H230" s="242"/>
      <c r="I230" s="242"/>
      <c r="J230" s="242"/>
      <c r="K230" s="242"/>
      <c r="L230" s="244"/>
      <c r="M230" s="242"/>
      <c r="N230" s="265"/>
      <c r="O230" s="265"/>
      <c r="P230" s="265"/>
      <c r="Q230" s="265"/>
      <c r="R230" s="265"/>
      <c r="S230" s="265"/>
      <c r="T230" s="265"/>
      <c r="U230" s="265"/>
      <c r="V230" s="265"/>
      <c r="W230" s="265"/>
      <c r="X230" s="265"/>
      <c r="Y230" s="265"/>
      <c r="Z230" s="265"/>
      <c r="AA230" s="265"/>
      <c r="AB230" s="265"/>
      <c r="AC230" s="265"/>
      <c r="AD230" s="265"/>
      <c r="AE230" s="265"/>
      <c r="AF230" s="265"/>
      <c r="AG230" s="265"/>
      <c r="AH230" s="265"/>
      <c r="AI230" s="265"/>
      <c r="AJ230" s="265"/>
      <c r="AK230" s="265"/>
      <c r="AL230" s="265"/>
      <c r="AM230" s="244"/>
    </row>
    <row r="231" spans="1:39" ht="18" customHeight="1" x14ac:dyDescent="0.15">
      <c r="A231" s="242"/>
      <c r="B231" s="244"/>
      <c r="C231" s="242"/>
      <c r="D231" s="265"/>
      <c r="E231" s="244"/>
      <c r="F231" s="244"/>
      <c r="G231" s="244"/>
      <c r="H231" s="242"/>
      <c r="I231" s="242"/>
      <c r="J231" s="242"/>
      <c r="K231" s="242"/>
      <c r="L231" s="244"/>
      <c r="M231" s="242"/>
      <c r="N231" s="265"/>
      <c r="O231" s="265"/>
      <c r="P231" s="265"/>
      <c r="Q231" s="265"/>
      <c r="R231" s="265"/>
      <c r="S231" s="265"/>
      <c r="T231" s="265"/>
      <c r="U231" s="265"/>
      <c r="V231" s="265"/>
      <c r="W231" s="265"/>
      <c r="X231" s="265"/>
      <c r="Y231" s="265"/>
      <c r="Z231" s="265"/>
      <c r="AA231" s="265"/>
      <c r="AB231" s="265"/>
      <c r="AC231" s="265"/>
      <c r="AD231" s="265"/>
      <c r="AE231" s="265"/>
      <c r="AF231" s="265"/>
      <c r="AG231" s="265"/>
      <c r="AH231" s="265"/>
      <c r="AI231" s="265"/>
      <c r="AJ231" s="265"/>
      <c r="AK231" s="265"/>
      <c r="AL231" s="265"/>
      <c r="AM231" s="244"/>
    </row>
    <row r="232" spans="1:39" ht="18" customHeight="1" x14ac:dyDescent="0.15">
      <c r="A232" s="242"/>
      <c r="B232" s="244"/>
      <c r="C232" s="242"/>
      <c r="D232" s="265"/>
      <c r="E232" s="244"/>
      <c r="F232" s="244"/>
      <c r="G232" s="244"/>
      <c r="H232" s="242"/>
      <c r="I232" s="242"/>
      <c r="J232" s="242"/>
      <c r="K232" s="242"/>
      <c r="L232" s="244"/>
      <c r="M232" s="242"/>
      <c r="N232" s="265"/>
      <c r="O232" s="265"/>
      <c r="P232" s="265"/>
      <c r="Q232" s="265"/>
      <c r="R232" s="265"/>
      <c r="S232" s="265"/>
      <c r="T232" s="265"/>
      <c r="U232" s="265"/>
      <c r="V232" s="265"/>
      <c r="W232" s="265"/>
      <c r="X232" s="265"/>
      <c r="Y232" s="265"/>
      <c r="Z232" s="265"/>
      <c r="AA232" s="265"/>
      <c r="AB232" s="265"/>
      <c r="AC232" s="265"/>
      <c r="AD232" s="265"/>
      <c r="AE232" s="265"/>
      <c r="AF232" s="265"/>
      <c r="AG232" s="265"/>
      <c r="AH232" s="265"/>
      <c r="AI232" s="265"/>
      <c r="AJ232" s="265"/>
      <c r="AK232" s="265"/>
      <c r="AL232" s="265"/>
      <c r="AM232" s="244"/>
    </row>
    <row r="233" spans="1:39" ht="18" customHeight="1" x14ac:dyDescent="0.15">
      <c r="A233" s="242"/>
      <c r="B233" s="244"/>
      <c r="C233" s="242"/>
      <c r="D233" s="265"/>
      <c r="E233" s="244"/>
      <c r="F233" s="244"/>
      <c r="G233" s="244"/>
      <c r="H233" s="242"/>
      <c r="I233" s="242"/>
      <c r="J233" s="242"/>
      <c r="K233" s="242"/>
      <c r="L233" s="244"/>
      <c r="M233" s="242"/>
      <c r="N233" s="265"/>
      <c r="O233" s="265"/>
      <c r="P233" s="265"/>
      <c r="Q233" s="265"/>
      <c r="R233" s="265"/>
      <c r="S233" s="265"/>
      <c r="T233" s="265"/>
      <c r="U233" s="265"/>
      <c r="V233" s="265"/>
      <c r="W233" s="265"/>
      <c r="X233" s="265"/>
      <c r="Y233" s="265"/>
      <c r="Z233" s="265"/>
      <c r="AA233" s="265"/>
      <c r="AB233" s="265"/>
      <c r="AC233" s="265"/>
      <c r="AD233" s="265"/>
      <c r="AE233" s="265"/>
      <c r="AF233" s="265"/>
      <c r="AG233" s="265"/>
      <c r="AH233" s="265"/>
      <c r="AI233" s="265"/>
      <c r="AJ233" s="265"/>
      <c r="AK233" s="265"/>
      <c r="AL233" s="265"/>
      <c r="AM233" s="244"/>
    </row>
    <row r="234" spans="1:39" ht="18" customHeight="1" x14ac:dyDescent="0.15">
      <c r="A234" s="242"/>
      <c r="B234" s="244"/>
      <c r="C234" s="242"/>
      <c r="D234" s="265"/>
      <c r="E234" s="244"/>
      <c r="F234" s="244"/>
      <c r="G234" s="244"/>
      <c r="H234" s="242"/>
      <c r="I234" s="242"/>
      <c r="J234" s="242"/>
      <c r="K234" s="242"/>
      <c r="L234" s="244"/>
      <c r="M234" s="242"/>
      <c r="N234" s="265"/>
      <c r="O234" s="265"/>
      <c r="P234" s="265"/>
      <c r="Q234" s="265"/>
      <c r="R234" s="265"/>
      <c r="S234" s="265"/>
      <c r="T234" s="265"/>
      <c r="U234" s="265"/>
      <c r="V234" s="265"/>
      <c r="W234" s="265"/>
      <c r="X234" s="265"/>
      <c r="Y234" s="265"/>
      <c r="Z234" s="265"/>
      <c r="AA234" s="265"/>
      <c r="AB234" s="265"/>
      <c r="AC234" s="265"/>
      <c r="AD234" s="265"/>
      <c r="AE234" s="265"/>
      <c r="AF234" s="265"/>
      <c r="AG234" s="265"/>
      <c r="AH234" s="265"/>
      <c r="AI234" s="265"/>
      <c r="AJ234" s="265"/>
      <c r="AK234" s="265"/>
      <c r="AL234" s="265"/>
      <c r="AM234" s="244"/>
    </row>
    <row r="235" spans="1:39" ht="18" customHeight="1" x14ac:dyDescent="0.15">
      <c r="A235" s="242"/>
      <c r="B235" s="244"/>
      <c r="C235" s="242"/>
      <c r="D235" s="265"/>
      <c r="E235" s="244"/>
      <c r="F235" s="244"/>
      <c r="G235" s="244"/>
      <c r="H235" s="242"/>
      <c r="I235" s="242"/>
      <c r="J235" s="242"/>
      <c r="K235" s="242"/>
      <c r="L235" s="244"/>
      <c r="M235" s="242"/>
      <c r="N235" s="265"/>
      <c r="O235" s="265"/>
      <c r="P235" s="265"/>
      <c r="Q235" s="265"/>
      <c r="R235" s="265"/>
      <c r="S235" s="265"/>
      <c r="T235" s="265"/>
      <c r="U235" s="265"/>
      <c r="V235" s="265"/>
      <c r="W235" s="265"/>
      <c r="X235" s="265"/>
      <c r="Y235" s="265"/>
      <c r="Z235" s="265"/>
      <c r="AA235" s="265"/>
      <c r="AB235" s="265"/>
      <c r="AC235" s="265"/>
      <c r="AD235" s="265"/>
      <c r="AE235" s="265"/>
      <c r="AF235" s="265"/>
      <c r="AG235" s="265"/>
      <c r="AH235" s="265"/>
      <c r="AI235" s="265"/>
      <c r="AJ235" s="265"/>
      <c r="AK235" s="265"/>
      <c r="AL235" s="265"/>
      <c r="AM235" s="244"/>
    </row>
    <row r="236" spans="1:39" ht="18" customHeight="1" x14ac:dyDescent="0.15">
      <c r="A236" s="242"/>
      <c r="B236" s="244"/>
      <c r="C236" s="242"/>
      <c r="D236" s="265"/>
      <c r="E236" s="244"/>
      <c r="F236" s="244"/>
      <c r="G236" s="244"/>
      <c r="H236" s="242"/>
      <c r="I236" s="242"/>
      <c r="J236" s="242"/>
      <c r="K236" s="242"/>
      <c r="L236" s="244"/>
      <c r="M236" s="242"/>
      <c r="N236" s="265"/>
      <c r="O236" s="265"/>
      <c r="P236" s="265"/>
      <c r="Q236" s="265"/>
      <c r="R236" s="265"/>
      <c r="S236" s="265"/>
      <c r="T236" s="265"/>
      <c r="U236" s="265"/>
      <c r="V236" s="265"/>
      <c r="W236" s="265"/>
      <c r="X236" s="265"/>
      <c r="Y236" s="265"/>
      <c r="Z236" s="265"/>
      <c r="AA236" s="265"/>
      <c r="AB236" s="265"/>
      <c r="AC236" s="265"/>
      <c r="AD236" s="265"/>
      <c r="AE236" s="265"/>
      <c r="AF236" s="265"/>
      <c r="AG236" s="265"/>
      <c r="AH236" s="265"/>
      <c r="AI236" s="265"/>
      <c r="AJ236" s="265"/>
      <c r="AK236" s="265"/>
      <c r="AL236" s="265"/>
      <c r="AM236" s="244"/>
    </row>
    <row r="237" spans="1:39" ht="18" customHeight="1" x14ac:dyDescent="0.15">
      <c r="A237" s="242"/>
      <c r="B237" s="244"/>
      <c r="C237" s="242"/>
      <c r="D237" s="265"/>
      <c r="E237" s="244"/>
      <c r="F237" s="244"/>
      <c r="G237" s="244"/>
      <c r="H237" s="242"/>
      <c r="I237" s="242"/>
      <c r="J237" s="242"/>
      <c r="K237" s="242"/>
      <c r="L237" s="244"/>
      <c r="M237" s="242"/>
      <c r="N237" s="265"/>
      <c r="O237" s="265"/>
      <c r="P237" s="265"/>
      <c r="Q237" s="265"/>
      <c r="R237" s="265"/>
      <c r="S237" s="265"/>
      <c r="T237" s="265"/>
      <c r="U237" s="265"/>
      <c r="V237" s="265"/>
      <c r="W237" s="265"/>
      <c r="X237" s="265"/>
      <c r="Y237" s="265"/>
      <c r="Z237" s="265"/>
      <c r="AA237" s="265"/>
      <c r="AB237" s="265"/>
      <c r="AC237" s="265"/>
      <c r="AD237" s="265"/>
      <c r="AE237" s="265"/>
      <c r="AF237" s="265"/>
      <c r="AG237" s="265"/>
      <c r="AH237" s="265"/>
      <c r="AI237" s="265"/>
      <c r="AJ237" s="265"/>
      <c r="AK237" s="265"/>
      <c r="AL237" s="265"/>
      <c r="AM237" s="244"/>
    </row>
    <row r="238" spans="1:39" ht="18" customHeight="1" x14ac:dyDescent="0.15">
      <c r="A238" s="242"/>
      <c r="B238" s="244"/>
      <c r="C238" s="242"/>
      <c r="D238" s="265"/>
      <c r="E238" s="244"/>
      <c r="F238" s="244"/>
      <c r="G238" s="244"/>
      <c r="H238" s="242"/>
      <c r="I238" s="242"/>
      <c r="J238" s="242"/>
      <c r="K238" s="242"/>
      <c r="L238" s="244"/>
      <c r="M238" s="242"/>
      <c r="N238" s="265"/>
      <c r="O238" s="265"/>
      <c r="P238" s="265"/>
      <c r="Q238" s="265"/>
      <c r="R238" s="265"/>
      <c r="S238" s="265"/>
      <c r="T238" s="265"/>
      <c r="U238" s="265"/>
      <c r="V238" s="265"/>
      <c r="W238" s="265"/>
      <c r="X238" s="265"/>
      <c r="Y238" s="265"/>
      <c r="Z238" s="265"/>
      <c r="AA238" s="265"/>
      <c r="AB238" s="265"/>
      <c r="AC238" s="265"/>
      <c r="AD238" s="265"/>
      <c r="AE238" s="265"/>
      <c r="AF238" s="265"/>
      <c r="AG238" s="265"/>
      <c r="AH238" s="265"/>
      <c r="AI238" s="265"/>
      <c r="AJ238" s="265"/>
      <c r="AK238" s="265"/>
      <c r="AL238" s="265"/>
      <c r="AM238" s="244"/>
    </row>
    <row r="239" spans="1:39" ht="18" customHeight="1" x14ac:dyDescent="0.15">
      <c r="A239" s="242"/>
      <c r="B239" s="244"/>
      <c r="C239" s="242"/>
      <c r="D239" s="265"/>
      <c r="E239" s="244"/>
      <c r="F239" s="244"/>
      <c r="G239" s="244"/>
      <c r="H239" s="242"/>
      <c r="I239" s="242"/>
      <c r="J239" s="242"/>
      <c r="K239" s="242"/>
      <c r="L239" s="244"/>
      <c r="M239" s="242"/>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44"/>
    </row>
    <row r="240" spans="1:39" ht="18" customHeight="1" x14ac:dyDescent="0.15">
      <c r="A240" s="242"/>
      <c r="B240" s="244"/>
      <c r="C240" s="242"/>
      <c r="D240" s="265"/>
      <c r="E240" s="244"/>
      <c r="F240" s="244"/>
      <c r="G240" s="244"/>
      <c r="H240" s="242"/>
      <c r="I240" s="242"/>
      <c r="J240" s="242"/>
      <c r="K240" s="242"/>
      <c r="L240" s="244"/>
      <c r="M240" s="242"/>
      <c r="N240" s="265"/>
      <c r="O240" s="265"/>
      <c r="P240" s="265"/>
      <c r="Q240" s="265"/>
      <c r="R240" s="265"/>
      <c r="S240" s="265"/>
      <c r="T240" s="265"/>
      <c r="U240" s="265"/>
      <c r="V240" s="265"/>
      <c r="W240" s="265"/>
      <c r="X240" s="265"/>
      <c r="Y240" s="265"/>
      <c r="Z240" s="265"/>
      <c r="AA240" s="265"/>
      <c r="AB240" s="265"/>
      <c r="AC240" s="265"/>
      <c r="AD240" s="265"/>
      <c r="AE240" s="265"/>
      <c r="AF240" s="265"/>
      <c r="AG240" s="265"/>
      <c r="AH240" s="265"/>
      <c r="AI240" s="265"/>
      <c r="AJ240" s="265"/>
      <c r="AK240" s="265"/>
      <c r="AL240" s="265"/>
      <c r="AM240" s="244"/>
    </row>
    <row r="241" spans="1:39" ht="18" customHeight="1" x14ac:dyDescent="0.15">
      <c r="A241" s="242"/>
      <c r="B241" s="244"/>
      <c r="C241" s="242"/>
      <c r="D241" s="265"/>
      <c r="E241" s="244"/>
      <c r="F241" s="244"/>
      <c r="G241" s="244"/>
      <c r="H241" s="242"/>
      <c r="I241" s="242"/>
      <c r="J241" s="242"/>
      <c r="K241" s="242"/>
      <c r="L241" s="244"/>
      <c r="M241" s="242"/>
      <c r="N241" s="265"/>
      <c r="O241" s="265"/>
      <c r="P241" s="265"/>
      <c r="Q241" s="265"/>
      <c r="R241" s="265"/>
      <c r="S241" s="265"/>
      <c r="T241" s="265"/>
      <c r="U241" s="265"/>
      <c r="V241" s="265"/>
      <c r="W241" s="265"/>
      <c r="X241" s="265"/>
      <c r="Y241" s="265"/>
      <c r="Z241" s="265"/>
      <c r="AA241" s="265"/>
      <c r="AB241" s="265"/>
      <c r="AC241" s="265"/>
      <c r="AD241" s="265"/>
      <c r="AE241" s="265"/>
      <c r="AF241" s="265"/>
      <c r="AG241" s="265"/>
      <c r="AH241" s="265"/>
      <c r="AI241" s="265"/>
      <c r="AJ241" s="265"/>
      <c r="AK241" s="265"/>
      <c r="AL241" s="265"/>
      <c r="AM241" s="244"/>
    </row>
    <row r="242" spans="1:39" ht="18" customHeight="1" x14ac:dyDescent="0.15">
      <c r="A242" s="242"/>
      <c r="B242" s="244"/>
      <c r="C242" s="242"/>
      <c r="D242" s="265"/>
      <c r="E242" s="244"/>
      <c r="F242" s="244"/>
      <c r="G242" s="244"/>
      <c r="H242" s="242"/>
      <c r="I242" s="242"/>
      <c r="J242" s="242"/>
      <c r="K242" s="242"/>
      <c r="L242" s="244"/>
      <c r="M242" s="242"/>
      <c r="N242" s="265"/>
      <c r="O242" s="265"/>
      <c r="P242" s="265"/>
      <c r="Q242" s="265"/>
      <c r="R242" s="265"/>
      <c r="S242" s="265"/>
      <c r="T242" s="265"/>
      <c r="U242" s="265"/>
      <c r="V242" s="265"/>
      <c r="W242" s="265"/>
      <c r="X242" s="265"/>
      <c r="Y242" s="265"/>
      <c r="Z242" s="265"/>
      <c r="AA242" s="265"/>
      <c r="AB242" s="265"/>
      <c r="AC242" s="265"/>
      <c r="AD242" s="265"/>
      <c r="AE242" s="265"/>
      <c r="AF242" s="265"/>
      <c r="AG242" s="265"/>
      <c r="AH242" s="265"/>
      <c r="AI242" s="265"/>
      <c r="AJ242" s="265"/>
      <c r="AK242" s="265"/>
      <c r="AL242" s="265"/>
      <c r="AM242" s="244"/>
    </row>
    <row r="243" spans="1:39" ht="18" customHeight="1" x14ac:dyDescent="0.15">
      <c r="A243" s="242"/>
      <c r="B243" s="244"/>
      <c r="C243" s="242"/>
      <c r="D243" s="265"/>
      <c r="E243" s="244"/>
      <c r="F243" s="244"/>
      <c r="G243" s="244"/>
      <c r="H243" s="242"/>
      <c r="I243" s="242"/>
      <c r="J243" s="242"/>
      <c r="K243" s="242"/>
      <c r="L243" s="244"/>
      <c r="M243" s="242"/>
      <c r="N243" s="265"/>
      <c r="O243" s="265"/>
      <c r="P243" s="265"/>
      <c r="Q243" s="265"/>
      <c r="R243" s="265"/>
      <c r="S243" s="265"/>
      <c r="T243" s="265"/>
      <c r="U243" s="265"/>
      <c r="V243" s="265"/>
      <c r="W243" s="265"/>
      <c r="X243" s="265"/>
      <c r="Y243" s="265"/>
      <c r="Z243" s="265"/>
      <c r="AA243" s="265"/>
      <c r="AB243" s="265"/>
      <c r="AC243" s="265"/>
      <c r="AD243" s="265"/>
      <c r="AE243" s="265"/>
      <c r="AF243" s="265"/>
      <c r="AG243" s="265"/>
      <c r="AH243" s="265"/>
      <c r="AI243" s="265"/>
      <c r="AJ243" s="265"/>
      <c r="AK243" s="265"/>
      <c r="AL243" s="265"/>
      <c r="AM243" s="244"/>
    </row>
    <row r="244" spans="1:39" ht="18" customHeight="1" x14ac:dyDescent="0.15">
      <c r="A244" s="242"/>
      <c r="B244" s="244"/>
      <c r="C244" s="242"/>
      <c r="D244" s="265"/>
      <c r="E244" s="244"/>
      <c r="F244" s="244"/>
      <c r="G244" s="244"/>
      <c r="H244" s="242"/>
      <c r="I244" s="242"/>
      <c r="J244" s="242"/>
      <c r="K244" s="242"/>
      <c r="L244" s="244"/>
      <c r="M244" s="242"/>
      <c r="N244" s="265"/>
      <c r="O244" s="265"/>
      <c r="P244" s="265"/>
      <c r="Q244" s="265"/>
      <c r="R244" s="265"/>
      <c r="S244" s="265"/>
      <c r="T244" s="265"/>
      <c r="U244" s="265"/>
      <c r="V244" s="265"/>
      <c r="W244" s="265"/>
      <c r="X244" s="265"/>
      <c r="Y244" s="265"/>
      <c r="Z244" s="265"/>
      <c r="AA244" s="265"/>
      <c r="AB244" s="265"/>
      <c r="AC244" s="265"/>
      <c r="AD244" s="265"/>
      <c r="AE244" s="265"/>
      <c r="AF244" s="265"/>
      <c r="AG244" s="265"/>
      <c r="AH244" s="265"/>
      <c r="AI244" s="265"/>
      <c r="AJ244" s="265"/>
      <c r="AK244" s="265"/>
      <c r="AL244" s="265"/>
      <c r="AM244" s="244"/>
    </row>
    <row r="245" spans="1:39" ht="18" customHeight="1" x14ac:dyDescent="0.15">
      <c r="A245" s="242"/>
      <c r="B245" s="244"/>
      <c r="C245" s="242"/>
      <c r="D245" s="265"/>
      <c r="E245" s="244"/>
      <c r="F245" s="244"/>
      <c r="G245" s="244"/>
      <c r="H245" s="242"/>
      <c r="I245" s="242"/>
      <c r="J245" s="242"/>
      <c r="K245" s="242"/>
      <c r="L245" s="244"/>
      <c r="M245" s="242"/>
      <c r="N245" s="265"/>
      <c r="O245" s="265"/>
      <c r="P245" s="265"/>
      <c r="Q245" s="265"/>
      <c r="R245" s="265"/>
      <c r="S245" s="265"/>
      <c r="T245" s="265"/>
      <c r="U245" s="265"/>
      <c r="V245" s="265"/>
      <c r="W245" s="265"/>
      <c r="X245" s="265"/>
      <c r="Y245" s="265"/>
      <c r="Z245" s="265"/>
      <c r="AA245" s="265"/>
      <c r="AB245" s="265"/>
      <c r="AC245" s="265"/>
      <c r="AD245" s="265"/>
      <c r="AE245" s="265"/>
      <c r="AF245" s="265"/>
      <c r="AG245" s="265"/>
      <c r="AH245" s="265"/>
      <c r="AI245" s="265"/>
      <c r="AJ245" s="265"/>
      <c r="AK245" s="265"/>
      <c r="AL245" s="265"/>
      <c r="AM245" s="244"/>
    </row>
    <row r="246" spans="1:39" ht="18" customHeight="1" x14ac:dyDescent="0.15">
      <c r="A246" s="242"/>
      <c r="B246" s="244"/>
      <c r="C246" s="242"/>
      <c r="D246" s="265"/>
      <c r="E246" s="244"/>
      <c r="F246" s="244"/>
      <c r="G246" s="244"/>
      <c r="H246" s="242"/>
      <c r="I246" s="242"/>
      <c r="J246" s="242"/>
      <c r="K246" s="242"/>
      <c r="L246" s="244"/>
      <c r="M246" s="242"/>
      <c r="N246" s="265"/>
      <c r="O246" s="265"/>
      <c r="P246" s="265"/>
      <c r="Q246" s="265"/>
      <c r="R246" s="265"/>
      <c r="S246" s="265"/>
      <c r="T246" s="265"/>
      <c r="U246" s="265"/>
      <c r="V246" s="265"/>
      <c r="W246" s="265"/>
      <c r="X246" s="265"/>
      <c r="Y246" s="265"/>
      <c r="Z246" s="265"/>
      <c r="AA246" s="265"/>
      <c r="AB246" s="265"/>
      <c r="AC246" s="265"/>
      <c r="AD246" s="265"/>
      <c r="AE246" s="265"/>
      <c r="AF246" s="265"/>
      <c r="AG246" s="265"/>
      <c r="AH246" s="265"/>
      <c r="AI246" s="265"/>
      <c r="AJ246" s="265"/>
      <c r="AK246" s="265"/>
      <c r="AL246" s="265"/>
      <c r="AM246" s="244"/>
    </row>
    <row r="247" spans="1:39" ht="18" customHeight="1" x14ac:dyDescent="0.15">
      <c r="A247" s="242"/>
      <c r="B247" s="244"/>
      <c r="C247" s="242"/>
      <c r="D247" s="265"/>
      <c r="E247" s="244"/>
      <c r="F247" s="244"/>
      <c r="G247" s="244"/>
      <c r="H247" s="242"/>
      <c r="I247" s="242"/>
      <c r="J247" s="242"/>
      <c r="K247" s="242"/>
      <c r="L247" s="244"/>
      <c r="M247" s="242"/>
      <c r="N247" s="265"/>
      <c r="O247" s="265"/>
      <c r="P247" s="265"/>
      <c r="Q247" s="265"/>
      <c r="R247" s="265"/>
      <c r="S247" s="265"/>
      <c r="T247" s="265"/>
      <c r="U247" s="265"/>
      <c r="V247" s="265"/>
      <c r="W247" s="265"/>
      <c r="X247" s="265"/>
      <c r="Y247" s="265"/>
      <c r="Z247" s="265"/>
      <c r="AA247" s="265"/>
      <c r="AB247" s="265"/>
      <c r="AC247" s="265"/>
      <c r="AD247" s="265"/>
      <c r="AE247" s="265"/>
      <c r="AF247" s="265"/>
      <c r="AG247" s="265"/>
      <c r="AH247" s="265"/>
      <c r="AI247" s="265"/>
      <c r="AJ247" s="265"/>
      <c r="AK247" s="265"/>
      <c r="AL247" s="265"/>
      <c r="AM247" s="244"/>
    </row>
    <row r="248" spans="1:39" ht="18" customHeight="1" x14ac:dyDescent="0.15">
      <c r="A248" s="242"/>
      <c r="B248" s="244"/>
      <c r="C248" s="242"/>
      <c r="D248" s="265"/>
      <c r="E248" s="244"/>
      <c r="F248" s="244"/>
      <c r="G248" s="244"/>
      <c r="H248" s="242"/>
      <c r="I248" s="242"/>
      <c r="J248" s="242"/>
      <c r="K248" s="242"/>
      <c r="L248" s="244"/>
      <c r="M248" s="242"/>
      <c r="N248" s="265"/>
      <c r="O248" s="265"/>
      <c r="P248" s="265"/>
      <c r="Q248" s="265"/>
      <c r="R248" s="265"/>
      <c r="S248" s="265"/>
      <c r="T248" s="265"/>
      <c r="U248" s="265"/>
      <c r="V248" s="265"/>
      <c r="W248" s="265"/>
      <c r="X248" s="265"/>
      <c r="Y248" s="265"/>
      <c r="Z248" s="265"/>
      <c r="AA248" s="265"/>
      <c r="AB248" s="265"/>
      <c r="AC248" s="265"/>
      <c r="AD248" s="265"/>
      <c r="AE248" s="265"/>
      <c r="AF248" s="265"/>
      <c r="AG248" s="265"/>
      <c r="AH248" s="265"/>
      <c r="AI248" s="265"/>
      <c r="AJ248" s="265"/>
      <c r="AK248" s="265"/>
      <c r="AL248" s="265"/>
      <c r="AM248" s="244"/>
    </row>
    <row r="249" spans="1:39" ht="18" customHeight="1" x14ac:dyDescent="0.15">
      <c r="A249" s="242"/>
      <c r="B249" s="244"/>
      <c r="C249" s="242"/>
      <c r="D249" s="265"/>
      <c r="E249" s="244"/>
      <c r="F249" s="244"/>
      <c r="G249" s="244"/>
      <c r="H249" s="242"/>
      <c r="I249" s="242"/>
      <c r="J249" s="242"/>
      <c r="K249" s="242"/>
      <c r="L249" s="244"/>
      <c r="M249" s="242"/>
      <c r="N249" s="265"/>
      <c r="O249" s="265"/>
      <c r="P249" s="265"/>
      <c r="Q249" s="265"/>
      <c r="R249" s="265"/>
      <c r="S249" s="265"/>
      <c r="T249" s="265"/>
      <c r="U249" s="265"/>
      <c r="V249" s="265"/>
      <c r="W249" s="265"/>
      <c r="X249" s="265"/>
      <c r="Y249" s="265"/>
      <c r="Z249" s="265"/>
      <c r="AA249" s="265"/>
      <c r="AB249" s="265"/>
      <c r="AC249" s="265"/>
      <c r="AD249" s="265"/>
      <c r="AE249" s="265"/>
      <c r="AF249" s="265"/>
      <c r="AG249" s="265"/>
      <c r="AH249" s="265"/>
      <c r="AI249" s="265"/>
      <c r="AJ249" s="265"/>
      <c r="AK249" s="265"/>
      <c r="AL249" s="265"/>
      <c r="AM249" s="244"/>
    </row>
    <row r="250" spans="1:39" ht="18" customHeight="1" x14ac:dyDescent="0.15">
      <c r="A250" s="242"/>
      <c r="B250" s="244"/>
      <c r="C250" s="242"/>
      <c r="D250" s="265"/>
      <c r="E250" s="244"/>
      <c r="F250" s="244"/>
      <c r="G250" s="244"/>
      <c r="H250" s="242"/>
      <c r="I250" s="242"/>
      <c r="J250" s="242"/>
      <c r="K250" s="242"/>
      <c r="L250" s="244"/>
      <c r="M250" s="242"/>
      <c r="N250" s="265"/>
      <c r="O250" s="265"/>
      <c r="P250" s="265"/>
      <c r="Q250" s="265"/>
      <c r="R250" s="265"/>
      <c r="S250" s="265"/>
      <c r="T250" s="265"/>
      <c r="U250" s="265"/>
      <c r="V250" s="265"/>
      <c r="W250" s="265"/>
      <c r="X250" s="265"/>
      <c r="Y250" s="265"/>
      <c r="Z250" s="265"/>
      <c r="AA250" s="265"/>
      <c r="AB250" s="265"/>
      <c r="AC250" s="265"/>
      <c r="AD250" s="265"/>
      <c r="AE250" s="265"/>
      <c r="AF250" s="265"/>
      <c r="AG250" s="265"/>
      <c r="AH250" s="265"/>
      <c r="AI250" s="265"/>
      <c r="AJ250" s="265"/>
      <c r="AK250" s="265"/>
      <c r="AL250" s="265"/>
      <c r="AM250" s="244"/>
    </row>
    <row r="251" spans="1:39" ht="18" customHeight="1" x14ac:dyDescent="0.15">
      <c r="A251" s="242"/>
      <c r="B251" s="244"/>
      <c r="C251" s="242"/>
      <c r="D251" s="265"/>
      <c r="E251" s="244"/>
      <c r="F251" s="244"/>
      <c r="G251" s="244"/>
      <c r="H251" s="242"/>
      <c r="I251" s="242"/>
      <c r="J251" s="242"/>
      <c r="K251" s="242"/>
      <c r="L251" s="244"/>
      <c r="M251" s="242"/>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44"/>
    </row>
    <row r="252" spans="1:39" ht="18" customHeight="1" x14ac:dyDescent="0.15">
      <c r="A252" s="242"/>
      <c r="B252" s="244"/>
      <c r="C252" s="242"/>
      <c r="D252" s="265"/>
      <c r="E252" s="244"/>
      <c r="F252" s="244"/>
      <c r="G252" s="244"/>
      <c r="H252" s="242"/>
      <c r="I252" s="242"/>
      <c r="J252" s="242"/>
      <c r="K252" s="242"/>
      <c r="L252" s="244"/>
      <c r="M252" s="242"/>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44"/>
    </row>
    <row r="253" spans="1:39" ht="18" customHeight="1" x14ac:dyDescent="0.15">
      <c r="A253" s="242"/>
      <c r="B253" s="244"/>
      <c r="C253" s="242"/>
      <c r="D253" s="265"/>
      <c r="E253" s="244"/>
      <c r="F253" s="244"/>
      <c r="G253" s="244"/>
      <c r="H253" s="242"/>
      <c r="I253" s="242"/>
      <c r="J253" s="242"/>
      <c r="K253" s="242"/>
      <c r="L253" s="244"/>
      <c r="M253" s="242"/>
      <c r="N253" s="265"/>
      <c r="O253" s="265"/>
      <c r="P253" s="265"/>
      <c r="Q253" s="265"/>
      <c r="R253" s="265"/>
      <c r="S253" s="265"/>
      <c r="T253" s="265"/>
      <c r="U253" s="265"/>
      <c r="V253" s="265"/>
      <c r="W253" s="265"/>
      <c r="X253" s="265"/>
      <c r="Y253" s="265"/>
      <c r="Z253" s="265"/>
      <c r="AA253" s="265"/>
      <c r="AB253" s="265"/>
      <c r="AC253" s="265"/>
      <c r="AD253" s="265"/>
      <c r="AE253" s="265"/>
      <c r="AF253" s="265"/>
      <c r="AG253" s="265"/>
      <c r="AH253" s="265"/>
      <c r="AI253" s="265"/>
      <c r="AJ253" s="265"/>
      <c r="AK253" s="265"/>
      <c r="AL253" s="265"/>
      <c r="AM253" s="244"/>
    </row>
    <row r="254" spans="1:39" ht="18" customHeight="1" x14ac:dyDescent="0.15">
      <c r="A254" s="242"/>
      <c r="B254" s="244"/>
      <c r="C254" s="242"/>
      <c r="D254" s="265"/>
      <c r="E254" s="244"/>
      <c r="F254" s="244"/>
      <c r="G254" s="244"/>
      <c r="H254" s="242"/>
      <c r="I254" s="242"/>
      <c r="J254" s="242"/>
      <c r="K254" s="242"/>
      <c r="L254" s="244"/>
      <c r="M254" s="242"/>
      <c r="N254" s="265"/>
      <c r="O254" s="265"/>
      <c r="P254" s="265"/>
      <c r="Q254" s="265"/>
      <c r="R254" s="265"/>
      <c r="S254" s="265"/>
      <c r="T254" s="265"/>
      <c r="U254" s="265"/>
      <c r="V254" s="265"/>
      <c r="W254" s="265"/>
      <c r="X254" s="265"/>
      <c r="Y254" s="265"/>
      <c r="Z254" s="265"/>
      <c r="AA254" s="265"/>
      <c r="AB254" s="265"/>
      <c r="AC254" s="265"/>
      <c r="AD254" s="265"/>
      <c r="AE254" s="265"/>
      <c r="AF254" s="265"/>
      <c r="AG254" s="265"/>
      <c r="AH254" s="265"/>
      <c r="AI254" s="265"/>
      <c r="AJ254" s="265"/>
      <c r="AK254" s="265"/>
      <c r="AL254" s="265"/>
      <c r="AM254" s="244"/>
    </row>
    <row r="255" spans="1:39" ht="18" customHeight="1" x14ac:dyDescent="0.15">
      <c r="A255" s="242"/>
      <c r="B255" s="244"/>
      <c r="C255" s="242"/>
      <c r="D255" s="265"/>
      <c r="E255" s="244"/>
      <c r="F255" s="244"/>
      <c r="G255" s="244"/>
      <c r="H255" s="242"/>
      <c r="I255" s="242"/>
      <c r="J255" s="242"/>
      <c r="K255" s="242"/>
      <c r="L255" s="244"/>
      <c r="M255" s="242"/>
      <c r="N255" s="265"/>
      <c r="O255" s="265"/>
      <c r="P255" s="265"/>
      <c r="Q255" s="265"/>
      <c r="R255" s="265"/>
      <c r="S255" s="265"/>
      <c r="T255" s="265"/>
      <c r="U255" s="265"/>
      <c r="V255" s="265"/>
      <c r="W255" s="265"/>
      <c r="X255" s="265"/>
      <c r="Y255" s="265"/>
      <c r="Z255" s="265"/>
      <c r="AA255" s="265"/>
      <c r="AB255" s="265"/>
      <c r="AC255" s="265"/>
      <c r="AD255" s="265"/>
      <c r="AE255" s="265"/>
      <c r="AF255" s="265"/>
      <c r="AG255" s="265"/>
      <c r="AH255" s="265"/>
      <c r="AI255" s="265"/>
      <c r="AJ255" s="265"/>
      <c r="AK255" s="265"/>
      <c r="AL255" s="265"/>
      <c r="AM255" s="244"/>
    </row>
    <row r="256" spans="1:39" ht="18" customHeight="1" x14ac:dyDescent="0.15">
      <c r="A256" s="242"/>
      <c r="B256" s="244"/>
      <c r="C256" s="242"/>
      <c r="D256" s="265"/>
      <c r="E256" s="244"/>
      <c r="F256" s="244"/>
      <c r="G256" s="244"/>
      <c r="H256" s="242"/>
      <c r="I256" s="242"/>
      <c r="J256" s="242"/>
      <c r="K256" s="242"/>
      <c r="L256" s="244"/>
      <c r="M256" s="242"/>
      <c r="N256" s="265"/>
      <c r="O256" s="265"/>
      <c r="P256" s="265"/>
      <c r="Q256" s="265"/>
      <c r="R256" s="265"/>
      <c r="S256" s="265"/>
      <c r="T256" s="265"/>
      <c r="U256" s="265"/>
      <c r="V256" s="265"/>
      <c r="W256" s="265"/>
      <c r="X256" s="265"/>
      <c r="Y256" s="265"/>
      <c r="Z256" s="265"/>
      <c r="AA256" s="265"/>
      <c r="AB256" s="265"/>
      <c r="AC256" s="265"/>
      <c r="AD256" s="265"/>
      <c r="AE256" s="265"/>
      <c r="AF256" s="265"/>
      <c r="AG256" s="265"/>
      <c r="AH256" s="265"/>
      <c r="AI256" s="265"/>
      <c r="AJ256" s="265"/>
      <c r="AK256" s="265"/>
      <c r="AL256" s="265"/>
      <c r="AM256" s="244"/>
    </row>
    <row r="257" spans="1:39" ht="18" customHeight="1" x14ac:dyDescent="0.15">
      <c r="A257" s="242"/>
      <c r="B257" s="244"/>
      <c r="C257" s="242"/>
      <c r="D257" s="265"/>
      <c r="E257" s="244"/>
      <c r="F257" s="244"/>
      <c r="G257" s="244"/>
      <c r="H257" s="242"/>
      <c r="I257" s="242"/>
      <c r="J257" s="242"/>
      <c r="K257" s="242"/>
      <c r="L257" s="244"/>
      <c r="M257" s="242"/>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44"/>
    </row>
    <row r="258" spans="1:39" ht="18" customHeight="1" x14ac:dyDescent="0.15">
      <c r="A258" s="242"/>
      <c r="B258" s="244"/>
      <c r="C258" s="242"/>
      <c r="D258" s="265"/>
      <c r="E258" s="244"/>
      <c r="F258" s="244"/>
      <c r="G258" s="244"/>
      <c r="H258" s="242"/>
      <c r="I258" s="242"/>
      <c r="J258" s="242"/>
      <c r="K258" s="242"/>
      <c r="L258" s="244"/>
      <c r="M258" s="242"/>
      <c r="N258" s="265"/>
      <c r="O258" s="265"/>
      <c r="P258" s="265"/>
      <c r="Q258" s="265"/>
      <c r="R258" s="265"/>
      <c r="S258" s="265"/>
      <c r="T258" s="265"/>
      <c r="U258" s="265"/>
      <c r="V258" s="265"/>
      <c r="W258" s="265"/>
      <c r="X258" s="265"/>
      <c r="Y258" s="265"/>
      <c r="Z258" s="265"/>
      <c r="AA258" s="265"/>
      <c r="AB258" s="265"/>
      <c r="AC258" s="265"/>
      <c r="AD258" s="265"/>
      <c r="AE258" s="265"/>
      <c r="AF258" s="265"/>
      <c r="AG258" s="265"/>
      <c r="AH258" s="265"/>
      <c r="AI258" s="265"/>
      <c r="AJ258" s="265"/>
      <c r="AK258" s="265"/>
      <c r="AL258" s="265"/>
      <c r="AM258" s="244"/>
    </row>
    <row r="259" spans="1:39" ht="18" customHeight="1" x14ac:dyDescent="0.15">
      <c r="A259" s="242"/>
      <c r="B259" s="244"/>
      <c r="C259" s="242"/>
      <c r="D259" s="265"/>
      <c r="E259" s="244"/>
      <c r="F259" s="244"/>
      <c r="G259" s="244"/>
      <c r="H259" s="242"/>
      <c r="I259" s="242"/>
      <c r="J259" s="242"/>
      <c r="K259" s="242"/>
      <c r="L259" s="244"/>
      <c r="M259" s="242"/>
      <c r="N259" s="265"/>
      <c r="O259" s="265"/>
      <c r="P259" s="265"/>
      <c r="Q259" s="265"/>
      <c r="R259" s="265"/>
      <c r="S259" s="265"/>
      <c r="T259" s="265"/>
      <c r="U259" s="265"/>
      <c r="V259" s="265"/>
      <c r="W259" s="265"/>
      <c r="X259" s="265"/>
      <c r="Y259" s="265"/>
      <c r="Z259" s="265"/>
      <c r="AA259" s="265"/>
      <c r="AB259" s="265"/>
      <c r="AC259" s="265"/>
      <c r="AD259" s="265"/>
      <c r="AE259" s="265"/>
      <c r="AF259" s="265"/>
      <c r="AG259" s="265"/>
      <c r="AH259" s="265"/>
      <c r="AI259" s="265"/>
      <c r="AJ259" s="265"/>
      <c r="AK259" s="265"/>
      <c r="AL259" s="265"/>
      <c r="AM259" s="244"/>
    </row>
    <row r="260" spans="1:39" ht="18" customHeight="1" x14ac:dyDescent="0.15">
      <c r="A260" s="242"/>
      <c r="B260" s="244"/>
      <c r="C260" s="242"/>
      <c r="D260" s="265"/>
      <c r="E260" s="244"/>
      <c r="F260" s="244"/>
      <c r="G260" s="244"/>
      <c r="H260" s="242"/>
      <c r="I260" s="242"/>
      <c r="J260" s="242"/>
      <c r="K260" s="242"/>
      <c r="L260" s="244"/>
      <c r="M260" s="242"/>
      <c r="N260" s="265"/>
      <c r="O260" s="265"/>
      <c r="P260" s="265"/>
      <c r="Q260" s="265"/>
      <c r="R260" s="265"/>
      <c r="S260" s="265"/>
      <c r="T260" s="265"/>
      <c r="U260" s="265"/>
      <c r="V260" s="265"/>
      <c r="W260" s="265"/>
      <c r="X260" s="265"/>
      <c r="Y260" s="265"/>
      <c r="Z260" s="265"/>
      <c r="AA260" s="265"/>
      <c r="AB260" s="265"/>
      <c r="AC260" s="265"/>
      <c r="AD260" s="265"/>
      <c r="AE260" s="265"/>
      <c r="AF260" s="265"/>
      <c r="AG260" s="265"/>
      <c r="AH260" s="265"/>
      <c r="AI260" s="265"/>
      <c r="AJ260" s="265"/>
      <c r="AK260" s="265"/>
      <c r="AL260" s="265"/>
      <c r="AM260" s="244"/>
    </row>
    <row r="261" spans="1:39" ht="18" customHeight="1" x14ac:dyDescent="0.15">
      <c r="A261" s="242"/>
      <c r="B261" s="244"/>
      <c r="C261" s="242"/>
      <c r="D261" s="265"/>
      <c r="E261" s="244"/>
      <c r="F261" s="244"/>
      <c r="G261" s="244"/>
      <c r="H261" s="242"/>
      <c r="I261" s="242"/>
      <c r="J261" s="242"/>
      <c r="K261" s="242"/>
      <c r="L261" s="244"/>
      <c r="M261" s="242"/>
      <c r="N261" s="265"/>
      <c r="O261" s="265"/>
      <c r="P261" s="265"/>
      <c r="Q261" s="265"/>
      <c r="R261" s="265"/>
      <c r="S261" s="265"/>
      <c r="T261" s="265"/>
      <c r="U261" s="265"/>
      <c r="V261" s="265"/>
      <c r="W261" s="265"/>
      <c r="X261" s="265"/>
      <c r="Y261" s="265"/>
      <c r="Z261" s="265"/>
      <c r="AA261" s="265"/>
      <c r="AB261" s="265"/>
      <c r="AC261" s="265"/>
      <c r="AD261" s="265"/>
      <c r="AE261" s="265"/>
      <c r="AF261" s="265"/>
      <c r="AG261" s="265"/>
      <c r="AH261" s="265"/>
      <c r="AI261" s="265"/>
      <c r="AJ261" s="265"/>
      <c r="AK261" s="265"/>
      <c r="AL261" s="265"/>
      <c r="AM261" s="244"/>
    </row>
    <row r="262" spans="1:39" ht="18" customHeight="1" x14ac:dyDescent="0.15">
      <c r="A262" s="242"/>
      <c r="B262" s="244"/>
      <c r="C262" s="242"/>
      <c r="D262" s="265"/>
      <c r="E262" s="244"/>
      <c r="F262" s="244"/>
      <c r="G262" s="244"/>
      <c r="H262" s="242"/>
      <c r="I262" s="242"/>
      <c r="J262" s="242"/>
      <c r="K262" s="242"/>
      <c r="L262" s="244"/>
      <c r="M262" s="242"/>
      <c r="N262" s="265"/>
      <c r="O262" s="265"/>
      <c r="P262" s="265"/>
      <c r="Q262" s="265"/>
      <c r="R262" s="265"/>
      <c r="S262" s="265"/>
      <c r="T262" s="265"/>
      <c r="U262" s="265"/>
      <c r="V262" s="265"/>
      <c r="W262" s="265"/>
      <c r="X262" s="265"/>
      <c r="Y262" s="265"/>
      <c r="Z262" s="265"/>
      <c r="AA262" s="265"/>
      <c r="AB262" s="265"/>
      <c r="AC262" s="265"/>
      <c r="AD262" s="265"/>
      <c r="AE262" s="265"/>
      <c r="AF262" s="265"/>
      <c r="AG262" s="265"/>
      <c r="AH262" s="265"/>
      <c r="AI262" s="265"/>
      <c r="AJ262" s="265"/>
      <c r="AK262" s="265"/>
      <c r="AL262" s="265"/>
      <c r="AM262" s="244"/>
    </row>
    <row r="263" spans="1:39" ht="18" customHeight="1" x14ac:dyDescent="0.15">
      <c r="A263" s="242"/>
      <c r="B263" s="244"/>
      <c r="C263" s="242"/>
      <c r="D263" s="265"/>
      <c r="E263" s="244"/>
      <c r="F263" s="244"/>
      <c r="G263" s="244"/>
      <c r="H263" s="242"/>
      <c r="I263" s="242"/>
      <c r="J263" s="242"/>
      <c r="K263" s="242"/>
      <c r="L263" s="244"/>
      <c r="M263" s="242"/>
      <c r="N263" s="265"/>
      <c r="O263" s="265"/>
      <c r="P263" s="265"/>
      <c r="Q263" s="265"/>
      <c r="R263" s="265"/>
      <c r="S263" s="265"/>
      <c r="T263" s="265"/>
      <c r="U263" s="265"/>
      <c r="V263" s="265"/>
      <c r="W263" s="265"/>
      <c r="X263" s="265"/>
      <c r="Y263" s="265"/>
      <c r="Z263" s="265"/>
      <c r="AA263" s="265"/>
      <c r="AB263" s="265"/>
      <c r="AC263" s="265"/>
      <c r="AD263" s="265"/>
      <c r="AE263" s="265"/>
      <c r="AF263" s="265"/>
      <c r="AG263" s="265"/>
      <c r="AH263" s="265"/>
      <c r="AI263" s="265"/>
      <c r="AJ263" s="265"/>
      <c r="AK263" s="265"/>
      <c r="AL263" s="265"/>
      <c r="AM263" s="244"/>
    </row>
    <row r="264" spans="1:39" ht="18" customHeight="1" x14ac:dyDescent="0.15">
      <c r="A264" s="242"/>
      <c r="B264" s="244"/>
      <c r="C264" s="242"/>
      <c r="D264" s="265"/>
      <c r="E264" s="244"/>
      <c r="F264" s="244"/>
      <c r="G264" s="244"/>
      <c r="H264" s="242"/>
      <c r="I264" s="242"/>
      <c r="J264" s="242"/>
      <c r="K264" s="242"/>
      <c r="L264" s="244"/>
      <c r="M264" s="242"/>
      <c r="N264" s="265"/>
      <c r="O264" s="265"/>
      <c r="P264" s="265"/>
      <c r="Q264" s="265"/>
      <c r="R264" s="265"/>
      <c r="S264" s="265"/>
      <c r="T264" s="265"/>
      <c r="U264" s="265"/>
      <c r="V264" s="265"/>
      <c r="W264" s="265"/>
      <c r="X264" s="265"/>
      <c r="Y264" s="265"/>
      <c r="Z264" s="265"/>
      <c r="AA264" s="265"/>
      <c r="AB264" s="265"/>
      <c r="AC264" s="265"/>
      <c r="AD264" s="265"/>
      <c r="AE264" s="265"/>
      <c r="AF264" s="265"/>
      <c r="AG264" s="265"/>
      <c r="AH264" s="265"/>
      <c r="AI264" s="265"/>
      <c r="AJ264" s="265"/>
      <c r="AK264" s="265"/>
      <c r="AL264" s="265"/>
      <c r="AM264" s="244"/>
    </row>
    <row r="265" spans="1:39" ht="18" customHeight="1" x14ac:dyDescent="0.15">
      <c r="A265" s="242"/>
      <c r="B265" s="244"/>
      <c r="C265" s="242"/>
      <c r="D265" s="265"/>
      <c r="E265" s="244"/>
      <c r="F265" s="244"/>
      <c r="G265" s="244"/>
      <c r="H265" s="242"/>
      <c r="I265" s="242"/>
      <c r="J265" s="242"/>
      <c r="K265" s="242"/>
      <c r="L265" s="244"/>
      <c r="M265" s="242"/>
      <c r="N265" s="265"/>
      <c r="O265" s="265"/>
      <c r="P265" s="265"/>
      <c r="Q265" s="265"/>
      <c r="R265" s="265"/>
      <c r="S265" s="265"/>
      <c r="T265" s="265"/>
      <c r="U265" s="265"/>
      <c r="V265" s="265"/>
      <c r="W265" s="265"/>
      <c r="X265" s="265"/>
      <c r="Y265" s="265"/>
      <c r="Z265" s="265"/>
      <c r="AA265" s="265"/>
      <c r="AB265" s="265"/>
      <c r="AC265" s="265"/>
      <c r="AD265" s="265"/>
      <c r="AE265" s="265"/>
      <c r="AF265" s="265"/>
      <c r="AG265" s="265"/>
      <c r="AH265" s="265"/>
      <c r="AI265" s="265"/>
      <c r="AJ265" s="265"/>
      <c r="AK265" s="265"/>
      <c r="AL265" s="265"/>
      <c r="AM265" s="244"/>
    </row>
    <row r="266" spans="1:39" ht="18" customHeight="1" x14ac:dyDescent="0.15">
      <c r="A266" s="242"/>
      <c r="B266" s="244"/>
      <c r="C266" s="242"/>
      <c r="D266" s="265"/>
      <c r="E266" s="244"/>
      <c r="F266" s="244"/>
      <c r="G266" s="244"/>
      <c r="H266" s="242"/>
      <c r="I266" s="242"/>
      <c r="J266" s="242"/>
      <c r="K266" s="242"/>
      <c r="L266" s="244"/>
      <c r="M266" s="242"/>
      <c r="N266" s="265"/>
      <c r="O266" s="265"/>
      <c r="P266" s="265"/>
      <c r="Q266" s="265"/>
      <c r="R266" s="265"/>
      <c r="S266" s="265"/>
      <c r="T266" s="265"/>
      <c r="U266" s="265"/>
      <c r="V266" s="265"/>
      <c r="W266" s="265"/>
      <c r="X266" s="265"/>
      <c r="Y266" s="265"/>
      <c r="Z266" s="265"/>
      <c r="AA266" s="265"/>
      <c r="AB266" s="265"/>
      <c r="AC266" s="265"/>
      <c r="AD266" s="265"/>
      <c r="AE266" s="265"/>
      <c r="AF266" s="265"/>
      <c r="AG266" s="265"/>
      <c r="AH266" s="265"/>
      <c r="AI266" s="265"/>
      <c r="AJ266" s="265"/>
      <c r="AK266" s="265"/>
      <c r="AL266" s="265"/>
      <c r="AM266" s="244"/>
    </row>
    <row r="267" spans="1:39" ht="18" customHeight="1" x14ac:dyDescent="0.15">
      <c r="A267" s="242"/>
      <c r="B267" s="244"/>
      <c r="C267" s="242"/>
      <c r="D267" s="265"/>
      <c r="E267" s="244"/>
      <c r="F267" s="244"/>
      <c r="G267" s="244"/>
      <c r="H267" s="242"/>
      <c r="I267" s="242"/>
      <c r="J267" s="242"/>
      <c r="K267" s="242"/>
      <c r="L267" s="244"/>
      <c r="M267" s="242"/>
      <c r="N267" s="265"/>
      <c r="O267" s="265"/>
      <c r="P267" s="265"/>
      <c r="Q267" s="265"/>
      <c r="R267" s="265"/>
      <c r="S267" s="265"/>
      <c r="T267" s="265"/>
      <c r="U267" s="265"/>
      <c r="V267" s="265"/>
      <c r="W267" s="265"/>
      <c r="X267" s="265"/>
      <c r="Y267" s="265"/>
      <c r="Z267" s="265"/>
      <c r="AA267" s="265"/>
      <c r="AB267" s="265"/>
      <c r="AC267" s="265"/>
      <c r="AD267" s="265"/>
      <c r="AE267" s="265"/>
      <c r="AF267" s="265"/>
      <c r="AG267" s="265"/>
      <c r="AH267" s="265"/>
      <c r="AI267" s="265"/>
      <c r="AJ267" s="265"/>
      <c r="AK267" s="265"/>
      <c r="AL267" s="265"/>
      <c r="AM267" s="244"/>
    </row>
    <row r="268" spans="1:39" ht="18" customHeight="1" x14ac:dyDescent="0.15">
      <c r="A268" s="242"/>
      <c r="B268" s="244"/>
      <c r="C268" s="242"/>
      <c r="D268" s="265"/>
      <c r="E268" s="244"/>
      <c r="F268" s="244"/>
      <c r="G268" s="244"/>
      <c r="H268" s="242"/>
      <c r="I268" s="242"/>
      <c r="J268" s="242"/>
      <c r="K268" s="242"/>
      <c r="L268" s="244"/>
      <c r="M268" s="242"/>
      <c r="N268" s="265"/>
      <c r="O268" s="265"/>
      <c r="P268" s="265"/>
      <c r="Q268" s="265"/>
      <c r="R268" s="265"/>
      <c r="S268" s="265"/>
      <c r="T268" s="265"/>
      <c r="U268" s="265"/>
      <c r="V268" s="265"/>
      <c r="W268" s="265"/>
      <c r="X268" s="265"/>
      <c r="Y268" s="265"/>
      <c r="Z268" s="265"/>
      <c r="AA268" s="265"/>
      <c r="AB268" s="265"/>
      <c r="AC268" s="265"/>
      <c r="AD268" s="265"/>
      <c r="AE268" s="265"/>
      <c r="AF268" s="265"/>
      <c r="AG268" s="265"/>
      <c r="AH268" s="265"/>
      <c r="AI268" s="265"/>
      <c r="AJ268" s="265"/>
      <c r="AK268" s="265"/>
      <c r="AL268" s="265"/>
      <c r="AM268" s="244"/>
    </row>
    <row r="269" spans="1:39" ht="18" customHeight="1" x14ac:dyDescent="0.15">
      <c r="A269" s="242"/>
      <c r="B269" s="244"/>
      <c r="C269" s="242"/>
      <c r="D269" s="265"/>
      <c r="E269" s="244"/>
      <c r="F269" s="244"/>
      <c r="G269" s="244"/>
      <c r="H269" s="242"/>
      <c r="I269" s="242"/>
      <c r="J269" s="242"/>
      <c r="K269" s="242"/>
      <c r="L269" s="244"/>
      <c r="M269" s="242"/>
      <c r="N269" s="265"/>
      <c r="O269" s="265"/>
      <c r="P269" s="265"/>
      <c r="Q269" s="265"/>
      <c r="R269" s="265"/>
      <c r="S269" s="265"/>
      <c r="T269" s="265"/>
      <c r="U269" s="265"/>
      <c r="V269" s="265"/>
      <c r="W269" s="265"/>
      <c r="X269" s="265"/>
      <c r="Y269" s="265"/>
      <c r="Z269" s="265"/>
      <c r="AA269" s="265"/>
      <c r="AB269" s="265"/>
      <c r="AC269" s="265"/>
      <c r="AD269" s="265"/>
      <c r="AE269" s="265"/>
      <c r="AF269" s="265"/>
      <c r="AG269" s="265"/>
      <c r="AH269" s="265"/>
      <c r="AI269" s="265"/>
      <c r="AJ269" s="265"/>
      <c r="AK269" s="265"/>
      <c r="AL269" s="265"/>
      <c r="AM269" s="244"/>
    </row>
    <row r="270" spans="1:39" ht="18" customHeight="1" x14ac:dyDescent="0.15">
      <c r="A270" s="242"/>
      <c r="B270" s="244"/>
      <c r="C270" s="242"/>
      <c r="D270" s="265"/>
      <c r="E270" s="244"/>
      <c r="F270" s="244"/>
      <c r="G270" s="244"/>
      <c r="H270" s="242"/>
      <c r="I270" s="242"/>
      <c r="J270" s="242"/>
      <c r="K270" s="242"/>
      <c r="L270" s="244"/>
      <c r="M270" s="242"/>
      <c r="N270" s="265"/>
      <c r="O270" s="265"/>
      <c r="P270" s="265"/>
      <c r="Q270" s="265"/>
      <c r="R270" s="265"/>
      <c r="S270" s="265"/>
      <c r="T270" s="265"/>
      <c r="U270" s="265"/>
      <c r="V270" s="265"/>
      <c r="W270" s="265"/>
      <c r="X270" s="265"/>
      <c r="Y270" s="265"/>
      <c r="Z270" s="265"/>
      <c r="AA270" s="265"/>
      <c r="AB270" s="265"/>
      <c r="AC270" s="265"/>
      <c r="AD270" s="265"/>
      <c r="AE270" s="265"/>
      <c r="AF270" s="265"/>
      <c r="AG270" s="265"/>
      <c r="AH270" s="265"/>
      <c r="AI270" s="265"/>
      <c r="AJ270" s="265"/>
      <c r="AK270" s="265"/>
      <c r="AL270" s="265"/>
      <c r="AM270" s="244"/>
    </row>
    <row r="271" spans="1:39" ht="18" customHeight="1" x14ac:dyDescent="0.15">
      <c r="A271" s="242"/>
      <c r="B271" s="244"/>
      <c r="C271" s="242"/>
      <c r="D271" s="265"/>
      <c r="E271" s="244"/>
      <c r="F271" s="244"/>
      <c r="G271" s="244"/>
      <c r="H271" s="242"/>
      <c r="I271" s="242"/>
      <c r="J271" s="242"/>
      <c r="K271" s="242"/>
      <c r="L271" s="244"/>
      <c r="M271" s="242"/>
      <c r="N271" s="265"/>
      <c r="O271" s="265"/>
      <c r="P271" s="265"/>
      <c r="Q271" s="265"/>
      <c r="R271" s="265"/>
      <c r="S271" s="265"/>
      <c r="T271" s="265"/>
      <c r="U271" s="265"/>
      <c r="V271" s="265"/>
      <c r="W271" s="265"/>
      <c r="X271" s="265"/>
      <c r="Y271" s="265"/>
      <c r="Z271" s="265"/>
      <c r="AA271" s="265"/>
      <c r="AB271" s="265"/>
      <c r="AC271" s="265"/>
      <c r="AD271" s="265"/>
      <c r="AE271" s="265"/>
      <c r="AF271" s="265"/>
      <c r="AG271" s="265"/>
      <c r="AH271" s="265"/>
      <c r="AI271" s="265"/>
      <c r="AJ271" s="265"/>
      <c r="AK271" s="265"/>
      <c r="AL271" s="265"/>
      <c r="AM271" s="244"/>
    </row>
    <row r="272" spans="1:39" ht="18" customHeight="1" x14ac:dyDescent="0.15">
      <c r="A272" s="242"/>
      <c r="B272" s="244"/>
      <c r="C272" s="242"/>
      <c r="D272" s="265"/>
      <c r="E272" s="244"/>
      <c r="F272" s="244"/>
      <c r="G272" s="244"/>
      <c r="H272" s="242"/>
      <c r="I272" s="242"/>
      <c r="J272" s="242"/>
      <c r="K272" s="242"/>
      <c r="L272" s="244"/>
      <c r="M272" s="242"/>
      <c r="N272" s="265"/>
      <c r="O272" s="265"/>
      <c r="P272" s="265"/>
      <c r="Q272" s="265"/>
      <c r="R272" s="265"/>
      <c r="S272" s="265"/>
      <c r="T272" s="265"/>
      <c r="U272" s="265"/>
      <c r="V272" s="265"/>
      <c r="W272" s="265"/>
      <c r="X272" s="265"/>
      <c r="Y272" s="265"/>
      <c r="Z272" s="265"/>
      <c r="AA272" s="265"/>
      <c r="AB272" s="265"/>
      <c r="AC272" s="265"/>
      <c r="AD272" s="265"/>
      <c r="AE272" s="265"/>
      <c r="AF272" s="265"/>
      <c r="AG272" s="265"/>
      <c r="AH272" s="265"/>
      <c r="AI272" s="265"/>
      <c r="AJ272" s="265"/>
      <c r="AK272" s="265"/>
      <c r="AL272" s="265"/>
      <c r="AM272" s="244"/>
    </row>
    <row r="273" spans="1:39" ht="18" customHeight="1" x14ac:dyDescent="0.15">
      <c r="A273" s="242"/>
      <c r="B273" s="244"/>
      <c r="C273" s="242"/>
      <c r="D273" s="265"/>
      <c r="E273" s="244"/>
      <c r="F273" s="244"/>
      <c r="G273" s="244"/>
      <c r="H273" s="242"/>
      <c r="I273" s="242"/>
      <c r="J273" s="242"/>
      <c r="K273" s="242"/>
      <c r="L273" s="244"/>
      <c r="M273" s="242"/>
      <c r="N273" s="265"/>
      <c r="O273" s="265"/>
      <c r="P273" s="265"/>
      <c r="Q273" s="265"/>
      <c r="R273" s="265"/>
      <c r="S273" s="265"/>
      <c r="T273" s="265"/>
      <c r="U273" s="265"/>
      <c r="V273" s="265"/>
      <c r="W273" s="265"/>
      <c r="X273" s="265"/>
      <c r="Y273" s="265"/>
      <c r="Z273" s="265"/>
      <c r="AA273" s="265"/>
      <c r="AB273" s="265"/>
      <c r="AC273" s="265"/>
      <c r="AD273" s="265"/>
      <c r="AE273" s="265"/>
      <c r="AF273" s="265"/>
      <c r="AG273" s="265"/>
      <c r="AH273" s="265"/>
      <c r="AI273" s="265"/>
      <c r="AJ273" s="265"/>
      <c r="AK273" s="265"/>
      <c r="AL273" s="265"/>
      <c r="AM273" s="244"/>
    </row>
    <row r="274" spans="1:39" ht="18" customHeight="1" x14ac:dyDescent="0.15">
      <c r="A274" s="242"/>
      <c r="B274" s="244"/>
      <c r="C274" s="242"/>
      <c r="D274" s="265"/>
      <c r="E274" s="244"/>
      <c r="F274" s="244"/>
      <c r="G274" s="244"/>
      <c r="H274" s="242"/>
      <c r="I274" s="242"/>
      <c r="J274" s="242"/>
      <c r="K274" s="242"/>
      <c r="L274" s="244"/>
      <c r="M274" s="242"/>
      <c r="N274" s="265"/>
      <c r="O274" s="265"/>
      <c r="P274" s="265"/>
      <c r="Q274" s="265"/>
      <c r="R274" s="265"/>
      <c r="S274" s="265"/>
      <c r="T274" s="265"/>
      <c r="U274" s="265"/>
      <c r="V274" s="265"/>
      <c r="W274" s="265"/>
      <c r="X274" s="265"/>
      <c r="Y274" s="265"/>
      <c r="Z274" s="265"/>
      <c r="AA274" s="265"/>
      <c r="AB274" s="265"/>
      <c r="AC274" s="265"/>
      <c r="AD274" s="265"/>
      <c r="AE274" s="265"/>
      <c r="AF274" s="265"/>
      <c r="AG274" s="265"/>
      <c r="AH274" s="265"/>
      <c r="AI274" s="265"/>
      <c r="AJ274" s="265"/>
      <c r="AK274" s="265"/>
      <c r="AL274" s="265"/>
      <c r="AM274" s="244"/>
    </row>
    <row r="275" spans="1:39" ht="18" customHeight="1" x14ac:dyDescent="0.15">
      <c r="A275" s="242"/>
      <c r="B275" s="244"/>
      <c r="C275" s="242"/>
      <c r="D275" s="265"/>
      <c r="E275" s="244"/>
      <c r="F275" s="244"/>
      <c r="G275" s="244"/>
      <c r="H275" s="242"/>
      <c r="I275" s="242"/>
      <c r="J275" s="242"/>
      <c r="K275" s="242"/>
      <c r="L275" s="244"/>
      <c r="M275" s="242"/>
      <c r="N275" s="265"/>
      <c r="O275" s="265"/>
      <c r="P275" s="265"/>
      <c r="Q275" s="265"/>
      <c r="R275" s="265"/>
      <c r="S275" s="265"/>
      <c r="T275" s="265"/>
      <c r="U275" s="265"/>
      <c r="V275" s="265"/>
      <c r="W275" s="265"/>
      <c r="X275" s="265"/>
      <c r="Y275" s="265"/>
      <c r="Z275" s="265"/>
      <c r="AA275" s="265"/>
      <c r="AB275" s="265"/>
      <c r="AC275" s="265"/>
      <c r="AD275" s="265"/>
      <c r="AE275" s="265"/>
      <c r="AF275" s="265"/>
      <c r="AG275" s="265"/>
      <c r="AH275" s="265"/>
      <c r="AI275" s="265"/>
      <c r="AJ275" s="265"/>
      <c r="AK275" s="265"/>
      <c r="AL275" s="265"/>
      <c r="AM275" s="244"/>
    </row>
    <row r="276" spans="1:39" ht="18" customHeight="1" x14ac:dyDescent="0.15">
      <c r="A276" s="242"/>
      <c r="B276" s="244"/>
      <c r="C276" s="242"/>
      <c r="D276" s="265"/>
      <c r="E276" s="244"/>
      <c r="F276" s="244"/>
      <c r="G276" s="244"/>
      <c r="H276" s="242"/>
      <c r="I276" s="242"/>
      <c r="J276" s="242"/>
      <c r="K276" s="242"/>
      <c r="L276" s="244"/>
      <c r="M276" s="242"/>
      <c r="N276" s="265"/>
      <c r="O276" s="265"/>
      <c r="P276" s="265"/>
      <c r="Q276" s="265"/>
      <c r="R276" s="265"/>
      <c r="S276" s="265"/>
      <c r="T276" s="265"/>
      <c r="U276" s="265"/>
      <c r="V276" s="265"/>
      <c r="W276" s="265"/>
      <c r="X276" s="265"/>
      <c r="Y276" s="265"/>
      <c r="Z276" s="265"/>
      <c r="AA276" s="265"/>
      <c r="AB276" s="265"/>
      <c r="AC276" s="265"/>
      <c r="AD276" s="265"/>
      <c r="AE276" s="265"/>
      <c r="AF276" s="265"/>
      <c r="AG276" s="265"/>
      <c r="AH276" s="265"/>
      <c r="AI276" s="265"/>
      <c r="AJ276" s="265"/>
      <c r="AK276" s="265"/>
      <c r="AL276" s="265"/>
      <c r="AM276" s="244"/>
    </row>
    <row r="277" spans="1:39" ht="18" customHeight="1" x14ac:dyDescent="0.15">
      <c r="A277" s="242"/>
      <c r="B277" s="244"/>
      <c r="C277" s="242"/>
      <c r="D277" s="265"/>
      <c r="E277" s="244"/>
      <c r="F277" s="244"/>
      <c r="G277" s="244"/>
      <c r="H277" s="242"/>
      <c r="I277" s="242"/>
      <c r="J277" s="242"/>
      <c r="K277" s="242"/>
      <c r="L277" s="244"/>
      <c r="M277" s="242"/>
      <c r="N277" s="265"/>
      <c r="O277" s="265"/>
      <c r="P277" s="265"/>
      <c r="Q277" s="265"/>
      <c r="R277" s="265"/>
      <c r="S277" s="265"/>
      <c r="T277" s="265"/>
      <c r="U277" s="265"/>
      <c r="V277" s="265"/>
      <c r="W277" s="265"/>
      <c r="X277" s="265"/>
      <c r="Y277" s="265"/>
      <c r="Z277" s="265"/>
      <c r="AA277" s="265"/>
      <c r="AB277" s="265"/>
      <c r="AC277" s="265"/>
      <c r="AD277" s="265"/>
      <c r="AE277" s="265"/>
      <c r="AF277" s="265"/>
      <c r="AG277" s="265"/>
      <c r="AH277" s="265"/>
      <c r="AI277" s="265"/>
      <c r="AJ277" s="265"/>
      <c r="AK277" s="265"/>
      <c r="AL277" s="265"/>
      <c r="AM277" s="244"/>
    </row>
    <row r="278" spans="1:39" ht="18" customHeight="1" x14ac:dyDescent="0.15">
      <c r="A278" s="242"/>
      <c r="B278" s="244"/>
      <c r="C278" s="242"/>
      <c r="D278" s="265"/>
      <c r="E278" s="244"/>
      <c r="F278" s="244"/>
      <c r="G278" s="244"/>
      <c r="H278" s="242"/>
      <c r="I278" s="242"/>
      <c r="J278" s="242"/>
      <c r="K278" s="242"/>
      <c r="L278" s="244"/>
      <c r="M278" s="242"/>
      <c r="N278" s="265"/>
      <c r="O278" s="265"/>
      <c r="P278" s="265"/>
      <c r="Q278" s="265"/>
      <c r="R278" s="265"/>
      <c r="S278" s="265"/>
      <c r="T278" s="265"/>
      <c r="U278" s="265"/>
      <c r="V278" s="265"/>
      <c r="W278" s="265"/>
      <c r="X278" s="265"/>
      <c r="Y278" s="265"/>
      <c r="Z278" s="265"/>
      <c r="AA278" s="265"/>
      <c r="AB278" s="265"/>
      <c r="AC278" s="265"/>
      <c r="AD278" s="265"/>
      <c r="AE278" s="265"/>
      <c r="AF278" s="265"/>
      <c r="AG278" s="265"/>
      <c r="AH278" s="265"/>
      <c r="AI278" s="265"/>
      <c r="AJ278" s="265"/>
      <c r="AK278" s="265"/>
      <c r="AL278" s="265"/>
      <c r="AM278" s="244"/>
    </row>
    <row r="279" spans="1:39" ht="18" customHeight="1" x14ac:dyDescent="0.15">
      <c r="A279" s="242"/>
      <c r="B279" s="244"/>
      <c r="C279" s="242"/>
      <c r="D279" s="265"/>
      <c r="E279" s="244"/>
      <c r="F279" s="244"/>
      <c r="G279" s="244"/>
      <c r="H279" s="242"/>
      <c r="I279" s="242"/>
      <c r="J279" s="242"/>
      <c r="K279" s="242"/>
      <c r="L279" s="244"/>
      <c r="M279" s="242"/>
      <c r="N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44"/>
    </row>
    <row r="280" spans="1:39" ht="18" customHeight="1" x14ac:dyDescent="0.15">
      <c r="A280" s="242"/>
      <c r="B280" s="244"/>
      <c r="C280" s="242"/>
      <c r="D280" s="265"/>
      <c r="E280" s="244"/>
      <c r="F280" s="244"/>
      <c r="G280" s="244"/>
      <c r="H280" s="242"/>
      <c r="I280" s="242"/>
      <c r="J280" s="242"/>
      <c r="K280" s="242"/>
      <c r="L280" s="244"/>
      <c r="M280" s="242"/>
      <c r="N280" s="265"/>
      <c r="O280" s="265"/>
      <c r="P280" s="265"/>
      <c r="Q280" s="265"/>
      <c r="R280" s="265"/>
      <c r="S280" s="265"/>
      <c r="T280" s="265"/>
      <c r="U280" s="265"/>
      <c r="V280" s="265"/>
      <c r="W280" s="265"/>
      <c r="X280" s="265"/>
      <c r="Y280" s="265"/>
      <c r="Z280" s="265"/>
      <c r="AA280" s="265"/>
      <c r="AB280" s="265"/>
      <c r="AC280" s="265"/>
      <c r="AD280" s="265"/>
      <c r="AE280" s="265"/>
      <c r="AF280" s="265"/>
      <c r="AG280" s="265"/>
      <c r="AH280" s="265"/>
      <c r="AI280" s="265"/>
      <c r="AJ280" s="265"/>
      <c r="AK280" s="265"/>
      <c r="AL280" s="265"/>
      <c r="AM280" s="244"/>
    </row>
    <row r="281" spans="1:39" ht="18" customHeight="1" x14ac:dyDescent="0.15">
      <c r="A281" s="242"/>
      <c r="B281" s="244"/>
      <c r="C281" s="242"/>
      <c r="D281" s="265"/>
      <c r="E281" s="244"/>
      <c r="F281" s="244"/>
      <c r="G281" s="244"/>
      <c r="H281" s="242"/>
      <c r="I281" s="242"/>
      <c r="J281" s="242"/>
      <c r="K281" s="242"/>
      <c r="L281" s="244"/>
      <c r="M281" s="242"/>
      <c r="N281" s="265"/>
      <c r="O281" s="265"/>
      <c r="P281" s="265"/>
      <c r="Q281" s="265"/>
      <c r="R281" s="265"/>
      <c r="S281" s="265"/>
      <c r="T281" s="265"/>
      <c r="U281" s="265"/>
      <c r="V281" s="265"/>
      <c r="W281" s="265"/>
      <c r="X281" s="265"/>
      <c r="Y281" s="265"/>
      <c r="Z281" s="265"/>
      <c r="AA281" s="265"/>
      <c r="AB281" s="265"/>
      <c r="AC281" s="265"/>
      <c r="AD281" s="265"/>
      <c r="AE281" s="265"/>
      <c r="AF281" s="265"/>
      <c r="AG281" s="265"/>
      <c r="AH281" s="265"/>
      <c r="AI281" s="265"/>
      <c r="AJ281" s="265"/>
      <c r="AK281" s="265"/>
      <c r="AL281" s="265"/>
      <c r="AM281" s="244"/>
    </row>
    <row r="282" spans="1:39" ht="18" customHeight="1" x14ac:dyDescent="0.15">
      <c r="A282" s="242"/>
      <c r="B282" s="244"/>
      <c r="C282" s="242"/>
      <c r="D282" s="265"/>
      <c r="E282" s="244"/>
      <c r="F282" s="244"/>
      <c r="G282" s="244"/>
      <c r="H282" s="242"/>
      <c r="I282" s="242"/>
      <c r="J282" s="242"/>
      <c r="K282" s="242"/>
      <c r="L282" s="244"/>
      <c r="M282" s="242"/>
      <c r="N282" s="265"/>
      <c r="O282" s="265"/>
      <c r="P282" s="265"/>
      <c r="Q282" s="265"/>
      <c r="R282" s="265"/>
      <c r="S282" s="265"/>
      <c r="T282" s="265"/>
      <c r="U282" s="265"/>
      <c r="V282" s="265"/>
      <c r="W282" s="265"/>
      <c r="X282" s="265"/>
      <c r="Y282" s="265"/>
      <c r="Z282" s="265"/>
      <c r="AA282" s="265"/>
      <c r="AB282" s="265"/>
      <c r="AC282" s="265"/>
      <c r="AD282" s="265"/>
      <c r="AE282" s="265"/>
      <c r="AF282" s="265"/>
      <c r="AG282" s="265"/>
      <c r="AH282" s="265"/>
      <c r="AI282" s="265"/>
      <c r="AJ282" s="265"/>
      <c r="AK282" s="265"/>
      <c r="AL282" s="265"/>
      <c r="AM282" s="244"/>
    </row>
    <row r="283" spans="1:39" ht="18" customHeight="1" x14ac:dyDescent="0.15">
      <c r="A283" s="242"/>
      <c r="B283" s="244"/>
      <c r="C283" s="242"/>
      <c r="D283" s="265"/>
      <c r="E283" s="244"/>
      <c r="F283" s="244"/>
      <c r="G283" s="244"/>
      <c r="H283" s="242"/>
      <c r="I283" s="242"/>
      <c r="J283" s="242"/>
      <c r="K283" s="242"/>
      <c r="L283" s="244"/>
      <c r="M283" s="242"/>
      <c r="N283" s="265"/>
      <c r="O283" s="265"/>
      <c r="P283" s="265"/>
      <c r="Q283" s="265"/>
      <c r="R283" s="265"/>
      <c r="S283" s="265"/>
      <c r="T283" s="265"/>
      <c r="U283" s="265"/>
      <c r="V283" s="265"/>
      <c r="W283" s="265"/>
      <c r="X283" s="265"/>
      <c r="Y283" s="265"/>
      <c r="Z283" s="265"/>
      <c r="AA283" s="265"/>
      <c r="AB283" s="265"/>
      <c r="AC283" s="265"/>
      <c r="AD283" s="265"/>
      <c r="AE283" s="265"/>
      <c r="AF283" s="265"/>
      <c r="AG283" s="265"/>
      <c r="AH283" s="265"/>
      <c r="AI283" s="265"/>
      <c r="AJ283" s="265"/>
      <c r="AK283" s="265"/>
      <c r="AL283" s="265"/>
      <c r="AM283" s="244"/>
    </row>
    <row r="284" spans="1:39" ht="18" customHeight="1" x14ac:dyDescent="0.15">
      <c r="A284" s="242"/>
      <c r="B284" s="244"/>
      <c r="C284" s="242"/>
      <c r="D284" s="265"/>
      <c r="E284" s="244"/>
      <c r="F284" s="244"/>
      <c r="G284" s="244"/>
      <c r="H284" s="242"/>
      <c r="I284" s="242"/>
      <c r="J284" s="242"/>
      <c r="K284" s="242"/>
      <c r="L284" s="244"/>
      <c r="M284" s="242"/>
      <c r="N284" s="265"/>
      <c r="O284" s="265"/>
      <c r="P284" s="265"/>
      <c r="Q284" s="265"/>
      <c r="R284" s="265"/>
      <c r="S284" s="265"/>
      <c r="T284" s="265"/>
      <c r="U284" s="265"/>
      <c r="V284" s="265"/>
      <c r="W284" s="265"/>
      <c r="X284" s="265"/>
      <c r="Y284" s="265"/>
      <c r="Z284" s="265"/>
      <c r="AA284" s="265"/>
      <c r="AB284" s="265"/>
      <c r="AC284" s="265"/>
      <c r="AD284" s="265"/>
      <c r="AE284" s="265"/>
      <c r="AF284" s="265"/>
      <c r="AG284" s="265"/>
      <c r="AH284" s="265"/>
      <c r="AI284" s="265"/>
      <c r="AJ284" s="265"/>
      <c r="AK284" s="265"/>
      <c r="AL284" s="265"/>
      <c r="AM284" s="244"/>
    </row>
    <row r="285" spans="1:39" ht="18" customHeight="1" x14ac:dyDescent="0.15">
      <c r="A285" s="242"/>
      <c r="B285" s="244"/>
      <c r="C285" s="242"/>
      <c r="D285" s="265"/>
      <c r="E285" s="244"/>
      <c r="F285" s="244"/>
      <c r="G285" s="244"/>
      <c r="H285" s="242"/>
      <c r="I285" s="242"/>
      <c r="J285" s="242"/>
      <c r="K285" s="242"/>
      <c r="L285" s="244"/>
      <c r="M285" s="242"/>
      <c r="N285" s="265"/>
      <c r="O285" s="265"/>
      <c r="P285" s="265"/>
      <c r="Q285" s="265"/>
      <c r="R285" s="265"/>
      <c r="S285" s="265"/>
      <c r="T285" s="265"/>
      <c r="U285" s="265"/>
      <c r="V285" s="265"/>
      <c r="W285" s="265"/>
      <c r="X285" s="265"/>
      <c r="Y285" s="265"/>
      <c r="Z285" s="265"/>
      <c r="AA285" s="265"/>
      <c r="AB285" s="265"/>
      <c r="AC285" s="265"/>
      <c r="AD285" s="265"/>
      <c r="AE285" s="265"/>
      <c r="AF285" s="265"/>
      <c r="AG285" s="265"/>
      <c r="AH285" s="265"/>
      <c r="AI285" s="265"/>
      <c r="AJ285" s="265"/>
      <c r="AK285" s="265"/>
      <c r="AL285" s="265"/>
      <c r="AM285" s="244"/>
    </row>
    <row r="286" spans="1:39" ht="18" customHeight="1" x14ac:dyDescent="0.15">
      <c r="A286" s="242"/>
      <c r="B286" s="244"/>
      <c r="C286" s="242"/>
      <c r="D286" s="265"/>
      <c r="E286" s="244"/>
      <c r="F286" s="244"/>
      <c r="G286" s="244"/>
      <c r="H286" s="242"/>
      <c r="I286" s="242"/>
      <c r="J286" s="242"/>
      <c r="K286" s="242"/>
      <c r="L286" s="244"/>
      <c r="M286" s="242"/>
      <c r="N286" s="265"/>
      <c r="O286" s="265"/>
      <c r="P286" s="265"/>
      <c r="Q286" s="265"/>
      <c r="R286" s="265"/>
      <c r="S286" s="265"/>
      <c r="T286" s="265"/>
      <c r="U286" s="265"/>
      <c r="V286" s="265"/>
      <c r="W286" s="265"/>
      <c r="X286" s="265"/>
      <c r="Y286" s="265"/>
      <c r="Z286" s="265"/>
      <c r="AA286" s="265"/>
      <c r="AB286" s="265"/>
      <c r="AC286" s="265"/>
      <c r="AD286" s="265"/>
      <c r="AE286" s="265"/>
      <c r="AF286" s="265"/>
      <c r="AG286" s="265"/>
      <c r="AH286" s="265"/>
      <c r="AI286" s="265"/>
      <c r="AJ286" s="265"/>
      <c r="AK286" s="265"/>
      <c r="AL286" s="265"/>
      <c r="AM286" s="244"/>
    </row>
    <row r="287" spans="1:39" ht="18" customHeight="1" x14ac:dyDescent="0.15">
      <c r="A287" s="242"/>
      <c r="B287" s="244"/>
      <c r="C287" s="242"/>
      <c r="D287" s="265"/>
      <c r="E287" s="244"/>
      <c r="F287" s="244"/>
      <c r="G287" s="244"/>
      <c r="H287" s="242"/>
      <c r="I287" s="242"/>
      <c r="J287" s="242"/>
      <c r="K287" s="242"/>
      <c r="L287" s="244"/>
      <c r="M287" s="242"/>
      <c r="N287" s="265"/>
      <c r="O287" s="265"/>
      <c r="P287" s="265"/>
      <c r="Q287" s="265"/>
      <c r="R287" s="265"/>
      <c r="S287" s="265"/>
      <c r="T287" s="265"/>
      <c r="U287" s="265"/>
      <c r="V287" s="265"/>
      <c r="W287" s="265"/>
      <c r="X287" s="265"/>
      <c r="Y287" s="265"/>
      <c r="Z287" s="265"/>
      <c r="AA287" s="265"/>
      <c r="AB287" s="265"/>
      <c r="AC287" s="265"/>
      <c r="AD287" s="265"/>
      <c r="AE287" s="265"/>
      <c r="AF287" s="265"/>
      <c r="AG287" s="265"/>
      <c r="AH287" s="265"/>
      <c r="AI287" s="265"/>
      <c r="AJ287" s="265"/>
      <c r="AK287" s="265"/>
      <c r="AL287" s="265"/>
      <c r="AM287" s="244"/>
    </row>
    <row r="288" spans="1:39" ht="18" customHeight="1" x14ac:dyDescent="0.15">
      <c r="A288" s="242"/>
      <c r="B288" s="244"/>
      <c r="C288" s="242"/>
      <c r="D288" s="265"/>
      <c r="E288" s="244"/>
      <c r="F288" s="244"/>
      <c r="G288" s="244"/>
      <c r="H288" s="242"/>
      <c r="I288" s="242"/>
      <c r="J288" s="242"/>
      <c r="K288" s="242"/>
      <c r="L288" s="244"/>
      <c r="M288" s="242"/>
      <c r="N288" s="265"/>
      <c r="O288" s="265"/>
      <c r="P288" s="265"/>
      <c r="Q288" s="265"/>
      <c r="R288" s="265"/>
      <c r="S288" s="265"/>
      <c r="T288" s="265"/>
      <c r="U288" s="265"/>
      <c r="V288" s="265"/>
      <c r="W288" s="265"/>
      <c r="X288" s="265"/>
      <c r="Y288" s="265"/>
      <c r="Z288" s="265"/>
      <c r="AA288" s="265"/>
      <c r="AB288" s="265"/>
      <c r="AC288" s="265"/>
      <c r="AD288" s="265"/>
      <c r="AE288" s="265"/>
      <c r="AF288" s="265"/>
      <c r="AG288" s="265"/>
      <c r="AH288" s="265"/>
      <c r="AI288" s="265"/>
      <c r="AJ288" s="265"/>
      <c r="AK288" s="265"/>
      <c r="AL288" s="265"/>
      <c r="AM288" s="244"/>
    </row>
    <row r="289" spans="1:39" ht="18" customHeight="1" x14ac:dyDescent="0.15">
      <c r="A289" s="242"/>
      <c r="B289" s="244"/>
      <c r="C289" s="242"/>
      <c r="D289" s="265"/>
      <c r="E289" s="244"/>
      <c r="F289" s="244"/>
      <c r="G289" s="244"/>
      <c r="H289" s="242"/>
      <c r="I289" s="242"/>
      <c r="J289" s="242"/>
      <c r="K289" s="242"/>
      <c r="L289" s="244"/>
      <c r="M289" s="242"/>
      <c r="N289" s="265"/>
      <c r="O289" s="265"/>
      <c r="P289" s="265"/>
      <c r="Q289" s="265"/>
      <c r="R289" s="265"/>
      <c r="S289" s="265"/>
      <c r="T289" s="265"/>
      <c r="U289" s="265"/>
      <c r="V289" s="265"/>
      <c r="W289" s="265"/>
      <c r="X289" s="265"/>
      <c r="Y289" s="265"/>
      <c r="Z289" s="265"/>
      <c r="AA289" s="265"/>
      <c r="AB289" s="265"/>
      <c r="AC289" s="265"/>
      <c r="AD289" s="265"/>
      <c r="AE289" s="265"/>
      <c r="AF289" s="265"/>
      <c r="AG289" s="265"/>
      <c r="AH289" s="265"/>
      <c r="AI289" s="265"/>
      <c r="AJ289" s="265"/>
      <c r="AK289" s="265"/>
      <c r="AL289" s="265"/>
      <c r="AM289" s="244"/>
    </row>
    <row r="290" spans="1:39" ht="18" customHeight="1" x14ac:dyDescent="0.15">
      <c r="A290" s="242"/>
      <c r="B290" s="244"/>
      <c r="C290" s="242"/>
      <c r="D290" s="265"/>
      <c r="E290" s="244"/>
      <c r="F290" s="244"/>
      <c r="G290" s="244"/>
      <c r="H290" s="242"/>
      <c r="I290" s="242"/>
      <c r="J290" s="242"/>
      <c r="K290" s="242"/>
      <c r="L290" s="244"/>
      <c r="M290" s="242"/>
      <c r="N290" s="265"/>
      <c r="O290" s="265"/>
      <c r="P290" s="265"/>
      <c r="Q290" s="265"/>
      <c r="R290" s="265"/>
      <c r="S290" s="265"/>
      <c r="T290" s="265"/>
      <c r="U290" s="265"/>
      <c r="V290" s="265"/>
      <c r="W290" s="265"/>
      <c r="X290" s="265"/>
      <c r="Y290" s="265"/>
      <c r="Z290" s="265"/>
      <c r="AA290" s="265"/>
      <c r="AB290" s="265"/>
      <c r="AC290" s="265"/>
      <c r="AD290" s="265"/>
      <c r="AE290" s="265"/>
      <c r="AF290" s="265"/>
      <c r="AG290" s="265"/>
      <c r="AH290" s="265"/>
      <c r="AI290" s="265"/>
      <c r="AJ290" s="265"/>
      <c r="AK290" s="265"/>
      <c r="AL290" s="265"/>
      <c r="AM290" s="244"/>
    </row>
    <row r="291" spans="1:39" ht="18" customHeight="1" x14ac:dyDescent="0.15">
      <c r="A291" s="242"/>
      <c r="B291" s="244"/>
      <c r="C291" s="242"/>
      <c r="D291" s="265"/>
      <c r="E291" s="244"/>
      <c r="F291" s="244"/>
      <c r="G291" s="244"/>
      <c r="H291" s="242"/>
      <c r="I291" s="242"/>
      <c r="J291" s="242"/>
      <c r="K291" s="242"/>
      <c r="L291" s="244"/>
      <c r="M291" s="242"/>
      <c r="N291" s="265"/>
      <c r="O291" s="265"/>
      <c r="P291" s="265"/>
      <c r="Q291" s="265"/>
      <c r="R291" s="265"/>
      <c r="S291" s="265"/>
      <c r="T291" s="265"/>
      <c r="U291" s="265"/>
      <c r="V291" s="265"/>
      <c r="W291" s="265"/>
      <c r="X291" s="265"/>
      <c r="Y291" s="265"/>
      <c r="Z291" s="265"/>
      <c r="AA291" s="265"/>
      <c r="AB291" s="265"/>
      <c r="AC291" s="265"/>
      <c r="AD291" s="265"/>
      <c r="AE291" s="265"/>
      <c r="AF291" s="265"/>
      <c r="AG291" s="265"/>
      <c r="AH291" s="265"/>
      <c r="AI291" s="265"/>
      <c r="AJ291" s="265"/>
      <c r="AK291" s="265"/>
      <c r="AL291" s="265"/>
      <c r="AM291" s="244"/>
    </row>
    <row r="292" spans="1:39" ht="18" customHeight="1" x14ac:dyDescent="0.15">
      <c r="A292" s="242"/>
      <c r="B292" s="244"/>
      <c r="C292" s="242"/>
      <c r="D292" s="265"/>
      <c r="E292" s="244"/>
      <c r="F292" s="244"/>
      <c r="G292" s="244"/>
      <c r="H292" s="242"/>
      <c r="I292" s="242"/>
      <c r="J292" s="242"/>
      <c r="K292" s="242"/>
      <c r="L292" s="244"/>
      <c r="M292" s="242"/>
      <c r="N292" s="265"/>
      <c r="O292" s="265"/>
      <c r="P292" s="265"/>
      <c r="Q292" s="265"/>
      <c r="R292" s="265"/>
      <c r="S292" s="265"/>
      <c r="T292" s="265"/>
      <c r="U292" s="265"/>
      <c r="V292" s="265"/>
      <c r="W292" s="265"/>
      <c r="X292" s="265"/>
      <c r="Y292" s="265"/>
      <c r="Z292" s="265"/>
      <c r="AA292" s="265"/>
      <c r="AB292" s="265"/>
      <c r="AC292" s="265"/>
      <c r="AD292" s="265"/>
      <c r="AE292" s="265"/>
      <c r="AF292" s="265"/>
      <c r="AG292" s="265"/>
      <c r="AH292" s="265"/>
      <c r="AI292" s="265"/>
      <c r="AJ292" s="265"/>
      <c r="AK292" s="265"/>
      <c r="AL292" s="265"/>
      <c r="AM292" s="244"/>
    </row>
    <row r="293" spans="1:39" ht="18" customHeight="1" x14ac:dyDescent="0.15">
      <c r="A293" s="242"/>
      <c r="B293" s="244"/>
      <c r="C293" s="242"/>
      <c r="D293" s="265"/>
      <c r="E293" s="244"/>
      <c r="F293" s="244"/>
      <c r="G293" s="244"/>
      <c r="H293" s="242"/>
      <c r="I293" s="242"/>
      <c r="J293" s="242"/>
      <c r="K293" s="242"/>
      <c r="L293" s="244"/>
      <c r="M293" s="242"/>
      <c r="N293" s="265"/>
      <c r="O293" s="265"/>
      <c r="P293" s="265"/>
      <c r="Q293" s="265"/>
      <c r="R293" s="265"/>
      <c r="S293" s="265"/>
      <c r="T293" s="265"/>
      <c r="U293" s="265"/>
      <c r="V293" s="265"/>
      <c r="W293" s="265"/>
      <c r="X293" s="265"/>
      <c r="Y293" s="265"/>
      <c r="Z293" s="265"/>
      <c r="AA293" s="265"/>
      <c r="AB293" s="265"/>
      <c r="AC293" s="265"/>
      <c r="AD293" s="265"/>
      <c r="AE293" s="265"/>
      <c r="AF293" s="265"/>
      <c r="AG293" s="265"/>
      <c r="AH293" s="265"/>
      <c r="AI293" s="265"/>
      <c r="AJ293" s="265"/>
      <c r="AK293" s="265"/>
      <c r="AL293" s="265"/>
      <c r="AM293" s="244"/>
    </row>
    <row r="294" spans="1:39" ht="18" customHeight="1" x14ac:dyDescent="0.15">
      <c r="A294" s="242"/>
      <c r="B294" s="244"/>
      <c r="C294" s="242"/>
      <c r="D294" s="265"/>
      <c r="E294" s="244"/>
      <c r="F294" s="244"/>
      <c r="G294" s="244"/>
      <c r="H294" s="242"/>
      <c r="I294" s="242"/>
      <c r="J294" s="242"/>
      <c r="K294" s="242"/>
      <c r="L294" s="244"/>
      <c r="M294" s="242"/>
      <c r="N294" s="265"/>
      <c r="O294" s="265"/>
      <c r="P294" s="265"/>
      <c r="Q294" s="265"/>
      <c r="R294" s="265"/>
      <c r="S294" s="265"/>
      <c r="T294" s="265"/>
      <c r="U294" s="265"/>
      <c r="V294" s="265"/>
      <c r="W294" s="265"/>
      <c r="X294" s="265"/>
      <c r="Y294" s="265"/>
      <c r="Z294" s="265"/>
      <c r="AA294" s="265"/>
      <c r="AB294" s="265"/>
      <c r="AC294" s="265"/>
      <c r="AD294" s="265"/>
      <c r="AE294" s="265"/>
      <c r="AF294" s="265"/>
      <c r="AG294" s="265"/>
      <c r="AH294" s="265"/>
      <c r="AI294" s="265"/>
      <c r="AJ294" s="265"/>
      <c r="AK294" s="265"/>
      <c r="AL294" s="265"/>
      <c r="AM294" s="244"/>
    </row>
    <row r="295" spans="1:39" ht="18" customHeight="1" x14ac:dyDescent="0.15">
      <c r="A295" s="242"/>
      <c r="B295" s="244"/>
      <c r="C295" s="242"/>
      <c r="D295" s="265"/>
      <c r="E295" s="244"/>
      <c r="F295" s="244"/>
      <c r="G295" s="244"/>
      <c r="H295" s="242"/>
      <c r="I295" s="242"/>
      <c r="J295" s="242"/>
      <c r="K295" s="242"/>
      <c r="L295" s="244"/>
      <c r="M295" s="242"/>
      <c r="N295" s="265"/>
      <c r="O295" s="265"/>
      <c r="P295" s="265"/>
      <c r="Q295" s="265"/>
      <c r="R295" s="265"/>
      <c r="S295" s="265"/>
      <c r="T295" s="265"/>
      <c r="U295" s="265"/>
      <c r="V295" s="265"/>
      <c r="W295" s="265"/>
      <c r="X295" s="265"/>
      <c r="Y295" s="265"/>
      <c r="Z295" s="265"/>
      <c r="AA295" s="265"/>
      <c r="AB295" s="265"/>
      <c r="AC295" s="265"/>
      <c r="AD295" s="265"/>
      <c r="AE295" s="265"/>
      <c r="AF295" s="265"/>
      <c r="AG295" s="265"/>
      <c r="AH295" s="265"/>
      <c r="AI295" s="265"/>
      <c r="AJ295" s="265"/>
      <c r="AK295" s="265"/>
      <c r="AL295" s="265"/>
      <c r="AM295" s="244"/>
    </row>
    <row r="296" spans="1:39" ht="18" customHeight="1" x14ac:dyDescent="0.15">
      <c r="A296" s="242"/>
      <c r="B296" s="244"/>
      <c r="C296" s="242"/>
      <c r="D296" s="265"/>
      <c r="E296" s="244"/>
      <c r="F296" s="244"/>
      <c r="G296" s="244"/>
      <c r="H296" s="242"/>
      <c r="I296" s="242"/>
      <c r="J296" s="242"/>
      <c r="K296" s="242"/>
      <c r="L296" s="244"/>
      <c r="M296" s="242"/>
      <c r="N296" s="265"/>
      <c r="O296" s="265"/>
      <c r="P296" s="265"/>
      <c r="Q296" s="265"/>
      <c r="R296" s="265"/>
      <c r="S296" s="265"/>
      <c r="T296" s="265"/>
      <c r="U296" s="265"/>
      <c r="V296" s="265"/>
      <c r="W296" s="265"/>
      <c r="X296" s="265"/>
      <c r="Y296" s="265"/>
      <c r="Z296" s="265"/>
      <c r="AA296" s="265"/>
      <c r="AB296" s="265"/>
      <c r="AC296" s="265"/>
      <c r="AD296" s="265"/>
      <c r="AE296" s="265"/>
      <c r="AF296" s="265"/>
      <c r="AG296" s="265"/>
      <c r="AH296" s="265"/>
      <c r="AI296" s="265"/>
      <c r="AJ296" s="265"/>
      <c r="AK296" s="265"/>
      <c r="AL296" s="265"/>
      <c r="AM296" s="244"/>
    </row>
    <row r="297" spans="1:39" ht="18" customHeight="1" x14ac:dyDescent="0.15">
      <c r="A297" s="242"/>
      <c r="B297" s="244"/>
      <c r="C297" s="242"/>
      <c r="D297" s="265"/>
      <c r="E297" s="244"/>
      <c r="F297" s="244"/>
      <c r="G297" s="244"/>
      <c r="H297" s="242"/>
      <c r="I297" s="242"/>
      <c r="J297" s="242"/>
      <c r="K297" s="242"/>
      <c r="L297" s="244"/>
      <c r="M297" s="242"/>
      <c r="N297" s="265"/>
      <c r="O297" s="265"/>
      <c r="P297" s="265"/>
      <c r="Q297" s="265"/>
      <c r="R297" s="265"/>
      <c r="S297" s="265"/>
      <c r="T297" s="265"/>
      <c r="U297" s="265"/>
      <c r="V297" s="265"/>
      <c r="W297" s="265"/>
      <c r="X297" s="265"/>
      <c r="Y297" s="265"/>
      <c r="Z297" s="265"/>
      <c r="AA297" s="265"/>
      <c r="AB297" s="265"/>
      <c r="AC297" s="265"/>
      <c r="AD297" s="265"/>
      <c r="AE297" s="265"/>
      <c r="AF297" s="265"/>
      <c r="AG297" s="265"/>
      <c r="AH297" s="265"/>
      <c r="AI297" s="265"/>
      <c r="AJ297" s="265"/>
      <c r="AK297" s="265"/>
      <c r="AL297" s="265"/>
      <c r="AM297" s="244"/>
    </row>
    <row r="298" spans="1:39" ht="18" customHeight="1" x14ac:dyDescent="0.15">
      <c r="A298" s="242"/>
      <c r="B298" s="244"/>
      <c r="C298" s="242"/>
      <c r="D298" s="265"/>
      <c r="E298" s="244"/>
      <c r="F298" s="244"/>
      <c r="G298" s="244"/>
      <c r="H298" s="242"/>
      <c r="I298" s="242"/>
      <c r="J298" s="242"/>
      <c r="K298" s="242"/>
      <c r="L298" s="244"/>
      <c r="M298" s="242"/>
      <c r="N298" s="265"/>
      <c r="O298" s="265"/>
      <c r="P298" s="265"/>
      <c r="Q298" s="265"/>
      <c r="R298" s="265"/>
      <c r="S298" s="265"/>
      <c r="T298" s="265"/>
      <c r="U298" s="265"/>
      <c r="V298" s="265"/>
      <c r="W298" s="265"/>
      <c r="X298" s="265"/>
      <c r="Y298" s="265"/>
      <c r="Z298" s="265"/>
      <c r="AA298" s="265"/>
      <c r="AB298" s="265"/>
      <c r="AC298" s="265"/>
      <c r="AD298" s="265"/>
      <c r="AE298" s="265"/>
      <c r="AF298" s="265"/>
      <c r="AG298" s="265"/>
      <c r="AH298" s="265"/>
      <c r="AI298" s="265"/>
      <c r="AJ298" s="265"/>
      <c r="AK298" s="265"/>
      <c r="AL298" s="265"/>
      <c r="AM298" s="244"/>
    </row>
    <row r="299" spans="1:39" ht="18" customHeight="1" x14ac:dyDescent="0.15">
      <c r="A299" s="242"/>
      <c r="B299" s="244"/>
      <c r="C299" s="242"/>
      <c r="D299" s="265"/>
      <c r="E299" s="244"/>
      <c r="F299" s="244"/>
      <c r="G299" s="244"/>
      <c r="H299" s="242"/>
      <c r="I299" s="242"/>
      <c r="J299" s="242"/>
      <c r="K299" s="242"/>
      <c r="L299" s="244"/>
      <c r="M299" s="242"/>
      <c r="N299" s="265"/>
      <c r="O299" s="265"/>
      <c r="P299" s="265"/>
      <c r="Q299" s="265"/>
      <c r="R299" s="265"/>
      <c r="S299" s="265"/>
      <c r="T299" s="265"/>
      <c r="U299" s="265"/>
      <c r="V299" s="265"/>
      <c r="W299" s="265"/>
      <c r="X299" s="265"/>
      <c r="Y299" s="265"/>
      <c r="Z299" s="265"/>
      <c r="AA299" s="265"/>
      <c r="AB299" s="265"/>
      <c r="AC299" s="265"/>
      <c r="AD299" s="265"/>
      <c r="AE299" s="265"/>
      <c r="AF299" s="265"/>
      <c r="AG299" s="265"/>
      <c r="AH299" s="265"/>
      <c r="AI299" s="265"/>
      <c r="AJ299" s="265"/>
      <c r="AK299" s="265"/>
      <c r="AL299" s="265"/>
      <c r="AM299" s="244"/>
    </row>
    <row r="300" spans="1:39" ht="18" customHeight="1" x14ac:dyDescent="0.15">
      <c r="A300" s="242"/>
      <c r="B300" s="244"/>
      <c r="C300" s="242"/>
      <c r="D300" s="265"/>
      <c r="E300" s="244"/>
      <c r="F300" s="244"/>
      <c r="G300" s="244"/>
      <c r="H300" s="242"/>
      <c r="I300" s="242"/>
      <c r="J300" s="242"/>
      <c r="K300" s="242"/>
      <c r="L300" s="244"/>
      <c r="M300" s="242"/>
      <c r="N300" s="265"/>
      <c r="O300" s="265"/>
      <c r="P300" s="265"/>
      <c r="Q300" s="265"/>
      <c r="R300" s="265"/>
      <c r="S300" s="265"/>
      <c r="T300" s="265"/>
      <c r="U300" s="265"/>
      <c r="V300" s="265"/>
      <c r="W300" s="265"/>
      <c r="X300" s="265"/>
      <c r="Y300" s="265"/>
      <c r="Z300" s="265"/>
      <c r="AA300" s="265"/>
      <c r="AB300" s="265"/>
      <c r="AC300" s="265"/>
      <c r="AD300" s="265"/>
      <c r="AE300" s="265"/>
      <c r="AF300" s="265"/>
      <c r="AG300" s="265"/>
      <c r="AH300" s="265"/>
      <c r="AI300" s="265"/>
      <c r="AJ300" s="265"/>
      <c r="AK300" s="265"/>
      <c r="AL300" s="265"/>
      <c r="AM300" s="244"/>
    </row>
    <row r="301" spans="1:39" ht="18" customHeight="1" x14ac:dyDescent="0.15">
      <c r="A301" s="242"/>
      <c r="B301" s="244"/>
      <c r="C301" s="242"/>
      <c r="D301" s="265"/>
      <c r="E301" s="244"/>
      <c r="F301" s="244"/>
      <c r="G301" s="244"/>
      <c r="H301" s="242"/>
      <c r="I301" s="242"/>
      <c r="J301" s="242"/>
      <c r="K301" s="242"/>
      <c r="L301" s="244"/>
      <c r="M301" s="242"/>
      <c r="N301" s="265"/>
      <c r="O301" s="265"/>
      <c r="P301" s="265"/>
      <c r="Q301" s="265"/>
      <c r="R301" s="265"/>
      <c r="S301" s="265"/>
      <c r="T301" s="265"/>
      <c r="U301" s="265"/>
      <c r="V301" s="265"/>
      <c r="W301" s="265"/>
      <c r="X301" s="265"/>
      <c r="Y301" s="265"/>
      <c r="Z301" s="265"/>
      <c r="AA301" s="265"/>
      <c r="AB301" s="265"/>
      <c r="AC301" s="265"/>
      <c r="AD301" s="265"/>
      <c r="AE301" s="265"/>
      <c r="AF301" s="265"/>
      <c r="AG301" s="265"/>
      <c r="AH301" s="265"/>
      <c r="AI301" s="265"/>
      <c r="AJ301" s="265"/>
      <c r="AK301" s="265"/>
      <c r="AL301" s="265"/>
      <c r="AM301" s="244"/>
    </row>
    <row r="302" spans="1:39" ht="18" customHeight="1" x14ac:dyDescent="0.15">
      <c r="A302" s="242"/>
      <c r="B302" s="244"/>
      <c r="C302" s="242"/>
      <c r="D302" s="265"/>
      <c r="E302" s="244"/>
      <c r="F302" s="244"/>
      <c r="G302" s="244"/>
      <c r="H302" s="242"/>
      <c r="I302" s="242"/>
      <c r="J302" s="242"/>
      <c r="K302" s="242"/>
      <c r="L302" s="244"/>
      <c r="M302" s="242"/>
      <c r="N302" s="265"/>
      <c r="O302" s="265"/>
      <c r="P302" s="265"/>
      <c r="Q302" s="265"/>
      <c r="R302" s="265"/>
      <c r="S302" s="265"/>
      <c r="T302" s="265"/>
      <c r="U302" s="265"/>
      <c r="V302" s="265"/>
      <c r="W302" s="265"/>
      <c r="X302" s="265"/>
      <c r="Y302" s="265"/>
      <c r="Z302" s="265"/>
      <c r="AA302" s="265"/>
      <c r="AB302" s="265"/>
      <c r="AC302" s="265"/>
      <c r="AD302" s="265"/>
      <c r="AE302" s="265"/>
      <c r="AF302" s="265"/>
      <c r="AG302" s="265"/>
      <c r="AH302" s="265"/>
      <c r="AI302" s="265"/>
      <c r="AJ302" s="265"/>
      <c r="AK302" s="265"/>
      <c r="AL302" s="265"/>
      <c r="AM302" s="244"/>
    </row>
    <row r="303" spans="1:39" ht="18" customHeight="1" x14ac:dyDescent="0.15">
      <c r="A303" s="242"/>
      <c r="B303" s="244"/>
      <c r="C303" s="242"/>
      <c r="D303" s="265"/>
      <c r="E303" s="244"/>
      <c r="F303" s="244"/>
      <c r="G303" s="244"/>
      <c r="H303" s="242"/>
      <c r="I303" s="242"/>
      <c r="J303" s="242"/>
      <c r="K303" s="242"/>
      <c r="L303" s="244"/>
      <c r="M303" s="242"/>
      <c r="N303" s="265"/>
      <c r="O303" s="265"/>
      <c r="P303" s="265"/>
      <c r="Q303" s="265"/>
      <c r="R303" s="265"/>
      <c r="S303" s="265"/>
      <c r="T303" s="265"/>
      <c r="U303" s="265"/>
      <c r="V303" s="265"/>
      <c r="W303" s="265"/>
      <c r="X303" s="265"/>
      <c r="Y303" s="265"/>
      <c r="Z303" s="265"/>
      <c r="AA303" s="265"/>
      <c r="AB303" s="265"/>
      <c r="AC303" s="265"/>
      <c r="AD303" s="265"/>
      <c r="AE303" s="265"/>
      <c r="AF303" s="265"/>
      <c r="AG303" s="265"/>
      <c r="AH303" s="265"/>
      <c r="AI303" s="265"/>
      <c r="AJ303" s="265"/>
      <c r="AK303" s="265"/>
      <c r="AL303" s="265"/>
      <c r="AM303" s="244"/>
    </row>
    <row r="304" spans="1:39" ht="18" customHeight="1" x14ac:dyDescent="0.15">
      <c r="A304" s="242"/>
      <c r="B304" s="244"/>
      <c r="C304" s="242"/>
      <c r="D304" s="265"/>
      <c r="E304" s="244"/>
      <c r="F304" s="244"/>
      <c r="G304" s="244"/>
      <c r="H304" s="242"/>
      <c r="I304" s="242"/>
      <c r="J304" s="242"/>
      <c r="K304" s="242"/>
      <c r="L304" s="244"/>
      <c r="M304" s="242"/>
      <c r="N304" s="265"/>
      <c r="O304" s="265"/>
      <c r="P304" s="265"/>
      <c r="Q304" s="265"/>
      <c r="R304" s="265"/>
      <c r="S304" s="265"/>
      <c r="T304" s="265"/>
      <c r="U304" s="265"/>
      <c r="V304" s="265"/>
      <c r="W304" s="265"/>
      <c r="X304" s="265"/>
      <c r="Y304" s="265"/>
      <c r="Z304" s="265"/>
      <c r="AA304" s="265"/>
      <c r="AB304" s="265"/>
      <c r="AC304" s="265"/>
      <c r="AD304" s="265"/>
      <c r="AE304" s="265"/>
      <c r="AF304" s="265"/>
      <c r="AG304" s="265"/>
      <c r="AH304" s="265"/>
      <c r="AI304" s="265"/>
      <c r="AJ304" s="265"/>
      <c r="AK304" s="265"/>
      <c r="AL304" s="265"/>
      <c r="AM304" s="244"/>
    </row>
    <row r="305" spans="1:39" ht="18" customHeight="1" x14ac:dyDescent="0.15">
      <c r="A305" s="242"/>
      <c r="B305" s="244"/>
      <c r="C305" s="242"/>
      <c r="D305" s="265"/>
      <c r="E305" s="244"/>
      <c r="F305" s="244"/>
      <c r="G305" s="244"/>
      <c r="H305" s="242"/>
      <c r="I305" s="242"/>
      <c r="J305" s="242"/>
      <c r="K305" s="242"/>
      <c r="L305" s="244"/>
      <c r="M305" s="242"/>
      <c r="N305" s="265"/>
      <c r="O305" s="265"/>
      <c r="P305" s="265"/>
      <c r="Q305" s="265"/>
      <c r="R305" s="265"/>
      <c r="S305" s="265"/>
      <c r="T305" s="265"/>
      <c r="U305" s="265"/>
      <c r="V305" s="265"/>
      <c r="W305" s="265"/>
      <c r="X305" s="265"/>
      <c r="Y305" s="265"/>
      <c r="Z305" s="265"/>
      <c r="AA305" s="265"/>
      <c r="AB305" s="265"/>
      <c r="AC305" s="265"/>
      <c r="AD305" s="265"/>
      <c r="AE305" s="265"/>
      <c r="AF305" s="265"/>
      <c r="AG305" s="265"/>
      <c r="AH305" s="265"/>
      <c r="AI305" s="265"/>
      <c r="AJ305" s="265"/>
      <c r="AK305" s="265"/>
      <c r="AL305" s="265"/>
      <c r="AM305" s="244"/>
    </row>
    <row r="306" spans="1:39" ht="18" customHeight="1" x14ac:dyDescent="0.15">
      <c r="A306" s="242"/>
      <c r="B306" s="244"/>
      <c r="C306" s="242"/>
      <c r="D306" s="265"/>
      <c r="E306" s="244"/>
      <c r="F306" s="244"/>
      <c r="G306" s="244"/>
      <c r="H306" s="242"/>
      <c r="I306" s="242"/>
      <c r="J306" s="242"/>
      <c r="K306" s="242"/>
      <c r="L306" s="244"/>
      <c r="M306" s="242"/>
      <c r="N306" s="265"/>
      <c r="O306" s="265"/>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44"/>
    </row>
    <row r="307" spans="1:39" ht="18" customHeight="1" x14ac:dyDescent="0.15">
      <c r="A307" s="242"/>
      <c r="B307" s="244"/>
      <c r="C307" s="242"/>
      <c r="D307" s="265"/>
      <c r="E307" s="244"/>
      <c r="F307" s="244"/>
      <c r="G307" s="244"/>
      <c r="H307" s="242"/>
      <c r="I307" s="242"/>
      <c r="J307" s="242"/>
      <c r="K307" s="242"/>
      <c r="L307" s="244"/>
      <c r="M307" s="242"/>
      <c r="N307" s="265"/>
      <c r="O307" s="265"/>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44"/>
    </row>
    <row r="308" spans="1:39" ht="18" customHeight="1" x14ac:dyDescent="0.15">
      <c r="A308" s="242"/>
      <c r="B308" s="244"/>
      <c r="C308" s="242"/>
      <c r="D308" s="265"/>
      <c r="E308" s="244"/>
      <c r="F308" s="244"/>
      <c r="G308" s="244"/>
      <c r="H308" s="242"/>
      <c r="I308" s="242"/>
      <c r="J308" s="242"/>
      <c r="K308" s="242"/>
      <c r="L308" s="244"/>
      <c r="M308" s="242"/>
      <c r="N308" s="265"/>
      <c r="O308" s="265"/>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44"/>
    </row>
    <row r="309" spans="1:39" ht="18" customHeight="1" x14ac:dyDescent="0.15">
      <c r="A309" s="242"/>
      <c r="B309" s="244"/>
      <c r="C309" s="242"/>
      <c r="D309" s="265"/>
      <c r="E309" s="244"/>
      <c r="F309" s="244"/>
      <c r="G309" s="244"/>
      <c r="H309" s="242"/>
      <c r="I309" s="242"/>
      <c r="J309" s="242"/>
      <c r="K309" s="242"/>
      <c r="L309" s="244"/>
      <c r="M309" s="242"/>
      <c r="N309" s="265"/>
      <c r="O309" s="265"/>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44"/>
    </row>
    <row r="310" spans="1:39" ht="18" customHeight="1" x14ac:dyDescent="0.15">
      <c r="A310" s="242"/>
      <c r="B310" s="244"/>
      <c r="C310" s="242"/>
      <c r="D310" s="265"/>
      <c r="E310" s="244"/>
      <c r="F310" s="244"/>
      <c r="G310" s="244"/>
      <c r="H310" s="242"/>
      <c r="I310" s="242"/>
      <c r="J310" s="242"/>
      <c r="K310" s="242"/>
      <c r="L310" s="244"/>
      <c r="M310" s="242"/>
      <c r="N310" s="265"/>
      <c r="O310" s="265"/>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44"/>
    </row>
    <row r="311" spans="1:39" ht="18" customHeight="1" x14ac:dyDescent="0.15">
      <c r="A311" s="242"/>
      <c r="B311" s="244"/>
      <c r="C311" s="242"/>
      <c r="D311" s="265"/>
      <c r="E311" s="244"/>
      <c r="F311" s="244"/>
      <c r="G311" s="244"/>
      <c r="H311" s="242"/>
      <c r="I311" s="242"/>
      <c r="J311" s="242"/>
      <c r="K311" s="242"/>
      <c r="L311" s="244"/>
      <c r="M311" s="242"/>
      <c r="N311" s="265"/>
      <c r="O311" s="265"/>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44"/>
    </row>
    <row r="312" spans="1:39" ht="18" customHeight="1" x14ac:dyDescent="0.15">
      <c r="A312" s="242"/>
      <c r="B312" s="244"/>
      <c r="C312" s="242"/>
      <c r="D312" s="265"/>
      <c r="E312" s="244"/>
      <c r="F312" s="244"/>
      <c r="G312" s="244"/>
      <c r="H312" s="242"/>
      <c r="I312" s="242"/>
      <c r="J312" s="242"/>
      <c r="K312" s="242"/>
      <c r="L312" s="244"/>
      <c r="M312" s="242"/>
      <c r="N312" s="265"/>
      <c r="O312" s="265"/>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44"/>
    </row>
    <row r="313" spans="1:39" ht="18" customHeight="1" x14ac:dyDescent="0.15">
      <c r="A313" s="242"/>
      <c r="B313" s="244"/>
      <c r="C313" s="242"/>
      <c r="D313" s="265"/>
      <c r="E313" s="244"/>
      <c r="F313" s="244"/>
      <c r="G313" s="244"/>
      <c r="H313" s="242"/>
      <c r="I313" s="242"/>
      <c r="J313" s="242"/>
      <c r="K313" s="242"/>
      <c r="L313" s="244"/>
      <c r="M313" s="242"/>
      <c r="N313" s="265"/>
      <c r="O313" s="265"/>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44"/>
    </row>
    <row r="314" spans="1:39" ht="18" customHeight="1" x14ac:dyDescent="0.15">
      <c r="A314" s="242"/>
      <c r="B314" s="244"/>
      <c r="C314" s="242"/>
      <c r="D314" s="265"/>
      <c r="E314" s="244"/>
      <c r="F314" s="244"/>
      <c r="G314" s="244"/>
      <c r="H314" s="242"/>
      <c r="I314" s="242"/>
      <c r="J314" s="242"/>
      <c r="K314" s="242"/>
      <c r="L314" s="244"/>
      <c r="M314" s="242"/>
      <c r="N314" s="265"/>
      <c r="O314" s="265"/>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44"/>
    </row>
    <row r="315" spans="1:39" ht="18" customHeight="1" x14ac:dyDescent="0.15">
      <c r="A315" s="242"/>
      <c r="B315" s="244"/>
      <c r="C315" s="242"/>
      <c r="D315" s="265"/>
      <c r="E315" s="244"/>
      <c r="F315" s="244"/>
      <c r="G315" s="244"/>
      <c r="H315" s="242"/>
      <c r="I315" s="242"/>
      <c r="J315" s="242"/>
      <c r="K315" s="242"/>
      <c r="L315" s="244"/>
      <c r="M315" s="242"/>
      <c r="N315" s="265"/>
      <c r="O315" s="265"/>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44"/>
    </row>
    <row r="316" spans="1:39" ht="18" customHeight="1" x14ac:dyDescent="0.15">
      <c r="A316" s="242"/>
      <c r="B316" s="244"/>
      <c r="C316" s="242"/>
      <c r="D316" s="265"/>
      <c r="E316" s="244"/>
      <c r="F316" s="244"/>
      <c r="G316" s="244"/>
      <c r="H316" s="242"/>
      <c r="I316" s="242"/>
      <c r="J316" s="242"/>
      <c r="K316" s="242"/>
      <c r="L316" s="244"/>
      <c r="M316" s="242"/>
      <c r="N316" s="265"/>
      <c r="O316" s="265"/>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44"/>
    </row>
    <row r="317" spans="1:39" ht="18" customHeight="1" x14ac:dyDescent="0.15">
      <c r="A317" s="242"/>
      <c r="B317" s="244"/>
      <c r="C317" s="242"/>
      <c r="D317" s="265"/>
      <c r="E317" s="244"/>
      <c r="F317" s="244"/>
      <c r="G317" s="244"/>
      <c r="H317" s="242"/>
      <c r="I317" s="242"/>
      <c r="J317" s="242"/>
      <c r="K317" s="242"/>
      <c r="L317" s="244"/>
      <c r="M317" s="242"/>
      <c r="N317" s="265"/>
      <c r="O317" s="265"/>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44"/>
    </row>
    <row r="318" spans="1:39" ht="18" customHeight="1" x14ac:dyDescent="0.15">
      <c r="A318" s="242"/>
      <c r="B318" s="244"/>
      <c r="C318" s="242"/>
      <c r="D318" s="265"/>
      <c r="E318" s="244"/>
      <c r="F318" s="244"/>
      <c r="G318" s="244"/>
      <c r="H318" s="242"/>
      <c r="I318" s="242"/>
      <c r="J318" s="242"/>
      <c r="K318" s="242"/>
      <c r="L318" s="244"/>
      <c r="M318" s="242"/>
      <c r="N318" s="265"/>
      <c r="O318" s="265"/>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44"/>
    </row>
    <row r="319" spans="1:39" ht="18" customHeight="1" x14ac:dyDescent="0.15">
      <c r="A319" s="242"/>
      <c r="B319" s="244"/>
      <c r="C319" s="242"/>
      <c r="D319" s="265"/>
      <c r="E319" s="244"/>
      <c r="F319" s="244"/>
      <c r="G319" s="244"/>
      <c r="H319" s="242"/>
      <c r="I319" s="242"/>
      <c r="J319" s="242"/>
      <c r="K319" s="242"/>
      <c r="L319" s="244"/>
      <c r="M319" s="242"/>
      <c r="N319" s="265"/>
      <c r="O319" s="265"/>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44"/>
    </row>
    <row r="320" spans="1:39" ht="18" customHeight="1" x14ac:dyDescent="0.15">
      <c r="A320" s="242"/>
      <c r="B320" s="244"/>
      <c r="C320" s="242"/>
      <c r="D320" s="265"/>
      <c r="E320" s="244"/>
      <c r="F320" s="244"/>
      <c r="G320" s="244"/>
      <c r="H320" s="242"/>
      <c r="I320" s="242"/>
      <c r="J320" s="242"/>
      <c r="K320" s="242"/>
      <c r="L320" s="244"/>
      <c r="M320" s="242"/>
      <c r="N320" s="265"/>
      <c r="O320" s="265"/>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44"/>
    </row>
    <row r="321" spans="1:39" ht="18" customHeight="1" x14ac:dyDescent="0.15">
      <c r="A321" s="242"/>
      <c r="B321" s="244"/>
      <c r="C321" s="242"/>
      <c r="D321" s="265"/>
      <c r="E321" s="244"/>
      <c r="F321" s="244"/>
      <c r="G321" s="244"/>
      <c r="H321" s="242"/>
      <c r="I321" s="242"/>
      <c r="J321" s="242"/>
      <c r="K321" s="242"/>
      <c r="L321" s="244"/>
      <c r="M321" s="242"/>
      <c r="N321" s="265"/>
      <c r="O321" s="265"/>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44"/>
    </row>
    <row r="322" spans="1:39" ht="18" customHeight="1" x14ac:dyDescent="0.15">
      <c r="A322" s="242"/>
      <c r="B322" s="244"/>
      <c r="C322" s="242"/>
      <c r="D322" s="265"/>
      <c r="E322" s="244"/>
      <c r="F322" s="244"/>
      <c r="G322" s="244"/>
      <c r="H322" s="242"/>
      <c r="I322" s="242"/>
      <c r="J322" s="242"/>
      <c r="K322" s="242"/>
      <c r="L322" s="244"/>
      <c r="M322" s="242"/>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44"/>
    </row>
    <row r="323" spans="1:39" ht="18" customHeight="1" x14ac:dyDescent="0.15">
      <c r="A323" s="242"/>
      <c r="B323" s="244"/>
      <c r="C323" s="242"/>
      <c r="D323" s="265"/>
      <c r="E323" s="244"/>
      <c r="F323" s="244"/>
      <c r="G323" s="244"/>
      <c r="H323" s="242"/>
      <c r="I323" s="242"/>
      <c r="J323" s="242"/>
      <c r="K323" s="242"/>
      <c r="L323" s="244"/>
      <c r="M323" s="242"/>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44"/>
    </row>
    <row r="324" spans="1:39" ht="18" customHeight="1" x14ac:dyDescent="0.15">
      <c r="A324" s="242"/>
      <c r="B324" s="244"/>
      <c r="C324" s="242"/>
      <c r="D324" s="265"/>
      <c r="E324" s="244"/>
      <c r="F324" s="244"/>
      <c r="G324" s="244"/>
      <c r="H324" s="242"/>
      <c r="I324" s="242"/>
      <c r="J324" s="242"/>
      <c r="K324" s="242"/>
      <c r="L324" s="244"/>
      <c r="M324" s="242"/>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44"/>
    </row>
    <row r="325" spans="1:39" ht="18" customHeight="1" x14ac:dyDescent="0.15">
      <c r="A325" s="242"/>
      <c r="B325" s="244"/>
      <c r="C325" s="242"/>
      <c r="D325" s="265"/>
      <c r="E325" s="244"/>
      <c r="F325" s="244"/>
      <c r="G325" s="244"/>
      <c r="H325" s="242"/>
      <c r="I325" s="242"/>
      <c r="J325" s="242"/>
      <c r="K325" s="242"/>
      <c r="L325" s="244"/>
      <c r="M325" s="242"/>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44"/>
    </row>
    <row r="326" spans="1:39" ht="18" customHeight="1" x14ac:dyDescent="0.15">
      <c r="A326" s="242"/>
      <c r="B326" s="244"/>
      <c r="C326" s="242"/>
      <c r="D326" s="265"/>
      <c r="E326" s="244"/>
      <c r="F326" s="244"/>
      <c r="G326" s="244"/>
      <c r="H326" s="242"/>
      <c r="I326" s="242"/>
      <c r="J326" s="242"/>
      <c r="K326" s="242"/>
      <c r="L326" s="244"/>
      <c r="M326" s="242"/>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44"/>
    </row>
    <row r="327" spans="1:39" ht="18" customHeight="1" x14ac:dyDescent="0.15">
      <c r="A327" s="242"/>
      <c r="B327" s="244"/>
      <c r="C327" s="242"/>
      <c r="D327" s="265"/>
      <c r="E327" s="244"/>
      <c r="F327" s="244"/>
      <c r="G327" s="244"/>
      <c r="H327" s="242"/>
      <c r="I327" s="242"/>
      <c r="J327" s="242"/>
      <c r="K327" s="242"/>
      <c r="L327" s="244"/>
      <c r="M327" s="242"/>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44"/>
    </row>
    <row r="328" spans="1:39" ht="18" customHeight="1" x14ac:dyDescent="0.15">
      <c r="A328" s="242"/>
      <c r="B328" s="244"/>
      <c r="C328" s="242"/>
      <c r="D328" s="265"/>
      <c r="E328" s="244"/>
      <c r="F328" s="244"/>
      <c r="G328" s="244"/>
      <c r="H328" s="242"/>
      <c r="I328" s="242"/>
      <c r="J328" s="242"/>
      <c r="K328" s="242"/>
      <c r="L328" s="244"/>
      <c r="M328" s="242"/>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44"/>
    </row>
    <row r="329" spans="1:39" ht="18" customHeight="1" x14ac:dyDescent="0.15">
      <c r="A329" s="242"/>
      <c r="B329" s="244"/>
      <c r="C329" s="242"/>
      <c r="D329" s="265"/>
      <c r="E329" s="244"/>
      <c r="F329" s="244"/>
      <c r="G329" s="244"/>
      <c r="H329" s="242"/>
      <c r="I329" s="242"/>
      <c r="J329" s="242"/>
      <c r="K329" s="242"/>
      <c r="L329" s="244"/>
      <c r="M329" s="242"/>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44"/>
    </row>
    <row r="330" spans="1:39" ht="18" customHeight="1" x14ac:dyDescent="0.15">
      <c r="A330" s="242"/>
      <c r="B330" s="244"/>
      <c r="C330" s="242"/>
      <c r="D330" s="265"/>
      <c r="E330" s="244"/>
      <c r="F330" s="244"/>
      <c r="G330" s="244"/>
      <c r="H330" s="242"/>
      <c r="I330" s="242"/>
      <c r="J330" s="242"/>
      <c r="K330" s="242"/>
      <c r="L330" s="244"/>
      <c r="M330" s="242"/>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44"/>
    </row>
    <row r="331" spans="1:39" ht="18" customHeight="1" x14ac:dyDescent="0.15">
      <c r="A331" s="242"/>
      <c r="B331" s="244"/>
      <c r="C331" s="242"/>
      <c r="D331" s="265"/>
      <c r="E331" s="244"/>
      <c r="F331" s="244"/>
      <c r="G331" s="244"/>
      <c r="H331" s="242"/>
      <c r="I331" s="242"/>
      <c r="J331" s="242"/>
      <c r="K331" s="242"/>
      <c r="L331" s="244"/>
      <c r="M331" s="242"/>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44"/>
    </row>
    <row r="332" spans="1:39" ht="18" customHeight="1" x14ac:dyDescent="0.15">
      <c r="A332" s="242"/>
      <c r="B332" s="244"/>
      <c r="C332" s="242"/>
      <c r="D332" s="265"/>
      <c r="E332" s="244"/>
      <c r="F332" s="244"/>
      <c r="G332" s="244"/>
      <c r="H332" s="242"/>
      <c r="I332" s="242"/>
      <c r="J332" s="242"/>
      <c r="K332" s="242"/>
      <c r="L332" s="244"/>
      <c r="M332" s="242"/>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44"/>
    </row>
    <row r="333" spans="1:39" ht="18" customHeight="1" x14ac:dyDescent="0.15">
      <c r="A333" s="242"/>
      <c r="B333" s="244"/>
      <c r="C333" s="242"/>
      <c r="D333" s="265"/>
      <c r="E333" s="244"/>
      <c r="F333" s="244"/>
      <c r="G333" s="244"/>
      <c r="H333" s="242"/>
      <c r="I333" s="242"/>
      <c r="J333" s="242"/>
      <c r="K333" s="242"/>
      <c r="L333" s="244"/>
      <c r="M333" s="242"/>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44"/>
    </row>
    <row r="334" spans="1:39" ht="18" customHeight="1" x14ac:dyDescent="0.15">
      <c r="A334" s="242"/>
      <c r="B334" s="244"/>
      <c r="C334" s="242"/>
      <c r="D334" s="265"/>
      <c r="E334" s="244"/>
      <c r="F334" s="244"/>
      <c r="G334" s="244"/>
      <c r="H334" s="242"/>
      <c r="I334" s="242"/>
      <c r="J334" s="242"/>
      <c r="K334" s="242"/>
      <c r="L334" s="244"/>
      <c r="M334" s="242"/>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44"/>
    </row>
    <row r="335" spans="1:39" ht="18" customHeight="1" x14ac:dyDescent="0.15">
      <c r="A335" s="242"/>
      <c r="B335" s="244"/>
      <c r="C335" s="242"/>
      <c r="D335" s="265"/>
      <c r="E335" s="244"/>
      <c r="F335" s="244"/>
      <c r="G335" s="244"/>
      <c r="H335" s="242"/>
      <c r="I335" s="242"/>
      <c r="J335" s="242"/>
      <c r="K335" s="242"/>
      <c r="L335" s="244"/>
      <c r="M335" s="242"/>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44"/>
    </row>
    <row r="336" spans="1:39" ht="18" customHeight="1" x14ac:dyDescent="0.15">
      <c r="A336" s="242"/>
      <c r="B336" s="244"/>
      <c r="C336" s="242"/>
      <c r="D336" s="265"/>
      <c r="E336" s="244"/>
      <c r="F336" s="244"/>
      <c r="G336" s="244"/>
      <c r="H336" s="242"/>
      <c r="I336" s="242"/>
      <c r="J336" s="242"/>
      <c r="K336" s="242"/>
      <c r="L336" s="244"/>
      <c r="M336" s="242"/>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44"/>
    </row>
    <row r="337" spans="1:39" ht="18" customHeight="1" x14ac:dyDescent="0.15">
      <c r="A337" s="242"/>
      <c r="B337" s="244"/>
      <c r="C337" s="242"/>
      <c r="D337" s="265"/>
      <c r="E337" s="244"/>
      <c r="F337" s="244"/>
      <c r="G337" s="244"/>
      <c r="H337" s="242"/>
      <c r="I337" s="242"/>
      <c r="J337" s="242"/>
      <c r="K337" s="242"/>
      <c r="L337" s="244"/>
      <c r="M337" s="242"/>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44"/>
    </row>
    <row r="338" spans="1:39" ht="18" customHeight="1" x14ac:dyDescent="0.15">
      <c r="A338" s="242"/>
      <c r="B338" s="244"/>
      <c r="C338" s="242"/>
      <c r="D338" s="265"/>
      <c r="E338" s="244"/>
      <c r="F338" s="244"/>
      <c r="G338" s="244"/>
      <c r="H338" s="242"/>
      <c r="I338" s="242"/>
      <c r="J338" s="242"/>
      <c r="K338" s="242"/>
      <c r="L338" s="244"/>
      <c r="M338" s="242"/>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44"/>
    </row>
    <row r="339" spans="1:39" ht="18" customHeight="1" x14ac:dyDescent="0.15">
      <c r="A339" s="242"/>
      <c r="B339" s="244"/>
      <c r="C339" s="242"/>
      <c r="D339" s="265"/>
      <c r="E339" s="244"/>
      <c r="F339" s="244"/>
      <c r="G339" s="244"/>
      <c r="H339" s="242"/>
      <c r="I339" s="242"/>
      <c r="J339" s="242"/>
      <c r="K339" s="242"/>
      <c r="L339" s="244"/>
      <c r="M339" s="242"/>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44"/>
    </row>
    <row r="340" spans="1:39" ht="18" customHeight="1" x14ac:dyDescent="0.15">
      <c r="A340" s="242"/>
      <c r="B340" s="244"/>
      <c r="C340" s="242"/>
      <c r="D340" s="265"/>
      <c r="E340" s="244"/>
      <c r="F340" s="244"/>
      <c r="G340" s="244"/>
      <c r="H340" s="242"/>
      <c r="I340" s="265"/>
      <c r="J340" s="265"/>
      <c r="K340" s="265"/>
      <c r="L340" s="244"/>
      <c r="M340" s="242"/>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44"/>
    </row>
    <row r="341" spans="1:39" ht="18" customHeight="1" x14ac:dyDescent="0.15">
      <c r="A341" s="242"/>
      <c r="B341" s="244"/>
      <c r="C341" s="242"/>
      <c r="D341" s="265"/>
      <c r="E341" s="244"/>
      <c r="F341" s="244"/>
      <c r="G341" s="244"/>
      <c r="H341" s="242"/>
      <c r="I341" s="265"/>
      <c r="J341" s="265"/>
      <c r="K341" s="265"/>
      <c r="L341" s="244"/>
      <c r="M341" s="242"/>
      <c r="N341" s="242"/>
      <c r="O341" s="242"/>
      <c r="P341" s="242"/>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44"/>
    </row>
    <row r="342" spans="1:39" ht="18" customHeight="1" x14ac:dyDescent="0.15">
      <c r="A342" s="242"/>
      <c r="B342" s="244"/>
      <c r="C342" s="242"/>
      <c r="D342" s="265"/>
      <c r="E342" s="244"/>
      <c r="F342" s="244"/>
      <c r="G342" s="244"/>
      <c r="H342" s="242"/>
      <c r="I342" s="265"/>
      <c r="J342" s="265"/>
      <c r="K342" s="265"/>
      <c r="L342" s="244"/>
      <c r="M342" s="242"/>
      <c r="N342" s="242"/>
      <c r="O342" s="242"/>
      <c r="P342" s="242"/>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44"/>
    </row>
    <row r="343" spans="1:39" ht="18" customHeight="1" x14ac:dyDescent="0.15">
      <c r="A343" s="242"/>
      <c r="B343" s="244"/>
      <c r="C343" s="242"/>
      <c r="D343" s="265"/>
      <c r="E343" s="244"/>
      <c r="F343" s="244"/>
      <c r="G343" s="244"/>
      <c r="H343" s="242"/>
      <c r="I343" s="265"/>
      <c r="J343" s="265"/>
      <c r="K343" s="265"/>
      <c r="L343" s="244"/>
      <c r="M343" s="242"/>
      <c r="N343" s="242"/>
      <c r="O343" s="242"/>
      <c r="P343" s="242"/>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44"/>
    </row>
    <row r="344" spans="1:39" ht="18" customHeight="1" x14ac:dyDescent="0.15">
      <c r="A344" s="242"/>
      <c r="B344" s="244"/>
      <c r="C344" s="242"/>
      <c r="D344" s="265"/>
      <c r="E344" s="244"/>
      <c r="F344" s="244"/>
      <c r="G344" s="244"/>
      <c r="H344" s="242"/>
      <c r="I344" s="265"/>
      <c r="J344" s="265"/>
      <c r="K344" s="265"/>
      <c r="L344" s="244"/>
      <c r="M344" s="242"/>
      <c r="N344" s="242"/>
      <c r="O344" s="242"/>
      <c r="P344" s="242"/>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44"/>
    </row>
    <row r="345" spans="1:39" ht="18" customHeight="1" x14ac:dyDescent="0.15">
      <c r="A345" s="242"/>
      <c r="B345" s="244"/>
      <c r="C345" s="242"/>
      <c r="D345" s="265"/>
      <c r="E345" s="244"/>
      <c r="F345" s="244"/>
      <c r="G345" s="244"/>
      <c r="H345" s="242"/>
      <c r="I345" s="265"/>
      <c r="J345" s="265"/>
      <c r="K345" s="265"/>
      <c r="L345" s="244"/>
      <c r="M345" s="242"/>
      <c r="N345" s="242"/>
      <c r="O345" s="242"/>
      <c r="P345" s="242"/>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44"/>
    </row>
    <row r="346" spans="1:39" ht="18" customHeight="1" x14ac:dyDescent="0.15">
      <c r="A346" s="242"/>
      <c r="B346" s="244"/>
      <c r="C346" s="242"/>
      <c r="D346" s="265"/>
      <c r="E346" s="244"/>
      <c r="F346" s="244"/>
      <c r="G346" s="244"/>
      <c r="H346" s="242"/>
      <c r="I346" s="265"/>
      <c r="J346" s="265"/>
      <c r="K346" s="265"/>
      <c r="L346" s="244"/>
      <c r="M346" s="242"/>
      <c r="N346" s="242"/>
      <c r="O346" s="242"/>
      <c r="P346" s="242"/>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44"/>
    </row>
    <row r="347" spans="1:39" ht="18" customHeight="1" x14ac:dyDescent="0.15">
      <c r="A347" s="242"/>
      <c r="B347" s="244"/>
      <c r="C347" s="242"/>
      <c r="D347" s="265"/>
      <c r="E347" s="244"/>
      <c r="F347" s="244"/>
      <c r="G347" s="244"/>
      <c r="H347" s="242"/>
      <c r="I347" s="265"/>
      <c r="J347" s="265"/>
      <c r="K347" s="265"/>
      <c r="L347" s="244"/>
      <c r="M347" s="242"/>
      <c r="N347" s="242"/>
      <c r="O347" s="242"/>
      <c r="P347" s="242"/>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44"/>
    </row>
    <row r="348" spans="1:39" ht="18" customHeight="1" x14ac:dyDescent="0.15">
      <c r="A348" s="242"/>
      <c r="B348" s="244"/>
      <c r="C348" s="242"/>
      <c r="D348" s="265"/>
      <c r="E348" s="244"/>
      <c r="F348" s="244"/>
      <c r="G348" s="244"/>
      <c r="H348" s="242"/>
      <c r="I348" s="265"/>
      <c r="J348" s="265"/>
      <c r="K348" s="265"/>
      <c r="L348" s="244"/>
      <c r="M348" s="242"/>
      <c r="N348" s="242"/>
      <c r="O348" s="242"/>
      <c r="P348" s="242"/>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44"/>
    </row>
    <row r="349" spans="1:39" ht="18" customHeight="1" x14ac:dyDescent="0.15">
      <c r="A349" s="242"/>
      <c r="B349" s="244"/>
      <c r="C349" s="242"/>
      <c r="D349" s="265"/>
      <c r="E349" s="244"/>
      <c r="F349" s="244"/>
      <c r="G349" s="244"/>
      <c r="H349" s="242"/>
      <c r="I349" s="265"/>
      <c r="J349" s="265"/>
      <c r="K349" s="265"/>
      <c r="L349" s="244"/>
      <c r="M349" s="242"/>
      <c r="N349" s="242"/>
      <c r="O349" s="242"/>
      <c r="P349" s="242"/>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44"/>
    </row>
    <row r="350" spans="1:39" ht="18" customHeight="1" x14ac:dyDescent="0.15">
      <c r="A350" s="242"/>
      <c r="B350" s="244"/>
      <c r="C350" s="242"/>
      <c r="D350" s="265"/>
      <c r="E350" s="244"/>
      <c r="F350" s="244"/>
      <c r="G350" s="244"/>
      <c r="H350" s="242"/>
      <c r="I350" s="265"/>
      <c r="J350" s="265"/>
      <c r="K350" s="265"/>
      <c r="L350" s="244"/>
      <c r="M350" s="242"/>
      <c r="N350" s="242"/>
      <c r="O350" s="242"/>
      <c r="P350" s="242"/>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44"/>
    </row>
    <row r="351" spans="1:39" ht="18" customHeight="1" x14ac:dyDescent="0.15">
      <c r="A351" s="242"/>
      <c r="B351" s="244"/>
      <c r="C351" s="242"/>
      <c r="D351" s="265"/>
      <c r="E351" s="244"/>
      <c r="F351" s="244"/>
      <c r="G351" s="244"/>
      <c r="H351" s="242"/>
      <c r="I351" s="265"/>
      <c r="J351" s="265"/>
      <c r="K351" s="265"/>
      <c r="L351" s="244"/>
      <c r="M351" s="242"/>
      <c r="N351" s="242"/>
      <c r="O351" s="242"/>
      <c r="P351" s="242"/>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44"/>
    </row>
    <row r="352" spans="1:39" ht="18" customHeight="1" x14ac:dyDescent="0.15">
      <c r="A352" s="242"/>
      <c r="B352" s="244"/>
      <c r="C352" s="242"/>
      <c r="D352" s="265"/>
      <c r="E352" s="244"/>
      <c r="F352" s="244"/>
      <c r="G352" s="244"/>
      <c r="H352" s="242"/>
      <c r="I352" s="265"/>
      <c r="J352" s="265"/>
      <c r="K352" s="265"/>
      <c r="L352" s="244"/>
      <c r="M352" s="242"/>
      <c r="N352" s="242"/>
      <c r="O352" s="242"/>
      <c r="P352" s="242"/>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44"/>
    </row>
    <row r="353" spans="1:39" ht="18" customHeight="1" x14ac:dyDescent="0.15">
      <c r="A353" s="242"/>
      <c r="B353" s="244"/>
      <c r="C353" s="242"/>
      <c r="D353" s="265"/>
      <c r="E353" s="244"/>
      <c r="F353" s="244"/>
      <c r="G353" s="244"/>
      <c r="H353" s="242"/>
      <c r="I353" s="265"/>
      <c r="J353" s="265"/>
      <c r="K353" s="265"/>
      <c r="L353" s="244"/>
      <c r="M353" s="242"/>
      <c r="N353" s="242"/>
      <c r="O353" s="242"/>
      <c r="P353" s="242"/>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44"/>
    </row>
    <row r="354" spans="1:39" ht="18" customHeight="1" x14ac:dyDescent="0.15">
      <c r="A354" s="242"/>
      <c r="B354" s="244"/>
      <c r="C354" s="242"/>
      <c r="D354" s="265"/>
      <c r="E354" s="244"/>
      <c r="F354" s="244"/>
      <c r="G354" s="244"/>
      <c r="H354" s="242"/>
      <c r="I354" s="265"/>
      <c r="J354" s="265"/>
      <c r="K354" s="265"/>
      <c r="L354" s="244"/>
      <c r="M354" s="242"/>
      <c r="N354" s="242"/>
      <c r="O354" s="242"/>
      <c r="P354" s="242"/>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44"/>
    </row>
    <row r="355" spans="1:39" ht="18" customHeight="1" x14ac:dyDescent="0.15">
      <c r="A355" s="242"/>
      <c r="B355" s="244"/>
      <c r="C355" s="242"/>
      <c r="D355" s="265"/>
      <c r="E355" s="244"/>
      <c r="F355" s="244"/>
      <c r="G355" s="244"/>
      <c r="H355" s="242"/>
      <c r="I355" s="265"/>
      <c r="J355" s="265"/>
      <c r="K355" s="265"/>
      <c r="L355" s="244"/>
      <c r="M355" s="242"/>
      <c r="N355" s="242"/>
      <c r="O355" s="242"/>
      <c r="P355" s="242"/>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44"/>
    </row>
    <row r="356" spans="1:39" ht="18" customHeight="1" x14ac:dyDescent="0.15">
      <c r="A356" s="242"/>
      <c r="B356" s="244"/>
      <c r="C356" s="242"/>
      <c r="D356" s="265"/>
      <c r="E356" s="244"/>
      <c r="F356" s="244"/>
      <c r="G356" s="244"/>
      <c r="H356" s="242"/>
      <c r="I356" s="265"/>
      <c r="J356" s="265"/>
      <c r="K356" s="265"/>
      <c r="L356" s="244"/>
      <c r="M356" s="242"/>
      <c r="N356" s="242"/>
      <c r="O356" s="242"/>
      <c r="P356" s="242"/>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44"/>
    </row>
    <row r="357" spans="1:39" ht="18" customHeight="1" x14ac:dyDescent="0.15">
      <c r="A357" s="242"/>
      <c r="B357" s="244"/>
      <c r="C357" s="242"/>
      <c r="D357" s="265"/>
      <c r="E357" s="244"/>
      <c r="F357" s="244"/>
      <c r="G357" s="244"/>
      <c r="H357" s="242"/>
      <c r="I357" s="265"/>
      <c r="J357" s="265"/>
      <c r="K357" s="265"/>
      <c r="L357" s="244"/>
      <c r="M357" s="242"/>
      <c r="N357" s="242"/>
      <c r="O357" s="242"/>
      <c r="P357" s="242"/>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44"/>
    </row>
    <row r="358" spans="1:39" ht="18" customHeight="1" x14ac:dyDescent="0.15">
      <c r="A358" s="242"/>
      <c r="B358" s="244"/>
      <c r="C358" s="242"/>
      <c r="D358" s="265"/>
      <c r="E358" s="244"/>
      <c r="F358" s="244"/>
      <c r="G358" s="244"/>
      <c r="H358" s="242"/>
      <c r="I358" s="265"/>
      <c r="J358" s="265"/>
      <c r="K358" s="265"/>
      <c r="L358" s="244"/>
      <c r="M358" s="242"/>
      <c r="N358" s="242"/>
      <c r="O358" s="242"/>
      <c r="P358" s="242"/>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44"/>
    </row>
    <row r="359" spans="1:39" ht="18" customHeight="1" x14ac:dyDescent="0.15">
      <c r="A359" s="242"/>
      <c r="B359" s="244"/>
      <c r="C359" s="242"/>
      <c r="D359" s="265"/>
      <c r="E359" s="244"/>
      <c r="F359" s="244"/>
      <c r="G359" s="244"/>
      <c r="H359" s="242"/>
      <c r="I359" s="265"/>
      <c r="J359" s="265"/>
      <c r="K359" s="265"/>
      <c r="L359" s="244"/>
      <c r="M359" s="242"/>
      <c r="N359" s="242"/>
      <c r="O359" s="242"/>
      <c r="P359" s="242"/>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44"/>
    </row>
    <row r="360" spans="1:39" ht="18" customHeight="1" x14ac:dyDescent="0.15">
      <c r="A360" s="242"/>
      <c r="B360" s="244"/>
      <c r="C360" s="242"/>
      <c r="D360" s="265"/>
      <c r="E360" s="244"/>
      <c r="F360" s="244"/>
      <c r="G360" s="244"/>
      <c r="H360" s="242"/>
      <c r="I360" s="265"/>
      <c r="J360" s="265"/>
      <c r="K360" s="265"/>
      <c r="L360" s="244"/>
      <c r="M360" s="242"/>
      <c r="N360" s="242"/>
      <c r="O360" s="242"/>
      <c r="P360" s="242"/>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44"/>
    </row>
    <row r="361" spans="1:39" ht="18" customHeight="1" x14ac:dyDescent="0.15">
      <c r="A361" s="242"/>
      <c r="B361" s="244"/>
      <c r="C361" s="242"/>
      <c r="D361" s="265"/>
      <c r="E361" s="244"/>
      <c r="F361" s="244"/>
      <c r="G361" s="244"/>
      <c r="H361" s="242"/>
      <c r="I361" s="265"/>
      <c r="J361" s="265"/>
      <c r="K361" s="265"/>
      <c r="L361" s="244"/>
      <c r="M361" s="242"/>
      <c r="N361" s="242"/>
      <c r="O361" s="242"/>
      <c r="P361" s="242"/>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44"/>
    </row>
    <row r="362" spans="1:39" ht="18" customHeight="1" x14ac:dyDescent="0.15">
      <c r="A362" s="242"/>
      <c r="B362" s="244"/>
      <c r="C362" s="242"/>
      <c r="D362" s="265"/>
      <c r="E362" s="244"/>
      <c r="F362" s="244"/>
      <c r="G362" s="244"/>
      <c r="H362" s="242"/>
      <c r="I362" s="265"/>
      <c r="J362" s="265"/>
      <c r="K362" s="265"/>
      <c r="L362" s="244"/>
      <c r="M362" s="242"/>
      <c r="N362" s="242"/>
      <c r="O362" s="242"/>
      <c r="P362" s="242"/>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44"/>
    </row>
    <row r="363" spans="1:39" ht="18" customHeight="1" x14ac:dyDescent="0.15">
      <c r="A363" s="242"/>
      <c r="B363" s="244"/>
      <c r="C363" s="242"/>
      <c r="D363" s="265"/>
      <c r="E363" s="244"/>
      <c r="F363" s="244"/>
      <c r="G363" s="244"/>
      <c r="H363" s="242"/>
      <c r="I363" s="265"/>
      <c r="J363" s="265"/>
      <c r="K363" s="265"/>
      <c r="L363" s="244"/>
      <c r="M363" s="242"/>
      <c r="N363" s="242"/>
      <c r="O363" s="242"/>
      <c r="P363" s="242"/>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44"/>
    </row>
    <row r="364" spans="1:39" ht="18" customHeight="1" x14ac:dyDescent="0.15">
      <c r="A364" s="242"/>
      <c r="B364" s="244"/>
      <c r="C364" s="242"/>
      <c r="D364" s="265"/>
      <c r="E364" s="244"/>
      <c r="F364" s="244"/>
      <c r="G364" s="244"/>
      <c r="H364" s="242"/>
      <c r="I364" s="265"/>
      <c r="J364" s="265"/>
      <c r="K364" s="265"/>
      <c r="L364" s="244"/>
      <c r="M364" s="242"/>
      <c r="N364" s="242"/>
      <c r="O364" s="242"/>
      <c r="P364" s="242"/>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44"/>
    </row>
    <row r="365" spans="1:39" ht="18" customHeight="1" x14ac:dyDescent="0.15">
      <c r="A365" s="242"/>
      <c r="B365" s="244"/>
      <c r="C365" s="242"/>
      <c r="D365" s="265"/>
      <c r="E365" s="244"/>
      <c r="F365" s="244"/>
      <c r="G365" s="244"/>
      <c r="H365" s="242"/>
      <c r="I365" s="265"/>
      <c r="J365" s="265"/>
      <c r="K365" s="265"/>
      <c r="L365" s="244"/>
      <c r="M365" s="242"/>
      <c r="N365" s="242"/>
      <c r="O365" s="242"/>
      <c r="P365" s="242"/>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44"/>
    </row>
    <row r="366" spans="1:39" ht="18" customHeight="1" x14ac:dyDescent="0.15">
      <c r="A366" s="242"/>
      <c r="B366" s="244"/>
      <c r="C366" s="242"/>
      <c r="D366" s="265"/>
      <c r="E366" s="244"/>
      <c r="F366" s="244"/>
      <c r="G366" s="244"/>
      <c r="H366" s="242"/>
      <c r="I366" s="265"/>
      <c r="J366" s="265"/>
      <c r="K366" s="265"/>
      <c r="L366" s="244"/>
      <c r="M366" s="242"/>
      <c r="N366" s="242"/>
      <c r="O366" s="242"/>
      <c r="P366" s="242"/>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44"/>
    </row>
    <row r="367" spans="1:39" ht="18" customHeight="1" x14ac:dyDescent="0.15">
      <c r="A367" s="242"/>
      <c r="B367" s="244"/>
      <c r="C367" s="242"/>
      <c r="D367" s="265"/>
      <c r="E367" s="244"/>
      <c r="F367" s="244"/>
      <c r="G367" s="244"/>
      <c r="H367" s="242"/>
      <c r="I367" s="265"/>
      <c r="J367" s="265"/>
      <c r="K367" s="265"/>
      <c r="L367" s="244"/>
      <c r="M367" s="242"/>
      <c r="N367" s="242"/>
      <c r="O367" s="242"/>
      <c r="P367" s="242"/>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44"/>
    </row>
    <row r="368" spans="1:39" ht="18" customHeight="1" x14ac:dyDescent="0.15">
      <c r="A368" s="242"/>
      <c r="B368" s="244"/>
      <c r="C368" s="242"/>
      <c r="D368" s="265"/>
      <c r="E368" s="244"/>
      <c r="F368" s="244"/>
      <c r="G368" s="244"/>
      <c r="H368" s="242"/>
      <c r="I368" s="265"/>
      <c r="J368" s="265"/>
      <c r="K368" s="265"/>
      <c r="L368" s="244"/>
      <c r="M368" s="242"/>
      <c r="N368" s="242"/>
      <c r="O368" s="242"/>
      <c r="P368" s="242"/>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44"/>
    </row>
    <row r="369" spans="1:39" ht="18" customHeight="1" x14ac:dyDescent="0.15">
      <c r="A369" s="242"/>
      <c r="B369" s="244"/>
      <c r="C369" s="242"/>
      <c r="D369" s="265"/>
      <c r="E369" s="244"/>
      <c r="F369" s="244"/>
      <c r="G369" s="244"/>
      <c r="H369" s="242"/>
      <c r="I369" s="265"/>
      <c r="J369" s="265"/>
      <c r="K369" s="265"/>
      <c r="L369" s="244"/>
      <c r="M369" s="242"/>
      <c r="N369" s="242"/>
      <c r="O369" s="242"/>
      <c r="P369" s="242"/>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44"/>
    </row>
    <row r="370" spans="1:39" ht="18" customHeight="1" x14ac:dyDescent="0.15">
      <c r="A370" s="242"/>
      <c r="B370" s="244"/>
      <c r="C370" s="242"/>
      <c r="D370" s="265"/>
      <c r="E370" s="244"/>
      <c r="F370" s="244"/>
      <c r="G370" s="244"/>
      <c r="H370" s="242"/>
      <c r="I370" s="265"/>
      <c r="J370" s="265"/>
      <c r="K370" s="265"/>
      <c r="L370" s="244"/>
      <c r="M370" s="242"/>
      <c r="N370" s="242"/>
      <c r="O370" s="242"/>
      <c r="P370" s="242"/>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44"/>
    </row>
    <row r="371" spans="1:39" ht="18" customHeight="1" x14ac:dyDescent="0.15">
      <c r="A371" s="242"/>
      <c r="B371" s="244"/>
      <c r="C371" s="242"/>
      <c r="D371" s="265"/>
      <c r="E371" s="244"/>
      <c r="F371" s="244"/>
      <c r="G371" s="244"/>
      <c r="H371" s="242"/>
      <c r="I371" s="265"/>
      <c r="J371" s="265"/>
      <c r="K371" s="265"/>
      <c r="L371" s="244"/>
      <c r="M371" s="242"/>
      <c r="N371" s="242"/>
      <c r="O371" s="242"/>
      <c r="P371" s="242"/>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44"/>
    </row>
    <row r="372" spans="1:39" ht="18" customHeight="1" x14ac:dyDescent="0.15">
      <c r="A372" s="242"/>
      <c r="B372" s="244"/>
      <c r="C372" s="242"/>
      <c r="D372" s="265"/>
      <c r="E372" s="244"/>
      <c r="F372" s="244"/>
      <c r="G372" s="244"/>
      <c r="H372" s="242"/>
      <c r="I372" s="265"/>
      <c r="J372" s="265"/>
      <c r="K372" s="265"/>
      <c r="L372" s="244"/>
      <c r="M372" s="242"/>
      <c r="N372" s="242"/>
      <c r="O372" s="242"/>
      <c r="P372" s="242"/>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44"/>
    </row>
    <row r="373" spans="1:39" ht="18" customHeight="1" x14ac:dyDescent="0.15">
      <c r="A373" s="242"/>
      <c r="B373" s="244"/>
      <c r="C373" s="242"/>
      <c r="D373" s="265"/>
      <c r="E373" s="244"/>
      <c r="F373" s="244"/>
      <c r="G373" s="244"/>
      <c r="H373" s="242"/>
      <c r="I373" s="265"/>
      <c r="J373" s="265"/>
      <c r="K373" s="265"/>
      <c r="L373" s="244"/>
      <c r="M373" s="242"/>
      <c r="N373" s="242"/>
      <c r="O373" s="242"/>
      <c r="P373" s="242"/>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44"/>
    </row>
    <row r="374" spans="1:39" ht="18" customHeight="1" x14ac:dyDescent="0.15">
      <c r="A374" s="242"/>
      <c r="B374" s="244"/>
      <c r="C374" s="242"/>
      <c r="D374" s="265"/>
      <c r="E374" s="244"/>
      <c r="F374" s="244"/>
      <c r="G374" s="244"/>
      <c r="H374" s="242"/>
      <c r="I374" s="265"/>
      <c r="J374" s="265"/>
      <c r="K374" s="265"/>
      <c r="L374" s="244"/>
      <c r="M374" s="242"/>
      <c r="N374" s="242"/>
      <c r="O374" s="242"/>
      <c r="P374" s="242"/>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44"/>
    </row>
    <row r="375" spans="1:39" ht="18" customHeight="1" x14ac:dyDescent="0.15">
      <c r="A375" s="242"/>
      <c r="B375" s="244"/>
      <c r="C375" s="242"/>
      <c r="D375" s="265"/>
      <c r="E375" s="244"/>
      <c r="F375" s="244"/>
      <c r="G375" s="244"/>
      <c r="H375" s="242"/>
      <c r="I375" s="265"/>
      <c r="J375" s="265"/>
      <c r="K375" s="265"/>
      <c r="L375" s="244"/>
      <c r="M375" s="242"/>
      <c r="N375" s="242"/>
      <c r="O375" s="242"/>
      <c r="P375" s="242"/>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44"/>
    </row>
    <row r="376" spans="1:39" ht="18" customHeight="1" x14ac:dyDescent="0.15">
      <c r="A376" s="242"/>
      <c r="B376" s="244"/>
      <c r="C376" s="242"/>
      <c r="D376" s="265"/>
      <c r="E376" s="244"/>
      <c r="F376" s="244"/>
      <c r="G376" s="244"/>
      <c r="H376" s="242"/>
      <c r="I376" s="265"/>
      <c r="J376" s="265"/>
      <c r="K376" s="265"/>
      <c r="L376" s="244"/>
      <c r="M376" s="242"/>
      <c r="N376" s="242"/>
      <c r="O376" s="242"/>
      <c r="P376" s="242"/>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44"/>
    </row>
    <row r="377" spans="1:39" ht="18" customHeight="1" x14ac:dyDescent="0.15">
      <c r="A377" s="242"/>
      <c r="B377" s="244"/>
      <c r="C377" s="242"/>
      <c r="D377" s="265"/>
      <c r="E377" s="244"/>
      <c r="F377" s="244"/>
      <c r="G377" s="244"/>
      <c r="H377" s="242"/>
      <c r="I377" s="265"/>
      <c r="J377" s="265"/>
      <c r="K377" s="265"/>
      <c r="L377" s="244"/>
      <c r="M377" s="242"/>
      <c r="N377" s="242"/>
      <c r="O377" s="242"/>
      <c r="P377" s="242"/>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44"/>
    </row>
    <row r="378" spans="1:39" ht="18" customHeight="1" x14ac:dyDescent="0.15">
      <c r="A378" s="242"/>
      <c r="B378" s="244"/>
      <c r="C378" s="242"/>
      <c r="D378" s="265"/>
      <c r="E378" s="244"/>
      <c r="F378" s="244"/>
      <c r="G378" s="244"/>
      <c r="H378" s="242"/>
      <c r="I378" s="265"/>
      <c r="J378" s="265"/>
      <c r="K378" s="265"/>
      <c r="L378" s="244"/>
      <c r="M378" s="242"/>
      <c r="N378" s="242"/>
      <c r="O378" s="242"/>
      <c r="P378" s="242"/>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44"/>
    </row>
    <row r="379" spans="1:39" ht="18" customHeight="1" x14ac:dyDescent="0.15">
      <c r="A379" s="242"/>
      <c r="B379" s="244"/>
      <c r="C379" s="242"/>
      <c r="D379" s="265"/>
      <c r="E379" s="244"/>
      <c r="F379" s="244"/>
      <c r="G379" s="244"/>
      <c r="H379" s="242"/>
      <c r="I379" s="265"/>
      <c r="J379" s="265"/>
      <c r="K379" s="265"/>
      <c r="L379" s="244"/>
      <c r="M379" s="242"/>
      <c r="N379" s="242"/>
      <c r="O379" s="242"/>
      <c r="P379" s="242"/>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44"/>
    </row>
    <row r="380" spans="1:39" ht="18" customHeight="1" x14ac:dyDescent="0.15">
      <c r="A380" s="242"/>
      <c r="B380" s="244"/>
      <c r="C380" s="242"/>
      <c r="D380" s="265"/>
      <c r="E380" s="244"/>
      <c r="F380" s="244"/>
      <c r="G380" s="244"/>
      <c r="H380" s="242"/>
      <c r="I380" s="265"/>
      <c r="J380" s="265"/>
      <c r="K380" s="265"/>
      <c r="L380" s="244"/>
      <c r="M380" s="242"/>
      <c r="N380" s="242"/>
      <c r="O380" s="242"/>
      <c r="P380" s="242"/>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44"/>
    </row>
    <row r="381" spans="1:39" ht="18" customHeight="1" x14ac:dyDescent="0.15">
      <c r="A381" s="242"/>
      <c r="B381" s="244"/>
      <c r="C381" s="242"/>
      <c r="D381" s="265"/>
      <c r="E381" s="244"/>
      <c r="F381" s="244"/>
      <c r="G381" s="244"/>
      <c r="H381" s="242"/>
      <c r="I381" s="265"/>
      <c r="J381" s="265"/>
      <c r="K381" s="265"/>
      <c r="L381" s="244"/>
      <c r="M381" s="242"/>
      <c r="N381" s="242"/>
      <c r="O381" s="242"/>
      <c r="P381" s="242"/>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44"/>
    </row>
    <row r="382" spans="1:39" ht="18" customHeight="1" x14ac:dyDescent="0.15">
      <c r="A382" s="242"/>
      <c r="B382" s="244"/>
      <c r="C382" s="242"/>
      <c r="D382" s="265"/>
      <c r="E382" s="244"/>
      <c r="F382" s="244"/>
      <c r="G382" s="244"/>
      <c r="H382" s="242"/>
      <c r="I382" s="265"/>
      <c r="J382" s="265"/>
      <c r="K382" s="265"/>
      <c r="L382" s="244"/>
      <c r="M382" s="242"/>
      <c r="N382" s="242"/>
      <c r="O382" s="242"/>
      <c r="P382" s="242"/>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44"/>
    </row>
    <row r="383" spans="1:39" ht="18" customHeight="1" x14ac:dyDescent="0.15">
      <c r="A383" s="242"/>
      <c r="B383" s="244"/>
      <c r="C383" s="242"/>
      <c r="D383" s="265"/>
      <c r="E383" s="244"/>
      <c r="F383" s="244"/>
      <c r="G383" s="244"/>
      <c r="H383" s="242"/>
      <c r="I383" s="265"/>
      <c r="J383" s="265"/>
      <c r="K383" s="265"/>
      <c r="L383" s="244"/>
      <c r="M383" s="242"/>
      <c r="N383" s="242"/>
      <c r="O383" s="242"/>
      <c r="P383" s="242"/>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44"/>
    </row>
    <row r="384" spans="1:39" ht="18" customHeight="1" x14ac:dyDescent="0.15">
      <c r="A384" s="242"/>
      <c r="B384" s="244"/>
      <c r="C384" s="242"/>
      <c r="D384" s="265"/>
      <c r="E384" s="244"/>
      <c r="F384" s="244"/>
      <c r="G384" s="244"/>
      <c r="H384" s="242"/>
      <c r="I384" s="265"/>
      <c r="J384" s="265"/>
      <c r="K384" s="265"/>
      <c r="L384" s="244"/>
      <c r="M384" s="242"/>
      <c r="N384" s="242"/>
      <c r="O384" s="242"/>
      <c r="P384" s="242"/>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44"/>
    </row>
    <row r="385" spans="1:39" ht="18" customHeight="1" x14ac:dyDescent="0.15">
      <c r="A385" s="242"/>
      <c r="B385" s="244"/>
      <c r="C385" s="242"/>
      <c r="D385" s="265"/>
      <c r="E385" s="244"/>
      <c r="F385" s="244"/>
      <c r="G385" s="244"/>
      <c r="H385" s="242"/>
      <c r="I385" s="265"/>
      <c r="J385" s="265"/>
      <c r="K385" s="265"/>
      <c r="L385" s="244"/>
      <c r="M385" s="242"/>
      <c r="N385" s="242"/>
      <c r="O385" s="242"/>
      <c r="P385" s="242"/>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44"/>
    </row>
    <row r="386" spans="1:39" ht="18" customHeight="1" x14ac:dyDescent="0.15">
      <c r="A386" s="242"/>
      <c r="B386" s="244"/>
      <c r="C386" s="242"/>
      <c r="D386" s="265"/>
      <c r="E386" s="244"/>
      <c r="F386" s="244"/>
      <c r="G386" s="244"/>
      <c r="H386" s="242"/>
      <c r="I386" s="265"/>
      <c r="J386" s="265"/>
      <c r="K386" s="265"/>
      <c r="L386" s="244"/>
      <c r="M386" s="242"/>
      <c r="N386" s="242"/>
      <c r="O386" s="242"/>
      <c r="P386" s="242"/>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44"/>
    </row>
    <row r="387" spans="1:39" ht="18" customHeight="1" x14ac:dyDescent="0.15">
      <c r="A387" s="242"/>
      <c r="B387" s="244"/>
      <c r="C387" s="242"/>
      <c r="D387" s="265"/>
      <c r="E387" s="244"/>
      <c r="F387" s="244"/>
      <c r="G387" s="244"/>
      <c r="H387" s="242"/>
      <c r="I387" s="265"/>
      <c r="J387" s="265"/>
      <c r="K387" s="265"/>
      <c r="L387" s="244"/>
      <c r="M387" s="242"/>
      <c r="N387" s="242"/>
      <c r="O387" s="242"/>
      <c r="P387" s="242"/>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44"/>
    </row>
    <row r="388" spans="1:39" ht="18" customHeight="1" x14ac:dyDescent="0.15">
      <c r="A388" s="242"/>
      <c r="B388" s="244"/>
      <c r="C388" s="242"/>
      <c r="D388" s="265"/>
      <c r="E388" s="244"/>
      <c r="F388" s="244"/>
      <c r="G388" s="244"/>
      <c r="H388" s="242"/>
      <c r="I388" s="265"/>
      <c r="J388" s="265"/>
      <c r="K388" s="265"/>
      <c r="L388" s="244"/>
      <c r="M388" s="242"/>
      <c r="N388" s="242"/>
      <c r="O388" s="242"/>
      <c r="P388" s="242"/>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44"/>
    </row>
    <row r="389" spans="1:39" ht="18" customHeight="1" x14ac:dyDescent="0.15">
      <c r="A389" s="242"/>
      <c r="B389" s="244"/>
      <c r="C389" s="242"/>
      <c r="D389" s="265"/>
      <c r="E389" s="244"/>
      <c r="F389" s="244"/>
      <c r="G389" s="244"/>
      <c r="H389" s="242"/>
      <c r="I389" s="265"/>
      <c r="J389" s="265"/>
      <c r="K389" s="265"/>
      <c r="L389" s="244"/>
      <c r="M389" s="242"/>
      <c r="N389" s="242"/>
      <c r="O389" s="242"/>
      <c r="P389" s="242"/>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44"/>
    </row>
    <row r="390" spans="1:39" ht="18" customHeight="1" x14ac:dyDescent="0.15">
      <c r="A390" s="242"/>
      <c r="B390" s="244"/>
      <c r="C390" s="242"/>
      <c r="D390" s="265"/>
      <c r="E390" s="244"/>
      <c r="F390" s="244"/>
      <c r="G390" s="244"/>
      <c r="H390" s="242"/>
      <c r="I390" s="265"/>
      <c r="J390" s="265"/>
      <c r="K390" s="265"/>
      <c r="L390" s="244"/>
      <c r="M390" s="242"/>
      <c r="N390" s="242"/>
      <c r="O390" s="242"/>
      <c r="P390" s="242"/>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44"/>
    </row>
    <row r="391" spans="1:39" ht="18" customHeight="1" x14ac:dyDescent="0.15">
      <c r="A391" s="242"/>
      <c r="B391" s="244"/>
      <c r="C391" s="242"/>
      <c r="D391" s="265"/>
      <c r="E391" s="244"/>
      <c r="F391" s="244"/>
      <c r="G391" s="244"/>
      <c r="H391" s="242"/>
      <c r="I391" s="265"/>
      <c r="J391" s="265"/>
      <c r="K391" s="265"/>
      <c r="L391" s="244"/>
      <c r="M391" s="242"/>
      <c r="N391" s="242"/>
      <c r="O391" s="242"/>
      <c r="P391" s="242"/>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44"/>
    </row>
    <row r="392" spans="1:39" ht="18" customHeight="1" x14ac:dyDescent="0.15">
      <c r="A392" s="242"/>
      <c r="B392" s="244"/>
      <c r="C392" s="242"/>
      <c r="D392" s="265"/>
      <c r="E392" s="244"/>
      <c r="F392" s="244"/>
      <c r="G392" s="244"/>
      <c r="H392" s="242"/>
      <c r="I392" s="265"/>
      <c r="J392" s="265"/>
      <c r="K392" s="265"/>
      <c r="L392" s="244"/>
      <c r="M392" s="242"/>
      <c r="N392" s="242"/>
      <c r="O392" s="242"/>
      <c r="P392" s="242"/>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44"/>
    </row>
    <row r="393" spans="1:39" ht="18" customHeight="1" x14ac:dyDescent="0.15">
      <c r="A393" s="242"/>
      <c r="B393" s="244"/>
      <c r="C393" s="242"/>
      <c r="D393" s="265"/>
      <c r="E393" s="244"/>
      <c r="F393" s="244"/>
      <c r="G393" s="244"/>
      <c r="H393" s="242"/>
      <c r="I393" s="265"/>
      <c r="J393" s="265"/>
      <c r="K393" s="265"/>
      <c r="L393" s="244"/>
      <c r="M393" s="242"/>
      <c r="N393" s="242"/>
      <c r="O393" s="242"/>
      <c r="P393" s="242"/>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44"/>
    </row>
    <row r="394" spans="1:39" ht="18" customHeight="1" x14ac:dyDescent="0.15">
      <c r="A394" s="242"/>
      <c r="B394" s="244"/>
      <c r="C394" s="242"/>
      <c r="D394" s="265"/>
      <c r="E394" s="244"/>
      <c r="F394" s="244"/>
      <c r="G394" s="244"/>
      <c r="H394" s="242"/>
      <c r="I394" s="265"/>
      <c r="J394" s="265"/>
      <c r="K394" s="265"/>
      <c r="L394" s="244"/>
      <c r="M394" s="242"/>
      <c r="N394" s="242"/>
      <c r="O394" s="242"/>
      <c r="P394" s="242"/>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44"/>
    </row>
    <row r="395" spans="1:39" ht="18" customHeight="1" x14ac:dyDescent="0.15">
      <c r="A395" s="242"/>
      <c r="B395" s="244"/>
      <c r="C395" s="242"/>
      <c r="D395" s="265"/>
      <c r="E395" s="244"/>
      <c r="F395" s="244"/>
      <c r="G395" s="244"/>
      <c r="H395" s="242"/>
      <c r="I395" s="265"/>
      <c r="J395" s="265"/>
      <c r="K395" s="265"/>
      <c r="L395" s="244"/>
      <c r="M395" s="242"/>
      <c r="N395" s="242"/>
      <c r="O395" s="242"/>
      <c r="P395" s="242"/>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44"/>
    </row>
    <row r="396" spans="1:39" ht="18" customHeight="1" x14ac:dyDescent="0.15">
      <c r="A396" s="242"/>
      <c r="B396" s="244"/>
      <c r="C396" s="242"/>
      <c r="D396" s="265"/>
      <c r="E396" s="244"/>
      <c r="F396" s="244"/>
      <c r="G396" s="244"/>
      <c r="H396" s="242"/>
      <c r="I396" s="265"/>
      <c r="J396" s="265"/>
      <c r="K396" s="265"/>
      <c r="L396" s="244"/>
      <c r="M396" s="242"/>
      <c r="N396" s="242"/>
      <c r="O396" s="242"/>
      <c r="P396" s="242"/>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44"/>
    </row>
    <row r="397" spans="1:39" ht="18" customHeight="1" x14ac:dyDescent="0.15">
      <c r="A397" s="242"/>
      <c r="B397" s="244"/>
      <c r="C397" s="242"/>
      <c r="D397" s="265"/>
      <c r="E397" s="244"/>
      <c r="F397" s="244"/>
      <c r="G397" s="244"/>
      <c r="H397" s="242"/>
      <c r="I397" s="265"/>
      <c r="J397" s="265"/>
      <c r="K397" s="265"/>
      <c r="L397" s="244"/>
      <c r="M397" s="242"/>
      <c r="N397" s="242"/>
      <c r="O397" s="242"/>
      <c r="P397" s="242"/>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44"/>
    </row>
    <row r="398" spans="1:39" ht="18" customHeight="1" x14ac:dyDescent="0.15">
      <c r="A398" s="242"/>
      <c r="B398" s="244"/>
      <c r="C398" s="242"/>
      <c r="D398" s="265"/>
      <c r="E398" s="244"/>
      <c r="F398" s="244"/>
      <c r="G398" s="244"/>
      <c r="H398" s="242"/>
      <c r="I398" s="265"/>
      <c r="J398" s="265"/>
      <c r="K398" s="265"/>
      <c r="L398" s="244"/>
      <c r="M398" s="242"/>
      <c r="N398" s="242"/>
      <c r="O398" s="242"/>
      <c r="P398" s="242"/>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44"/>
    </row>
    <row r="399" spans="1:39" ht="18" customHeight="1" x14ac:dyDescent="0.15">
      <c r="A399" s="242"/>
      <c r="B399" s="244"/>
      <c r="C399" s="242"/>
      <c r="D399" s="265"/>
      <c r="E399" s="244"/>
      <c r="F399" s="244"/>
      <c r="G399" s="244"/>
      <c r="H399" s="242"/>
      <c r="I399" s="265"/>
      <c r="J399" s="265"/>
      <c r="K399" s="265"/>
      <c r="L399" s="244"/>
      <c r="M399" s="242"/>
      <c r="N399" s="242"/>
      <c r="O399" s="242"/>
      <c r="P399" s="242"/>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44"/>
    </row>
    <row r="400" spans="1:39" ht="18" customHeight="1" x14ac:dyDescent="0.15">
      <c r="A400" s="242"/>
      <c r="B400" s="244"/>
      <c r="C400" s="242"/>
      <c r="D400" s="265"/>
      <c r="E400" s="244"/>
      <c r="F400" s="244"/>
      <c r="G400" s="244"/>
      <c r="H400" s="242"/>
      <c r="I400" s="265"/>
      <c r="J400" s="265"/>
      <c r="K400" s="265"/>
      <c r="L400" s="244"/>
      <c r="M400" s="242"/>
      <c r="N400" s="242"/>
      <c r="O400" s="242"/>
      <c r="P400" s="242"/>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44"/>
    </row>
    <row r="401" spans="1:39" ht="18" customHeight="1" x14ac:dyDescent="0.15">
      <c r="A401" s="242"/>
      <c r="B401" s="244"/>
      <c r="C401" s="242"/>
      <c r="D401" s="265"/>
      <c r="E401" s="244"/>
      <c r="F401" s="244"/>
      <c r="G401" s="244"/>
      <c r="H401" s="242"/>
      <c r="I401" s="265"/>
      <c r="J401" s="265"/>
      <c r="K401" s="265"/>
      <c r="L401" s="244"/>
      <c r="M401" s="242"/>
      <c r="N401" s="242"/>
      <c r="O401" s="242"/>
      <c r="P401" s="242"/>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44"/>
    </row>
    <row r="402" spans="1:39" ht="18" customHeight="1" x14ac:dyDescent="0.15">
      <c r="A402" s="242"/>
      <c r="B402" s="244"/>
      <c r="C402" s="242"/>
      <c r="D402" s="265"/>
      <c r="E402" s="244"/>
      <c r="F402" s="244"/>
      <c r="G402" s="244"/>
      <c r="H402" s="242"/>
      <c r="I402" s="265"/>
      <c r="J402" s="265"/>
      <c r="K402" s="265"/>
      <c r="L402" s="244"/>
      <c r="M402" s="242"/>
      <c r="N402" s="242"/>
      <c r="O402" s="242"/>
      <c r="P402" s="242"/>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44"/>
    </row>
    <row r="403" spans="1:39" ht="18" customHeight="1" x14ac:dyDescent="0.15">
      <c r="A403" s="242"/>
      <c r="B403" s="244"/>
      <c r="C403" s="242"/>
      <c r="D403" s="265"/>
      <c r="E403" s="244"/>
      <c r="F403" s="244"/>
      <c r="G403" s="244"/>
      <c r="H403" s="242"/>
      <c r="I403" s="265"/>
      <c r="J403" s="265"/>
      <c r="K403" s="265"/>
      <c r="L403" s="244"/>
      <c r="M403" s="242"/>
      <c r="N403" s="242"/>
      <c r="O403" s="242"/>
      <c r="P403" s="242"/>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44"/>
    </row>
    <row r="404" spans="1:39" ht="18" customHeight="1" x14ac:dyDescent="0.15">
      <c r="A404" s="242"/>
      <c r="B404" s="244"/>
      <c r="C404" s="242"/>
      <c r="D404" s="265"/>
      <c r="E404" s="244"/>
      <c r="F404" s="244"/>
      <c r="G404" s="244"/>
      <c r="H404" s="242"/>
      <c r="I404" s="265"/>
      <c r="J404" s="265"/>
      <c r="K404" s="265"/>
      <c r="L404" s="244"/>
      <c r="M404" s="242"/>
      <c r="N404" s="242"/>
      <c r="O404" s="242"/>
      <c r="P404" s="242"/>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44"/>
    </row>
    <row r="405" spans="1:39" ht="18" customHeight="1" x14ac:dyDescent="0.15">
      <c r="A405" s="242"/>
      <c r="B405" s="244"/>
      <c r="C405" s="242"/>
      <c r="D405" s="265"/>
      <c r="E405" s="244"/>
      <c r="F405" s="244"/>
      <c r="G405" s="244"/>
      <c r="H405" s="242"/>
      <c r="I405" s="265"/>
      <c r="J405" s="265"/>
      <c r="K405" s="265"/>
      <c r="L405" s="244"/>
      <c r="M405" s="242"/>
      <c r="N405" s="242"/>
      <c r="O405" s="242"/>
      <c r="P405" s="242"/>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44"/>
    </row>
    <row r="406" spans="1:39" ht="18" customHeight="1" x14ac:dyDescent="0.15">
      <c r="A406" s="242"/>
      <c r="B406" s="244"/>
      <c r="C406" s="242"/>
      <c r="D406" s="265"/>
      <c r="E406" s="244"/>
      <c r="F406" s="244"/>
      <c r="G406" s="244"/>
      <c r="H406" s="242"/>
      <c r="I406" s="265"/>
      <c r="J406" s="265"/>
      <c r="K406" s="265"/>
      <c r="L406" s="244"/>
      <c r="M406" s="242"/>
      <c r="N406" s="242"/>
      <c r="O406" s="242"/>
      <c r="P406" s="242"/>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44"/>
    </row>
    <row r="407" spans="1:39" ht="18" customHeight="1" x14ac:dyDescent="0.15">
      <c r="A407" s="242"/>
      <c r="B407" s="244"/>
      <c r="C407" s="242"/>
      <c r="D407" s="265"/>
      <c r="E407" s="244"/>
      <c r="F407" s="244"/>
      <c r="G407" s="244"/>
      <c r="H407" s="242"/>
      <c r="I407" s="265"/>
      <c r="J407" s="265"/>
      <c r="K407" s="265"/>
      <c r="L407" s="244"/>
      <c r="M407" s="242"/>
      <c r="N407" s="242"/>
      <c r="O407" s="242"/>
      <c r="P407" s="242"/>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44"/>
    </row>
    <row r="408" spans="1:39" ht="18" customHeight="1" x14ac:dyDescent="0.15">
      <c r="A408" s="242"/>
      <c r="B408" s="244"/>
      <c r="C408" s="242"/>
      <c r="D408" s="265"/>
      <c r="E408" s="244"/>
      <c r="F408" s="244"/>
      <c r="G408" s="244"/>
      <c r="H408" s="242"/>
      <c r="I408" s="265"/>
      <c r="J408" s="265"/>
      <c r="K408" s="265"/>
      <c r="L408" s="244"/>
      <c r="M408" s="242"/>
      <c r="N408" s="242"/>
      <c r="O408" s="242"/>
      <c r="P408" s="242"/>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44"/>
    </row>
    <row r="409" spans="1:39" ht="18" customHeight="1" x14ac:dyDescent="0.15">
      <c r="A409" s="242"/>
      <c r="B409" s="244"/>
      <c r="C409" s="242"/>
      <c r="D409" s="265"/>
      <c r="E409" s="244"/>
      <c r="F409" s="244"/>
      <c r="G409" s="244"/>
      <c r="H409" s="242"/>
      <c r="I409" s="265"/>
      <c r="J409" s="265"/>
      <c r="K409" s="265"/>
      <c r="L409" s="244"/>
      <c r="M409" s="242"/>
      <c r="N409" s="242"/>
      <c r="O409" s="242"/>
      <c r="P409" s="242"/>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44"/>
    </row>
    <row r="410" spans="1:39" ht="18" customHeight="1" x14ac:dyDescent="0.15">
      <c r="A410" s="242"/>
      <c r="B410" s="244"/>
      <c r="C410" s="242"/>
      <c r="D410" s="265"/>
      <c r="E410" s="244"/>
      <c r="F410" s="244"/>
      <c r="G410" s="244"/>
      <c r="H410" s="242"/>
      <c r="I410" s="265"/>
      <c r="J410" s="265"/>
      <c r="K410" s="265"/>
      <c r="L410" s="244"/>
      <c r="M410" s="242"/>
      <c r="N410" s="242"/>
      <c r="O410" s="242"/>
      <c r="P410" s="242"/>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44"/>
    </row>
    <row r="411" spans="1:39" ht="18" customHeight="1" x14ac:dyDescent="0.15">
      <c r="A411" s="242"/>
      <c r="B411" s="244"/>
      <c r="C411" s="242"/>
      <c r="D411" s="265"/>
      <c r="E411" s="244"/>
      <c r="F411" s="244"/>
      <c r="G411" s="244"/>
      <c r="H411" s="242"/>
      <c r="I411" s="265"/>
      <c r="J411" s="265"/>
      <c r="K411" s="265"/>
      <c r="L411" s="244"/>
      <c r="M411" s="242"/>
      <c r="N411" s="242"/>
      <c r="O411" s="242"/>
      <c r="P411" s="242"/>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44"/>
    </row>
    <row r="412" spans="1:39" ht="18" customHeight="1" x14ac:dyDescent="0.15">
      <c r="A412" s="242"/>
      <c r="B412" s="244"/>
      <c r="C412" s="242"/>
      <c r="D412" s="265"/>
      <c r="E412" s="244"/>
      <c r="F412" s="244"/>
      <c r="G412" s="244"/>
      <c r="H412" s="242"/>
      <c r="I412" s="265"/>
      <c r="J412" s="265"/>
      <c r="K412" s="265"/>
      <c r="L412" s="244"/>
      <c r="M412" s="242"/>
      <c r="N412" s="242"/>
      <c r="O412" s="242"/>
      <c r="P412" s="242"/>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44"/>
    </row>
    <row r="413" spans="1:39" ht="18" customHeight="1" x14ac:dyDescent="0.15">
      <c r="A413" s="242"/>
      <c r="B413" s="244"/>
      <c r="C413" s="242"/>
      <c r="D413" s="265"/>
      <c r="E413" s="244"/>
      <c r="F413" s="244"/>
      <c r="G413" s="244"/>
      <c r="H413" s="242"/>
      <c r="I413" s="265"/>
      <c r="J413" s="265"/>
      <c r="K413" s="265"/>
      <c r="L413" s="244"/>
      <c r="M413" s="242"/>
      <c r="N413" s="242"/>
      <c r="O413" s="242"/>
      <c r="P413" s="242"/>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44"/>
    </row>
    <row r="414" spans="1:39" ht="18" customHeight="1" x14ac:dyDescent="0.15">
      <c r="A414" s="242"/>
      <c r="B414" s="244"/>
      <c r="C414" s="242"/>
      <c r="D414" s="265"/>
      <c r="E414" s="244"/>
      <c r="F414" s="244"/>
      <c r="G414" s="244"/>
      <c r="H414" s="242"/>
      <c r="I414" s="265"/>
      <c r="J414" s="265"/>
      <c r="K414" s="265"/>
      <c r="L414" s="244"/>
      <c r="M414" s="242"/>
      <c r="N414" s="242"/>
      <c r="O414" s="242"/>
      <c r="P414" s="242"/>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44"/>
    </row>
    <row r="415" spans="1:39" ht="18" customHeight="1" x14ac:dyDescent="0.15">
      <c r="A415" s="242"/>
      <c r="B415" s="244"/>
      <c r="C415" s="242"/>
      <c r="D415" s="265"/>
      <c r="E415" s="244"/>
      <c r="F415" s="244"/>
      <c r="G415" s="244"/>
      <c r="H415" s="242"/>
      <c r="I415" s="265"/>
      <c r="J415" s="265"/>
      <c r="K415" s="265"/>
      <c r="L415" s="244"/>
      <c r="M415" s="242"/>
      <c r="N415" s="242"/>
      <c r="O415" s="242"/>
      <c r="P415" s="242"/>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44"/>
    </row>
    <row r="416" spans="1:39" ht="18" customHeight="1" x14ac:dyDescent="0.15">
      <c r="A416" s="242"/>
      <c r="B416" s="244"/>
      <c r="C416" s="242"/>
      <c r="D416" s="265"/>
      <c r="E416" s="244"/>
      <c r="F416" s="244"/>
      <c r="G416" s="244"/>
      <c r="H416" s="242"/>
      <c r="I416" s="265"/>
      <c r="J416" s="265"/>
      <c r="K416" s="265"/>
      <c r="L416" s="244"/>
      <c r="M416" s="242"/>
      <c r="N416" s="242"/>
      <c r="O416" s="242"/>
      <c r="P416" s="242"/>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44"/>
    </row>
    <row r="417" spans="1:39" ht="18" customHeight="1" x14ac:dyDescent="0.15">
      <c r="A417" s="242"/>
      <c r="B417" s="244"/>
      <c r="C417" s="242"/>
      <c r="D417" s="265"/>
      <c r="E417" s="244"/>
      <c r="F417" s="244"/>
      <c r="G417" s="244"/>
      <c r="H417" s="242"/>
      <c r="I417" s="265"/>
      <c r="J417" s="265"/>
      <c r="K417" s="265"/>
      <c r="L417" s="244"/>
      <c r="M417" s="242"/>
      <c r="N417" s="242"/>
      <c r="O417" s="242"/>
      <c r="P417" s="242"/>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44"/>
    </row>
    <row r="418" spans="1:39" ht="18" customHeight="1" x14ac:dyDescent="0.15">
      <c r="A418" s="242"/>
      <c r="B418" s="244"/>
      <c r="C418" s="242"/>
      <c r="D418" s="265"/>
      <c r="E418" s="244"/>
      <c r="F418" s="244"/>
      <c r="G418" s="244"/>
      <c r="H418" s="242"/>
      <c r="I418" s="265"/>
      <c r="J418" s="265"/>
      <c r="K418" s="265"/>
      <c r="L418" s="244"/>
      <c r="M418" s="242"/>
      <c r="N418" s="242"/>
      <c r="O418" s="242"/>
      <c r="P418" s="242"/>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44"/>
    </row>
    <row r="419" spans="1:39" ht="18" customHeight="1" x14ac:dyDescent="0.15">
      <c r="A419" s="242"/>
      <c r="B419" s="244"/>
      <c r="C419" s="242"/>
      <c r="D419" s="265"/>
      <c r="E419" s="244"/>
      <c r="F419" s="244"/>
      <c r="G419" s="244"/>
      <c r="H419" s="242"/>
      <c r="I419" s="265"/>
      <c r="J419" s="265"/>
      <c r="K419" s="265"/>
      <c r="L419" s="244"/>
      <c r="M419" s="242"/>
      <c r="N419" s="242"/>
      <c r="O419" s="242"/>
      <c r="P419" s="242"/>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44"/>
    </row>
    <row r="420" spans="1:39" ht="18" customHeight="1" x14ac:dyDescent="0.15">
      <c r="A420" s="242"/>
      <c r="B420" s="244"/>
      <c r="C420" s="242"/>
      <c r="D420" s="265"/>
      <c r="E420" s="244"/>
      <c r="F420" s="244"/>
      <c r="G420" s="244"/>
      <c r="H420" s="242"/>
      <c r="I420" s="265"/>
      <c r="J420" s="265"/>
      <c r="K420" s="265"/>
      <c r="L420" s="244"/>
      <c r="M420" s="242"/>
      <c r="N420" s="242"/>
      <c r="O420" s="242"/>
      <c r="P420" s="242"/>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44"/>
    </row>
    <row r="421" spans="1:39" ht="18" customHeight="1" x14ac:dyDescent="0.15">
      <c r="A421" s="242"/>
      <c r="B421" s="244"/>
      <c r="C421" s="242"/>
      <c r="D421" s="265"/>
      <c r="E421" s="244"/>
      <c r="F421" s="244"/>
      <c r="G421" s="244"/>
      <c r="H421" s="242"/>
      <c r="I421" s="265"/>
      <c r="J421" s="265"/>
      <c r="K421" s="265"/>
      <c r="L421" s="244"/>
      <c r="M421" s="242"/>
      <c r="N421" s="242"/>
      <c r="O421" s="242"/>
      <c r="P421" s="242"/>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44"/>
    </row>
    <row r="422" spans="1:39" ht="18" customHeight="1" x14ac:dyDescent="0.15">
      <c r="A422" s="242"/>
      <c r="B422" s="244"/>
      <c r="C422" s="242"/>
      <c r="D422" s="265"/>
      <c r="E422" s="244"/>
      <c r="F422" s="244"/>
      <c r="G422" s="244"/>
      <c r="H422" s="242"/>
      <c r="I422" s="265"/>
      <c r="J422" s="265"/>
      <c r="K422" s="265"/>
      <c r="L422" s="244"/>
      <c r="M422" s="242"/>
      <c r="N422" s="242"/>
      <c r="O422" s="242"/>
      <c r="P422" s="242"/>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44"/>
    </row>
    <row r="423" spans="1:39" ht="18" customHeight="1" x14ac:dyDescent="0.15">
      <c r="A423" s="242"/>
      <c r="B423" s="244"/>
      <c r="C423" s="242"/>
      <c r="D423" s="265"/>
      <c r="E423" s="244"/>
      <c r="F423" s="244"/>
      <c r="G423" s="244"/>
      <c r="H423" s="242"/>
      <c r="I423" s="265"/>
      <c r="J423" s="265"/>
      <c r="K423" s="265"/>
      <c r="L423" s="244"/>
      <c r="M423" s="242"/>
      <c r="N423" s="242"/>
      <c r="O423" s="242"/>
      <c r="P423" s="242"/>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44"/>
    </row>
    <row r="424" spans="1:39" ht="18" customHeight="1" x14ac:dyDescent="0.15">
      <c r="A424" s="242"/>
      <c r="B424" s="244"/>
      <c r="C424" s="242"/>
      <c r="D424" s="265"/>
      <c r="E424" s="244"/>
      <c r="F424" s="244"/>
      <c r="G424" s="244"/>
      <c r="H424" s="242"/>
      <c r="I424" s="265"/>
      <c r="J424" s="265"/>
      <c r="K424" s="265"/>
      <c r="L424" s="244"/>
      <c r="M424" s="242"/>
      <c r="N424" s="242"/>
      <c r="O424" s="242"/>
      <c r="P424" s="242"/>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44"/>
    </row>
    <row r="425" spans="1:39" ht="18" customHeight="1" x14ac:dyDescent="0.15">
      <c r="A425" s="242"/>
      <c r="B425" s="244"/>
      <c r="C425" s="242"/>
      <c r="D425" s="265"/>
      <c r="E425" s="244"/>
      <c r="F425" s="244"/>
      <c r="G425" s="244"/>
      <c r="H425" s="242"/>
      <c r="I425" s="265"/>
      <c r="J425" s="265"/>
      <c r="K425" s="265"/>
      <c r="L425" s="244"/>
      <c r="M425" s="242"/>
      <c r="N425" s="242"/>
      <c r="O425" s="242"/>
      <c r="P425" s="242"/>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44"/>
    </row>
    <row r="426" spans="1:39" ht="18" customHeight="1" x14ac:dyDescent="0.15">
      <c r="A426" s="242"/>
      <c r="B426" s="244"/>
      <c r="C426" s="242"/>
      <c r="D426" s="265"/>
      <c r="E426" s="244"/>
      <c r="F426" s="244"/>
      <c r="G426" s="244"/>
      <c r="H426" s="242"/>
      <c r="I426" s="265"/>
      <c r="J426" s="265"/>
      <c r="K426" s="265"/>
      <c r="L426" s="244"/>
      <c r="M426" s="242"/>
      <c r="N426" s="242"/>
      <c r="O426" s="242"/>
      <c r="P426" s="242"/>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44"/>
    </row>
    <row r="427" spans="1:39" ht="18" customHeight="1" x14ac:dyDescent="0.15">
      <c r="A427" s="242"/>
      <c r="B427" s="244"/>
      <c r="C427" s="242"/>
      <c r="D427" s="265"/>
      <c r="E427" s="244"/>
      <c r="F427" s="244"/>
      <c r="G427" s="244"/>
      <c r="H427" s="242"/>
      <c r="I427" s="265"/>
      <c r="J427" s="265"/>
      <c r="K427" s="265"/>
      <c r="L427" s="244"/>
      <c r="M427" s="242"/>
      <c r="N427" s="242"/>
      <c r="O427" s="242"/>
      <c r="P427" s="242"/>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44"/>
    </row>
    <row r="428" spans="1:39" ht="18" customHeight="1" x14ac:dyDescent="0.15">
      <c r="A428" s="242"/>
      <c r="B428" s="244"/>
      <c r="C428" s="242"/>
      <c r="D428" s="265"/>
      <c r="E428" s="244"/>
      <c r="F428" s="244"/>
      <c r="G428" s="244"/>
      <c r="H428" s="242"/>
      <c r="I428" s="265"/>
      <c r="J428" s="265"/>
      <c r="K428" s="265"/>
      <c r="L428" s="244"/>
      <c r="M428" s="242"/>
      <c r="N428" s="242"/>
      <c r="O428" s="242"/>
      <c r="P428" s="242"/>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44"/>
    </row>
    <row r="429" spans="1:39" ht="18" customHeight="1" x14ac:dyDescent="0.15">
      <c r="A429" s="242"/>
      <c r="B429" s="244"/>
      <c r="C429" s="242"/>
      <c r="D429" s="265"/>
      <c r="E429" s="244"/>
      <c r="F429" s="244"/>
      <c r="G429" s="244"/>
      <c r="H429" s="242"/>
      <c r="I429" s="265"/>
      <c r="J429" s="265"/>
      <c r="K429" s="265"/>
      <c r="L429" s="244"/>
      <c r="M429" s="242"/>
      <c r="N429" s="242"/>
      <c r="O429" s="242"/>
      <c r="P429" s="242"/>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44"/>
    </row>
    <row r="430" spans="1:39" ht="18" customHeight="1" x14ac:dyDescent="0.15">
      <c r="A430" s="242"/>
      <c r="B430" s="244"/>
      <c r="C430" s="242"/>
      <c r="D430" s="265"/>
      <c r="E430" s="244"/>
      <c r="F430" s="244"/>
      <c r="G430" s="244"/>
      <c r="H430" s="242"/>
      <c r="I430" s="265"/>
      <c r="J430" s="265"/>
      <c r="K430" s="265"/>
      <c r="L430" s="244"/>
      <c r="M430" s="242"/>
      <c r="N430" s="242"/>
      <c r="O430" s="242"/>
      <c r="P430" s="242"/>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44"/>
    </row>
    <row r="431" spans="1:39" ht="18" customHeight="1" x14ac:dyDescent="0.15">
      <c r="A431" s="242"/>
      <c r="B431" s="244"/>
      <c r="C431" s="242"/>
      <c r="D431" s="265"/>
      <c r="E431" s="244"/>
      <c r="F431" s="244"/>
      <c r="G431" s="244"/>
      <c r="H431" s="242"/>
      <c r="I431" s="265"/>
      <c r="J431" s="265"/>
      <c r="K431" s="265"/>
      <c r="L431" s="244"/>
      <c r="M431" s="242"/>
      <c r="N431" s="242"/>
      <c r="O431" s="242"/>
      <c r="P431" s="242"/>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44"/>
    </row>
    <row r="432" spans="1:39" ht="18" customHeight="1" x14ac:dyDescent="0.15">
      <c r="A432" s="242"/>
      <c r="B432" s="244"/>
      <c r="C432" s="242"/>
      <c r="D432" s="265"/>
      <c r="E432" s="244"/>
      <c r="F432" s="244"/>
      <c r="G432" s="244"/>
      <c r="H432" s="242"/>
      <c r="I432" s="265"/>
      <c r="J432" s="265"/>
      <c r="K432" s="265"/>
      <c r="L432" s="244"/>
      <c r="M432" s="242"/>
      <c r="N432" s="242"/>
      <c r="O432" s="242"/>
      <c r="P432" s="242"/>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44"/>
    </row>
    <row r="433" spans="1:39" ht="18" customHeight="1" x14ac:dyDescent="0.15">
      <c r="A433" s="242"/>
      <c r="B433" s="244"/>
      <c r="C433" s="242"/>
      <c r="D433" s="265"/>
      <c r="E433" s="244"/>
      <c r="F433" s="244"/>
      <c r="G433" s="244"/>
      <c r="H433" s="242"/>
      <c r="I433" s="265"/>
      <c r="J433" s="265"/>
      <c r="K433" s="265"/>
      <c r="L433" s="244"/>
      <c r="M433" s="242"/>
      <c r="N433" s="242"/>
      <c r="O433" s="242"/>
      <c r="P433" s="242"/>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44"/>
    </row>
    <row r="434" spans="1:39" ht="18" customHeight="1" x14ac:dyDescent="0.15">
      <c r="A434" s="242"/>
      <c r="B434" s="244"/>
      <c r="C434" s="242"/>
      <c r="D434" s="265"/>
      <c r="E434" s="244"/>
      <c r="F434" s="244"/>
      <c r="G434" s="244"/>
      <c r="H434" s="242"/>
      <c r="I434" s="265"/>
      <c r="J434" s="265"/>
      <c r="K434" s="265"/>
      <c r="L434" s="244"/>
      <c r="M434" s="242"/>
      <c r="N434" s="242"/>
      <c r="O434" s="242"/>
      <c r="P434" s="242"/>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44"/>
    </row>
    <row r="435" spans="1:39" ht="18" customHeight="1" x14ac:dyDescent="0.15">
      <c r="A435" s="242"/>
      <c r="B435" s="244"/>
      <c r="C435" s="242"/>
      <c r="D435" s="265"/>
      <c r="E435" s="244"/>
      <c r="F435" s="244"/>
      <c r="G435" s="244"/>
      <c r="H435" s="242"/>
      <c r="I435" s="265"/>
      <c r="J435" s="265"/>
      <c r="K435" s="265"/>
      <c r="L435" s="244"/>
      <c r="M435" s="242"/>
      <c r="N435" s="242"/>
      <c r="O435" s="242"/>
      <c r="P435" s="242"/>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44"/>
    </row>
    <row r="436" spans="1:39" ht="18" customHeight="1" x14ac:dyDescent="0.15">
      <c r="A436" s="242"/>
      <c r="B436" s="244"/>
      <c r="C436" s="242"/>
      <c r="D436" s="265"/>
      <c r="E436" s="244"/>
      <c r="F436" s="244"/>
      <c r="G436" s="244"/>
      <c r="H436" s="242"/>
      <c r="I436" s="265"/>
      <c r="J436" s="265"/>
      <c r="K436" s="265"/>
      <c r="L436" s="244"/>
      <c r="M436" s="242"/>
      <c r="N436" s="242"/>
      <c r="O436" s="242"/>
      <c r="P436" s="242"/>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44"/>
    </row>
    <row r="437" spans="1:39" ht="18" customHeight="1" x14ac:dyDescent="0.15">
      <c r="A437" s="242"/>
      <c r="B437" s="244"/>
      <c r="C437" s="242"/>
      <c r="D437" s="265"/>
      <c r="E437" s="244"/>
      <c r="F437" s="244"/>
      <c r="G437" s="244"/>
      <c r="H437" s="242"/>
      <c r="I437" s="265"/>
      <c r="J437" s="265"/>
      <c r="K437" s="265"/>
      <c r="L437" s="244"/>
      <c r="M437" s="242"/>
      <c r="N437" s="242"/>
      <c r="O437" s="242"/>
      <c r="P437" s="242"/>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44"/>
    </row>
    <row r="438" spans="1:39" ht="18" customHeight="1" x14ac:dyDescent="0.15">
      <c r="A438" s="242"/>
      <c r="B438" s="244"/>
      <c r="C438" s="242"/>
      <c r="D438" s="265"/>
      <c r="E438" s="244"/>
      <c r="F438" s="244"/>
      <c r="G438" s="244"/>
      <c r="H438" s="242"/>
      <c r="I438" s="265"/>
      <c r="J438" s="265"/>
      <c r="K438" s="265"/>
      <c r="L438" s="244"/>
      <c r="M438" s="242"/>
      <c r="N438" s="242"/>
      <c r="O438" s="242"/>
      <c r="P438" s="242"/>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44"/>
    </row>
    <row r="439" spans="1:39" ht="18" customHeight="1" x14ac:dyDescent="0.15">
      <c r="A439" s="242"/>
      <c r="B439" s="244"/>
      <c r="C439" s="242"/>
      <c r="D439" s="265"/>
      <c r="E439" s="244"/>
      <c r="F439" s="244"/>
      <c r="G439" s="244"/>
      <c r="H439" s="242"/>
      <c r="I439" s="265"/>
      <c r="J439" s="265"/>
      <c r="K439" s="265"/>
      <c r="L439" s="244"/>
      <c r="M439" s="242"/>
      <c r="N439" s="242"/>
      <c r="O439" s="242"/>
      <c r="P439" s="242"/>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44"/>
    </row>
    <row r="440" spans="1:39" ht="18" customHeight="1" x14ac:dyDescent="0.15">
      <c r="A440" s="242"/>
      <c r="B440" s="244"/>
      <c r="C440" s="242"/>
      <c r="D440" s="265"/>
      <c r="E440" s="244"/>
      <c r="F440" s="244"/>
      <c r="G440" s="244"/>
      <c r="H440" s="242"/>
      <c r="I440" s="265"/>
      <c r="J440" s="265"/>
      <c r="K440" s="265"/>
      <c r="L440" s="244"/>
      <c r="M440" s="242"/>
      <c r="N440" s="242"/>
      <c r="O440" s="242"/>
      <c r="P440" s="242"/>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44"/>
    </row>
    <row r="441" spans="1:39" ht="18" customHeight="1" x14ac:dyDescent="0.15">
      <c r="A441" s="242"/>
      <c r="B441" s="244"/>
      <c r="C441" s="242"/>
      <c r="D441" s="265"/>
      <c r="E441" s="244"/>
      <c r="F441" s="244"/>
      <c r="G441" s="244"/>
      <c r="H441" s="242"/>
      <c r="I441" s="265"/>
      <c r="J441" s="265"/>
      <c r="K441" s="265"/>
      <c r="L441" s="244"/>
      <c r="M441" s="242"/>
      <c r="N441" s="242"/>
      <c r="O441" s="242"/>
      <c r="P441" s="242"/>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44"/>
    </row>
    <row r="442" spans="1:39" ht="18" customHeight="1" x14ac:dyDescent="0.15">
      <c r="A442" s="242"/>
      <c r="B442" s="244"/>
      <c r="C442" s="242"/>
      <c r="D442" s="265"/>
      <c r="E442" s="244"/>
      <c r="F442" s="244"/>
      <c r="G442" s="244"/>
      <c r="H442" s="242"/>
      <c r="I442" s="265"/>
      <c r="J442" s="265"/>
      <c r="K442" s="265"/>
      <c r="L442" s="244"/>
      <c r="M442" s="242"/>
      <c r="N442" s="242"/>
      <c r="O442" s="242"/>
      <c r="P442" s="242"/>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44"/>
    </row>
    <row r="443" spans="1:39" ht="18" customHeight="1" x14ac:dyDescent="0.15">
      <c r="A443" s="242"/>
      <c r="B443" s="244"/>
      <c r="C443" s="242"/>
      <c r="D443" s="265"/>
      <c r="E443" s="244"/>
      <c r="F443" s="244"/>
      <c r="G443" s="244"/>
      <c r="H443" s="242"/>
      <c r="I443" s="265"/>
      <c r="J443" s="265"/>
      <c r="K443" s="265"/>
      <c r="L443" s="244"/>
      <c r="M443" s="242"/>
      <c r="N443" s="242"/>
      <c r="O443" s="242"/>
      <c r="P443" s="242"/>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44"/>
    </row>
    <row r="444" spans="1:39" ht="18" customHeight="1" x14ac:dyDescent="0.15">
      <c r="A444" s="242"/>
      <c r="B444" s="244"/>
      <c r="C444" s="242"/>
      <c r="D444" s="265"/>
      <c r="E444" s="244"/>
      <c r="F444" s="244"/>
      <c r="G444" s="244"/>
      <c r="H444" s="242"/>
      <c r="I444" s="265"/>
      <c r="J444" s="265"/>
      <c r="K444" s="265"/>
      <c r="L444" s="244"/>
      <c r="M444" s="242"/>
      <c r="N444" s="242"/>
      <c r="O444" s="242"/>
      <c r="P444" s="242"/>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44"/>
    </row>
    <row r="445" spans="1:39" ht="18" customHeight="1" x14ac:dyDescent="0.15">
      <c r="A445" s="242"/>
      <c r="B445" s="244"/>
      <c r="C445" s="242"/>
      <c r="D445" s="265"/>
      <c r="E445" s="244"/>
      <c r="F445" s="244"/>
      <c r="G445" s="244"/>
      <c r="H445" s="242"/>
      <c r="I445" s="265"/>
      <c r="J445" s="265"/>
      <c r="K445" s="265"/>
      <c r="L445" s="244"/>
      <c r="M445" s="242"/>
      <c r="N445" s="242"/>
      <c r="O445" s="242"/>
      <c r="P445" s="242"/>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44"/>
    </row>
    <row r="446" spans="1:39" ht="18" customHeight="1" x14ac:dyDescent="0.15">
      <c r="A446" s="242"/>
      <c r="B446" s="244"/>
      <c r="C446" s="242"/>
      <c r="D446" s="265"/>
      <c r="E446" s="244"/>
      <c r="F446" s="244"/>
      <c r="G446" s="244"/>
      <c r="H446" s="242"/>
      <c r="I446" s="265"/>
      <c r="J446" s="265"/>
      <c r="K446" s="265"/>
      <c r="L446" s="244"/>
      <c r="M446" s="242"/>
      <c r="N446" s="242"/>
      <c r="O446" s="242"/>
      <c r="P446" s="242"/>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44"/>
    </row>
    <row r="447" spans="1:39" ht="18" customHeight="1" x14ac:dyDescent="0.15">
      <c r="A447" s="242"/>
      <c r="B447" s="244"/>
      <c r="C447" s="242"/>
      <c r="D447" s="265"/>
      <c r="E447" s="244"/>
      <c r="F447" s="244"/>
      <c r="G447" s="244"/>
      <c r="H447" s="242"/>
      <c r="I447" s="265"/>
      <c r="J447" s="265"/>
      <c r="K447" s="265"/>
      <c r="L447" s="244"/>
      <c r="M447" s="242"/>
      <c r="N447" s="242"/>
      <c r="O447" s="242"/>
      <c r="P447" s="242"/>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44"/>
    </row>
    <row r="448" spans="1:39" ht="18" customHeight="1" x14ac:dyDescent="0.15">
      <c r="A448" s="242"/>
      <c r="B448" s="244"/>
      <c r="C448" s="242"/>
      <c r="D448" s="265"/>
      <c r="E448" s="244"/>
      <c r="F448" s="244"/>
      <c r="G448" s="244"/>
      <c r="H448" s="242"/>
      <c r="I448" s="265"/>
      <c r="J448" s="265"/>
      <c r="K448" s="265"/>
      <c r="L448" s="244"/>
      <c r="M448" s="242"/>
      <c r="N448" s="242"/>
      <c r="O448" s="242"/>
      <c r="P448" s="242"/>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44"/>
    </row>
    <row r="449" spans="1:39" ht="18" customHeight="1" x14ac:dyDescent="0.15">
      <c r="A449" s="242"/>
      <c r="B449" s="244"/>
      <c r="C449" s="242"/>
      <c r="D449" s="265"/>
      <c r="E449" s="244"/>
      <c r="F449" s="244"/>
      <c r="G449" s="244"/>
      <c r="H449" s="242"/>
      <c r="I449" s="265"/>
      <c r="J449" s="265"/>
      <c r="K449" s="265"/>
      <c r="L449" s="244"/>
      <c r="M449" s="242"/>
      <c r="N449" s="242"/>
      <c r="O449" s="242"/>
      <c r="P449" s="242"/>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44"/>
    </row>
    <row r="450" spans="1:39" ht="18" customHeight="1" x14ac:dyDescent="0.15">
      <c r="A450" s="242"/>
      <c r="B450" s="244"/>
      <c r="C450" s="242"/>
      <c r="D450" s="265"/>
      <c r="E450" s="244"/>
      <c r="F450" s="244"/>
      <c r="G450" s="244"/>
      <c r="H450" s="242"/>
      <c r="I450" s="265"/>
      <c r="J450" s="265"/>
      <c r="K450" s="265"/>
      <c r="L450" s="244"/>
      <c r="M450" s="242"/>
      <c r="N450" s="242"/>
      <c r="O450" s="242"/>
      <c r="P450" s="242"/>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44"/>
    </row>
    <row r="451" spans="1:39" ht="18" customHeight="1" x14ac:dyDescent="0.15">
      <c r="A451" s="242"/>
      <c r="B451" s="244"/>
      <c r="C451" s="242"/>
      <c r="D451" s="265"/>
      <c r="E451" s="244"/>
      <c r="F451" s="244"/>
      <c r="G451" s="244"/>
      <c r="H451" s="242"/>
      <c r="I451" s="265"/>
      <c r="J451" s="265"/>
      <c r="K451" s="265"/>
      <c r="L451" s="244"/>
      <c r="M451" s="242"/>
      <c r="N451" s="242"/>
      <c r="O451" s="242"/>
      <c r="P451" s="242"/>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44"/>
    </row>
    <row r="452" spans="1:39" ht="18" customHeight="1" x14ac:dyDescent="0.15">
      <c r="A452" s="242"/>
      <c r="B452" s="244"/>
      <c r="C452" s="242"/>
      <c r="D452" s="265"/>
      <c r="E452" s="244"/>
      <c r="F452" s="244"/>
      <c r="G452" s="244"/>
      <c r="H452" s="242"/>
      <c r="I452" s="265"/>
      <c r="J452" s="265"/>
      <c r="K452" s="265"/>
      <c r="L452" s="244"/>
      <c r="M452" s="242"/>
      <c r="N452" s="242"/>
      <c r="O452" s="242"/>
      <c r="P452" s="242"/>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44"/>
    </row>
    <row r="453" spans="1:39" ht="18" customHeight="1" x14ac:dyDescent="0.15">
      <c r="A453" s="242"/>
      <c r="B453" s="244"/>
      <c r="C453" s="242"/>
      <c r="D453" s="265"/>
      <c r="E453" s="244"/>
      <c r="F453" s="244"/>
      <c r="G453" s="244"/>
      <c r="H453" s="242"/>
      <c r="I453" s="265"/>
      <c r="J453" s="265"/>
      <c r="K453" s="265"/>
      <c r="L453" s="244"/>
      <c r="M453" s="242"/>
      <c r="N453" s="242"/>
      <c r="O453" s="242"/>
      <c r="P453" s="242"/>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44"/>
    </row>
    <row r="454" spans="1:39" ht="18" customHeight="1" x14ac:dyDescent="0.15">
      <c r="A454" s="242"/>
      <c r="B454" s="244"/>
      <c r="C454" s="242"/>
      <c r="D454" s="265"/>
      <c r="E454" s="244"/>
      <c r="F454" s="244"/>
      <c r="G454" s="244"/>
      <c r="H454" s="242"/>
      <c r="I454" s="265"/>
      <c r="J454" s="265"/>
      <c r="K454" s="265"/>
      <c r="L454" s="244"/>
      <c r="M454" s="242"/>
      <c r="N454" s="242"/>
      <c r="O454" s="242"/>
      <c r="P454" s="242"/>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44"/>
    </row>
    <row r="455" spans="1:39" ht="18" customHeight="1" x14ac:dyDescent="0.15">
      <c r="A455" s="242"/>
      <c r="B455" s="244"/>
      <c r="C455" s="242"/>
      <c r="D455" s="265"/>
      <c r="E455" s="244"/>
      <c r="F455" s="244"/>
      <c r="G455" s="244"/>
      <c r="H455" s="242"/>
      <c r="I455" s="265"/>
      <c r="J455" s="265"/>
      <c r="K455" s="265"/>
      <c r="L455" s="244"/>
      <c r="M455" s="242"/>
      <c r="N455" s="242"/>
      <c r="O455" s="242"/>
      <c r="P455" s="242"/>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44"/>
    </row>
    <row r="456" spans="1:39" ht="18" customHeight="1" x14ac:dyDescent="0.15">
      <c r="A456" s="242"/>
      <c r="B456" s="244"/>
      <c r="C456" s="242"/>
      <c r="D456" s="265"/>
      <c r="E456" s="244"/>
      <c r="F456" s="244"/>
      <c r="G456" s="244"/>
      <c r="H456" s="242"/>
      <c r="I456" s="265"/>
      <c r="J456" s="265"/>
      <c r="K456" s="265"/>
      <c r="L456" s="244"/>
      <c r="M456" s="242"/>
      <c r="N456" s="242"/>
      <c r="O456" s="242"/>
      <c r="P456" s="242"/>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44"/>
    </row>
    <row r="457" spans="1:39" ht="18" customHeight="1" x14ac:dyDescent="0.15">
      <c r="A457" s="242"/>
      <c r="B457" s="244"/>
      <c r="C457" s="242"/>
      <c r="D457" s="265"/>
      <c r="E457" s="244"/>
      <c r="F457" s="244"/>
      <c r="G457" s="244"/>
      <c r="H457" s="242"/>
      <c r="I457" s="265"/>
      <c r="J457" s="265"/>
      <c r="K457" s="265"/>
      <c r="L457" s="244"/>
      <c r="M457" s="242"/>
      <c r="N457" s="242"/>
      <c r="O457" s="242"/>
      <c r="P457" s="242"/>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44"/>
    </row>
    <row r="458" spans="1:39" ht="18" customHeight="1" x14ac:dyDescent="0.15">
      <c r="A458" s="242"/>
      <c r="B458" s="244"/>
      <c r="C458" s="242"/>
      <c r="D458" s="265"/>
      <c r="E458" s="244"/>
      <c r="F458" s="244"/>
      <c r="G458" s="244"/>
      <c r="H458" s="242"/>
      <c r="I458" s="265"/>
      <c r="J458" s="265"/>
      <c r="K458" s="265"/>
      <c r="L458" s="244"/>
      <c r="M458" s="242"/>
      <c r="N458" s="242"/>
      <c r="O458" s="242"/>
      <c r="P458" s="242"/>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44"/>
    </row>
    <row r="459" spans="1:39" ht="18" customHeight="1" x14ac:dyDescent="0.15">
      <c r="A459" s="242"/>
      <c r="B459" s="244"/>
      <c r="C459" s="242"/>
      <c r="D459" s="265"/>
      <c r="E459" s="244"/>
      <c r="F459" s="244"/>
      <c r="G459" s="244"/>
      <c r="H459" s="242"/>
      <c r="I459" s="265"/>
      <c r="J459" s="265"/>
      <c r="K459" s="265"/>
      <c r="L459" s="244"/>
      <c r="M459" s="242"/>
      <c r="N459" s="242"/>
      <c r="O459" s="242"/>
      <c r="P459" s="242"/>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44"/>
    </row>
    <row r="460" spans="1:39" ht="18" customHeight="1" x14ac:dyDescent="0.15">
      <c r="A460" s="242"/>
      <c r="B460" s="244"/>
      <c r="C460" s="242"/>
      <c r="D460" s="265"/>
      <c r="E460" s="244"/>
      <c r="F460" s="244"/>
      <c r="G460" s="244"/>
      <c r="H460" s="242"/>
      <c r="I460" s="265"/>
      <c r="J460" s="265"/>
      <c r="K460" s="265"/>
      <c r="L460" s="244"/>
      <c r="M460" s="242"/>
      <c r="N460" s="242"/>
      <c r="O460" s="242"/>
      <c r="P460" s="242"/>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44"/>
    </row>
    <row r="461" spans="1:39" ht="18" customHeight="1" x14ac:dyDescent="0.15">
      <c r="A461" s="242"/>
      <c r="B461" s="244"/>
      <c r="C461" s="242"/>
      <c r="D461" s="265"/>
      <c r="E461" s="244"/>
      <c r="F461" s="244"/>
      <c r="G461" s="244"/>
      <c r="H461" s="242"/>
      <c r="I461" s="265"/>
      <c r="J461" s="265"/>
      <c r="K461" s="265"/>
      <c r="L461" s="244"/>
      <c r="M461" s="242"/>
      <c r="N461" s="242"/>
      <c r="O461" s="242"/>
      <c r="P461" s="242"/>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44"/>
    </row>
    <row r="462" spans="1:39" ht="18" customHeight="1" x14ac:dyDescent="0.15">
      <c r="A462" s="242"/>
      <c r="B462" s="244"/>
      <c r="C462" s="242"/>
      <c r="D462" s="265"/>
      <c r="E462" s="244"/>
      <c r="F462" s="244"/>
      <c r="G462" s="244"/>
      <c r="H462" s="242"/>
      <c r="I462" s="265"/>
      <c r="J462" s="265"/>
      <c r="K462" s="265"/>
      <c r="L462" s="244"/>
      <c r="M462" s="242"/>
      <c r="N462" s="242"/>
      <c r="O462" s="242"/>
      <c r="P462" s="242"/>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44"/>
    </row>
    <row r="463" spans="1:39" ht="18" customHeight="1" x14ac:dyDescent="0.15">
      <c r="A463" s="242"/>
      <c r="B463" s="244"/>
      <c r="C463" s="242"/>
      <c r="D463" s="265"/>
      <c r="E463" s="244"/>
      <c r="F463" s="244"/>
      <c r="G463" s="244"/>
      <c r="H463" s="242"/>
      <c r="I463" s="265"/>
      <c r="J463" s="265"/>
      <c r="K463" s="265"/>
      <c r="L463" s="244"/>
      <c r="M463" s="242"/>
      <c r="N463" s="242"/>
      <c r="O463" s="242"/>
      <c r="P463" s="242"/>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44"/>
    </row>
    <row r="464" spans="1:39" ht="18" customHeight="1" x14ac:dyDescent="0.15">
      <c r="A464" s="242"/>
      <c r="B464" s="244"/>
      <c r="C464" s="242"/>
      <c r="D464" s="265"/>
      <c r="E464" s="244"/>
      <c r="F464" s="244"/>
      <c r="G464" s="244"/>
      <c r="H464" s="242"/>
      <c r="I464" s="265"/>
      <c r="J464" s="265"/>
      <c r="K464" s="265"/>
      <c r="L464" s="244"/>
      <c r="M464" s="242"/>
      <c r="N464" s="242"/>
      <c r="O464" s="242"/>
      <c r="P464" s="242"/>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44"/>
    </row>
    <row r="465" spans="1:39" ht="18" customHeight="1" x14ac:dyDescent="0.15">
      <c r="A465" s="242"/>
      <c r="B465" s="244"/>
      <c r="C465" s="242"/>
      <c r="D465" s="265"/>
      <c r="E465" s="244"/>
      <c r="F465" s="244"/>
      <c r="G465" s="244"/>
      <c r="H465" s="242"/>
      <c r="I465" s="265"/>
      <c r="J465" s="265"/>
      <c r="K465" s="265"/>
      <c r="L465" s="244"/>
      <c r="M465" s="242"/>
      <c r="N465" s="242"/>
      <c r="O465" s="242"/>
      <c r="P465" s="242"/>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44"/>
    </row>
    <row r="466" spans="1:39" ht="18" customHeight="1" x14ac:dyDescent="0.15">
      <c r="A466" s="242"/>
      <c r="B466" s="244"/>
      <c r="C466" s="242"/>
      <c r="D466" s="265"/>
      <c r="E466" s="244"/>
      <c r="F466" s="244"/>
      <c r="G466" s="244"/>
      <c r="H466" s="242"/>
      <c r="I466" s="265"/>
      <c r="J466" s="265"/>
      <c r="K466" s="265"/>
      <c r="L466" s="244"/>
      <c r="M466" s="242"/>
      <c r="N466" s="242"/>
      <c r="O466" s="242"/>
      <c r="P466" s="242"/>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44"/>
    </row>
    <row r="467" spans="1:39" ht="18" customHeight="1" x14ac:dyDescent="0.15">
      <c r="A467" s="242"/>
      <c r="B467" s="244"/>
      <c r="C467" s="242"/>
      <c r="D467" s="265"/>
      <c r="E467" s="244"/>
      <c r="F467" s="244"/>
      <c r="G467" s="244"/>
      <c r="H467" s="242"/>
      <c r="I467" s="265"/>
      <c r="J467" s="265"/>
      <c r="K467" s="265"/>
      <c r="L467" s="244"/>
      <c r="M467" s="242"/>
      <c r="N467" s="242"/>
      <c r="O467" s="242"/>
      <c r="P467" s="242"/>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44"/>
    </row>
    <row r="468" spans="1:39" ht="18" customHeight="1" x14ac:dyDescent="0.15">
      <c r="A468" s="242"/>
      <c r="B468" s="244"/>
      <c r="C468" s="242"/>
      <c r="D468" s="265"/>
      <c r="E468" s="244"/>
      <c r="F468" s="244"/>
      <c r="G468" s="244"/>
      <c r="H468" s="242"/>
      <c r="I468" s="265"/>
      <c r="J468" s="265"/>
      <c r="K468" s="265"/>
      <c r="L468" s="244"/>
      <c r="M468" s="242"/>
      <c r="N468" s="242"/>
      <c r="O468" s="242"/>
      <c r="P468" s="242"/>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44"/>
    </row>
    <row r="469" spans="1:39" ht="18" customHeight="1" x14ac:dyDescent="0.15">
      <c r="A469" s="242"/>
      <c r="B469" s="244"/>
      <c r="C469" s="242"/>
      <c r="D469" s="265"/>
      <c r="E469" s="244"/>
      <c r="F469" s="244"/>
      <c r="G469" s="244"/>
      <c r="H469" s="242"/>
      <c r="I469" s="265"/>
      <c r="J469" s="265"/>
      <c r="K469" s="265"/>
      <c r="L469" s="244"/>
      <c r="M469" s="242"/>
      <c r="N469" s="242"/>
      <c r="O469" s="242"/>
      <c r="P469" s="242"/>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44"/>
    </row>
    <row r="470" spans="1:39" ht="18" customHeight="1" x14ac:dyDescent="0.15">
      <c r="A470" s="242"/>
      <c r="B470" s="244"/>
      <c r="C470" s="242"/>
      <c r="D470" s="265"/>
      <c r="E470" s="244"/>
      <c r="F470" s="244"/>
      <c r="G470" s="244"/>
      <c r="H470" s="242"/>
      <c r="I470" s="265"/>
      <c r="J470" s="265"/>
      <c r="K470" s="265"/>
      <c r="L470" s="244"/>
      <c r="M470" s="242"/>
      <c r="N470" s="242"/>
      <c r="O470" s="242"/>
      <c r="P470" s="242"/>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44"/>
    </row>
    <row r="471" spans="1:39" ht="18" customHeight="1" x14ac:dyDescent="0.15">
      <c r="A471" s="242"/>
      <c r="B471" s="244"/>
      <c r="C471" s="242"/>
      <c r="D471" s="265"/>
      <c r="E471" s="244"/>
      <c r="F471" s="244"/>
      <c r="G471" s="244"/>
      <c r="H471" s="242"/>
      <c r="I471" s="265"/>
      <c r="J471" s="265"/>
      <c r="K471" s="265"/>
      <c r="L471" s="244"/>
      <c r="M471" s="242"/>
      <c r="N471" s="242"/>
      <c r="O471" s="242"/>
      <c r="P471" s="242"/>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44"/>
    </row>
    <row r="472" spans="1:39" ht="18" customHeight="1" x14ac:dyDescent="0.15">
      <c r="A472" s="242"/>
      <c r="B472" s="244"/>
      <c r="C472" s="242"/>
      <c r="D472" s="265"/>
      <c r="E472" s="244"/>
      <c r="F472" s="244"/>
      <c r="G472" s="244"/>
      <c r="H472" s="242"/>
      <c r="I472" s="265"/>
      <c r="J472" s="265"/>
      <c r="K472" s="265"/>
      <c r="L472" s="244"/>
      <c r="M472" s="242"/>
      <c r="N472" s="242"/>
      <c r="O472" s="242"/>
      <c r="P472" s="242"/>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44"/>
    </row>
    <row r="473" spans="1:39" ht="18" customHeight="1" x14ac:dyDescent="0.15">
      <c r="A473" s="242"/>
      <c r="B473" s="244"/>
      <c r="C473" s="242"/>
      <c r="D473" s="265"/>
      <c r="E473" s="244"/>
      <c r="F473" s="244"/>
      <c r="G473" s="244"/>
      <c r="H473" s="242"/>
      <c r="I473" s="265"/>
      <c r="J473" s="265"/>
      <c r="K473" s="265"/>
      <c r="L473" s="244"/>
      <c r="M473" s="242"/>
      <c r="N473" s="242"/>
      <c r="O473" s="242"/>
      <c r="P473" s="242"/>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44"/>
    </row>
    <row r="474" spans="1:39" ht="18" customHeight="1" x14ac:dyDescent="0.15">
      <c r="A474" s="242"/>
      <c r="B474" s="244"/>
      <c r="C474" s="242"/>
      <c r="D474" s="265"/>
      <c r="E474" s="244"/>
      <c r="F474" s="244"/>
      <c r="G474" s="244"/>
      <c r="H474" s="242"/>
      <c r="I474" s="265"/>
      <c r="J474" s="265"/>
      <c r="K474" s="265"/>
      <c r="L474" s="244"/>
      <c r="M474" s="242"/>
      <c r="N474" s="242"/>
      <c r="O474" s="242"/>
      <c r="P474" s="242"/>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44"/>
    </row>
    <row r="475" spans="1:39" ht="18" customHeight="1" x14ac:dyDescent="0.15">
      <c r="A475" s="242"/>
      <c r="B475" s="244"/>
      <c r="C475" s="242"/>
      <c r="D475" s="265"/>
      <c r="E475" s="244"/>
      <c r="F475" s="244"/>
      <c r="G475" s="244"/>
      <c r="H475" s="242"/>
      <c r="I475" s="265"/>
      <c r="J475" s="265"/>
      <c r="K475" s="265"/>
      <c r="L475" s="244"/>
      <c r="M475" s="242"/>
      <c r="N475" s="242"/>
      <c r="O475" s="242"/>
      <c r="P475" s="242"/>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44"/>
    </row>
    <row r="476" spans="1:39" ht="18" customHeight="1" x14ac:dyDescent="0.15">
      <c r="A476" s="242"/>
      <c r="B476" s="244"/>
      <c r="C476" s="242"/>
      <c r="D476" s="265"/>
      <c r="E476" s="244"/>
      <c r="F476" s="244"/>
      <c r="G476" s="244"/>
      <c r="H476" s="242"/>
      <c r="I476" s="265"/>
      <c r="J476" s="265"/>
      <c r="K476" s="265"/>
      <c r="L476" s="244"/>
      <c r="M476" s="242"/>
      <c r="N476" s="242"/>
      <c r="O476" s="242"/>
      <c r="P476" s="242"/>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44"/>
    </row>
    <row r="477" spans="1:39" ht="18" customHeight="1" x14ac:dyDescent="0.15">
      <c r="A477" s="242"/>
      <c r="B477" s="244"/>
      <c r="C477" s="242"/>
      <c r="D477" s="265"/>
      <c r="E477" s="244"/>
      <c r="F477" s="244"/>
      <c r="G477" s="244"/>
      <c r="H477" s="242"/>
      <c r="I477" s="265"/>
      <c r="J477" s="265"/>
      <c r="K477" s="265"/>
      <c r="L477" s="244"/>
      <c r="M477" s="242"/>
      <c r="N477" s="242"/>
      <c r="O477" s="242"/>
      <c r="P477" s="242"/>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44"/>
    </row>
    <row r="478" spans="1:39" ht="18" customHeight="1" x14ac:dyDescent="0.15">
      <c r="A478" s="242"/>
      <c r="B478" s="244"/>
      <c r="C478" s="242"/>
      <c r="D478" s="265"/>
      <c r="E478" s="244"/>
      <c r="F478" s="244"/>
      <c r="G478" s="244"/>
      <c r="H478" s="242"/>
      <c r="I478" s="265"/>
      <c r="J478" s="265"/>
      <c r="K478" s="265"/>
      <c r="L478" s="244"/>
      <c r="M478" s="242"/>
      <c r="N478" s="242"/>
      <c r="O478" s="242"/>
      <c r="P478" s="242"/>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44"/>
    </row>
    <row r="479" spans="1:39" ht="18" customHeight="1" x14ac:dyDescent="0.15">
      <c r="A479" s="242"/>
      <c r="B479" s="244"/>
      <c r="C479" s="242"/>
      <c r="D479" s="265"/>
      <c r="E479" s="244"/>
      <c r="F479" s="244"/>
      <c r="G479" s="244"/>
      <c r="H479" s="242"/>
      <c r="I479" s="265"/>
      <c r="J479" s="265"/>
      <c r="K479" s="265"/>
      <c r="L479" s="244"/>
      <c r="M479" s="242"/>
      <c r="N479" s="242"/>
      <c r="O479" s="242"/>
      <c r="P479" s="242"/>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44"/>
    </row>
    <row r="480" spans="1:39" ht="18" customHeight="1" x14ac:dyDescent="0.15">
      <c r="A480" s="242"/>
      <c r="B480" s="244"/>
      <c r="C480" s="242"/>
      <c r="D480" s="265"/>
      <c r="E480" s="244"/>
      <c r="F480" s="244"/>
      <c r="G480" s="244"/>
      <c r="H480" s="242"/>
      <c r="I480" s="265"/>
      <c r="J480" s="265"/>
      <c r="K480" s="265"/>
      <c r="L480" s="244"/>
      <c r="M480" s="242"/>
      <c r="N480" s="242"/>
      <c r="O480" s="242"/>
      <c r="P480" s="242"/>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44"/>
    </row>
    <row r="481" spans="1:39" ht="18" customHeight="1" x14ac:dyDescent="0.15">
      <c r="A481" s="242"/>
      <c r="B481" s="244"/>
      <c r="C481" s="242"/>
      <c r="D481" s="265"/>
      <c r="E481" s="244"/>
      <c r="F481" s="244"/>
      <c r="G481" s="244"/>
      <c r="H481" s="242"/>
      <c r="I481" s="265"/>
      <c r="J481" s="265"/>
      <c r="K481" s="265"/>
      <c r="L481" s="244"/>
      <c r="M481" s="242"/>
      <c r="N481" s="242"/>
      <c r="O481" s="242"/>
      <c r="P481" s="242"/>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44"/>
    </row>
    <row r="482" spans="1:39" ht="18" customHeight="1" x14ac:dyDescent="0.15">
      <c r="A482" s="242"/>
      <c r="B482" s="244"/>
      <c r="C482" s="242"/>
      <c r="D482" s="265"/>
      <c r="E482" s="244"/>
      <c r="F482" s="244"/>
      <c r="G482" s="244"/>
      <c r="H482" s="242"/>
      <c r="I482" s="265"/>
      <c r="J482" s="265"/>
      <c r="K482" s="265"/>
      <c r="L482" s="244"/>
      <c r="M482" s="242"/>
      <c r="N482" s="242"/>
      <c r="O482" s="242"/>
      <c r="P482" s="242"/>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44"/>
    </row>
    <row r="483" spans="1:39" ht="18" customHeight="1" x14ac:dyDescent="0.15">
      <c r="A483" s="242"/>
      <c r="B483" s="244"/>
      <c r="C483" s="242"/>
      <c r="D483" s="265"/>
      <c r="E483" s="244"/>
      <c r="F483" s="244"/>
      <c r="G483" s="244"/>
      <c r="H483" s="242"/>
      <c r="I483" s="265"/>
      <c r="J483" s="265"/>
      <c r="K483" s="265"/>
      <c r="L483" s="244"/>
      <c r="M483" s="242"/>
      <c r="N483" s="242"/>
      <c r="O483" s="242"/>
      <c r="P483" s="242"/>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44"/>
    </row>
    <row r="484" spans="1:39" ht="18" customHeight="1" x14ac:dyDescent="0.15">
      <c r="A484" s="242"/>
      <c r="B484" s="244"/>
      <c r="C484" s="242"/>
      <c r="D484" s="265"/>
      <c r="E484" s="244"/>
      <c r="F484" s="244"/>
      <c r="G484" s="244"/>
      <c r="H484" s="242"/>
      <c r="I484" s="265"/>
      <c r="J484" s="265"/>
      <c r="K484" s="265"/>
      <c r="L484" s="244"/>
      <c r="M484" s="242"/>
      <c r="N484" s="242"/>
      <c r="O484" s="242"/>
      <c r="P484" s="242"/>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44"/>
    </row>
    <row r="485" spans="1:39" ht="18" customHeight="1" x14ac:dyDescent="0.15">
      <c r="A485" s="242"/>
      <c r="B485" s="244"/>
      <c r="C485" s="242"/>
      <c r="D485" s="265"/>
      <c r="E485" s="244"/>
      <c r="F485" s="244"/>
      <c r="G485" s="244"/>
      <c r="H485" s="242"/>
      <c r="I485" s="265"/>
      <c r="J485" s="265"/>
      <c r="K485" s="265"/>
      <c r="L485" s="244"/>
      <c r="M485" s="242"/>
      <c r="N485" s="242"/>
      <c r="O485" s="242"/>
      <c r="P485" s="242"/>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44"/>
    </row>
    <row r="486" spans="1:39" ht="18" customHeight="1" x14ac:dyDescent="0.15">
      <c r="A486" s="242"/>
      <c r="B486" s="244"/>
      <c r="C486" s="242"/>
      <c r="D486" s="265"/>
      <c r="E486" s="244"/>
      <c r="F486" s="244"/>
      <c r="G486" s="244"/>
      <c r="H486" s="242"/>
      <c r="I486" s="265"/>
      <c r="J486" s="265"/>
      <c r="K486" s="265"/>
      <c r="L486" s="244"/>
      <c r="M486" s="242"/>
      <c r="N486" s="242"/>
      <c r="O486" s="242"/>
      <c r="P486" s="242"/>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44"/>
    </row>
    <row r="487" spans="1:39" ht="18" customHeight="1" x14ac:dyDescent="0.15">
      <c r="A487" s="242"/>
      <c r="B487" s="244"/>
      <c r="C487" s="242"/>
      <c r="D487" s="265"/>
      <c r="E487" s="244"/>
      <c r="F487" s="244"/>
      <c r="G487" s="244"/>
      <c r="H487" s="242"/>
      <c r="I487" s="265"/>
      <c r="J487" s="265"/>
      <c r="K487" s="265"/>
      <c r="L487" s="244"/>
      <c r="M487" s="242"/>
      <c r="N487" s="242"/>
      <c r="O487" s="242"/>
      <c r="P487" s="242"/>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44"/>
    </row>
    <row r="488" spans="1:39" ht="18" customHeight="1" x14ac:dyDescent="0.15">
      <c r="A488" s="242"/>
      <c r="B488" s="244"/>
      <c r="C488" s="242"/>
      <c r="D488" s="265"/>
      <c r="E488" s="244"/>
      <c r="F488" s="244"/>
      <c r="G488" s="244"/>
      <c r="H488" s="242"/>
      <c r="I488" s="265"/>
      <c r="J488" s="265"/>
      <c r="K488" s="265"/>
      <c r="L488" s="244"/>
      <c r="M488" s="242"/>
      <c r="N488" s="242"/>
      <c r="O488" s="242"/>
      <c r="P488" s="242"/>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44"/>
    </row>
    <row r="489" spans="1:39" ht="18" customHeight="1" x14ac:dyDescent="0.15">
      <c r="A489" s="242"/>
      <c r="B489" s="244"/>
      <c r="C489" s="242"/>
      <c r="D489" s="265"/>
      <c r="E489" s="244"/>
      <c r="F489" s="244"/>
      <c r="G489" s="244"/>
      <c r="H489" s="242"/>
      <c r="I489" s="265"/>
      <c r="J489" s="265"/>
      <c r="K489" s="265"/>
      <c r="L489" s="244"/>
      <c r="M489" s="242"/>
      <c r="N489" s="242"/>
      <c r="O489" s="242"/>
      <c r="P489" s="242"/>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44"/>
    </row>
    <row r="490" spans="1:39" ht="18" customHeight="1" x14ac:dyDescent="0.15">
      <c r="A490" s="242"/>
      <c r="B490" s="244"/>
      <c r="C490" s="242"/>
      <c r="D490" s="265"/>
      <c r="E490" s="244"/>
      <c r="F490" s="244"/>
      <c r="G490" s="244"/>
      <c r="H490" s="242"/>
      <c r="I490" s="265"/>
      <c r="J490" s="265"/>
      <c r="K490" s="265"/>
      <c r="L490" s="244"/>
      <c r="M490" s="242"/>
      <c r="N490" s="242"/>
      <c r="O490" s="242"/>
      <c r="P490" s="242"/>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44"/>
    </row>
    <row r="491" spans="1:39" ht="18" customHeight="1" x14ac:dyDescent="0.15">
      <c r="A491" s="242"/>
      <c r="B491" s="244"/>
      <c r="C491" s="242"/>
      <c r="D491" s="265"/>
      <c r="E491" s="244"/>
      <c r="F491" s="244"/>
      <c r="G491" s="244"/>
      <c r="H491" s="242"/>
      <c r="I491" s="265"/>
      <c r="J491" s="265"/>
      <c r="K491" s="265"/>
      <c r="L491" s="244"/>
      <c r="M491" s="242"/>
      <c r="N491" s="242"/>
      <c r="O491" s="242"/>
      <c r="P491" s="242"/>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44"/>
    </row>
    <row r="492" spans="1:39" ht="18" customHeight="1" x14ac:dyDescent="0.15">
      <c r="A492" s="242"/>
      <c r="B492" s="244"/>
      <c r="C492" s="242"/>
      <c r="D492" s="265"/>
      <c r="E492" s="244"/>
      <c r="F492" s="244"/>
      <c r="G492" s="244"/>
      <c r="H492" s="242"/>
      <c r="I492" s="265"/>
      <c r="J492" s="265"/>
      <c r="K492" s="265"/>
      <c r="L492" s="244"/>
      <c r="M492" s="242"/>
      <c r="N492" s="242"/>
      <c r="O492" s="242"/>
      <c r="P492" s="242"/>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44"/>
    </row>
    <row r="493" spans="1:39" ht="18" customHeight="1" x14ac:dyDescent="0.15">
      <c r="A493" s="242"/>
      <c r="B493" s="244"/>
      <c r="C493" s="242"/>
      <c r="D493" s="265"/>
      <c r="E493" s="244"/>
      <c r="F493" s="244"/>
      <c r="G493" s="244"/>
      <c r="H493" s="242"/>
      <c r="I493" s="265"/>
      <c r="J493" s="265"/>
      <c r="K493" s="265"/>
      <c r="L493" s="244"/>
      <c r="M493" s="242"/>
      <c r="N493" s="242"/>
      <c r="O493" s="242"/>
      <c r="P493" s="242"/>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44"/>
    </row>
    <row r="494" spans="1:39" ht="18" customHeight="1" x14ac:dyDescent="0.15">
      <c r="A494" s="242"/>
      <c r="B494" s="244"/>
      <c r="C494" s="242"/>
      <c r="D494" s="265"/>
      <c r="E494" s="244"/>
      <c r="F494" s="244"/>
      <c r="G494" s="244"/>
      <c r="H494" s="242"/>
      <c r="I494" s="265"/>
      <c r="J494" s="265"/>
      <c r="K494" s="265"/>
      <c r="L494" s="244"/>
      <c r="M494" s="242"/>
      <c r="N494" s="242"/>
      <c r="O494" s="242"/>
      <c r="P494" s="242"/>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44"/>
    </row>
    <row r="495" spans="1:39" ht="18" customHeight="1" x14ac:dyDescent="0.15">
      <c r="A495" s="242"/>
      <c r="B495" s="244"/>
      <c r="C495" s="242"/>
      <c r="D495" s="265"/>
      <c r="E495" s="244"/>
      <c r="F495" s="244"/>
      <c r="G495" s="244"/>
      <c r="H495" s="242"/>
      <c r="I495" s="265"/>
      <c r="J495" s="265"/>
      <c r="K495" s="265"/>
      <c r="L495" s="244"/>
      <c r="M495" s="242"/>
      <c r="N495" s="242"/>
      <c r="O495" s="242"/>
      <c r="P495" s="242"/>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44"/>
    </row>
    <row r="496" spans="1:39" ht="18" customHeight="1" x14ac:dyDescent="0.15">
      <c r="A496" s="242"/>
      <c r="B496" s="244"/>
      <c r="C496" s="242"/>
      <c r="D496" s="265"/>
      <c r="E496" s="244"/>
      <c r="F496" s="244"/>
      <c r="G496" s="244"/>
      <c r="H496" s="242"/>
      <c r="I496" s="265"/>
      <c r="J496" s="265"/>
      <c r="K496" s="265"/>
      <c r="L496" s="244"/>
      <c r="M496" s="242"/>
      <c r="N496" s="242"/>
      <c r="O496" s="242"/>
      <c r="P496" s="242"/>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44"/>
    </row>
    <row r="497" spans="1:39" ht="18" customHeight="1" x14ac:dyDescent="0.15">
      <c r="A497" s="242"/>
      <c r="B497" s="244"/>
      <c r="C497" s="242"/>
      <c r="D497" s="265"/>
      <c r="E497" s="244"/>
      <c r="F497" s="244"/>
      <c r="G497" s="244"/>
      <c r="H497" s="242"/>
      <c r="I497" s="265"/>
      <c r="J497" s="265"/>
      <c r="K497" s="265"/>
      <c r="L497" s="244"/>
      <c r="M497" s="242"/>
      <c r="N497" s="242"/>
      <c r="O497" s="242"/>
      <c r="P497" s="242"/>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44"/>
    </row>
    <row r="498" spans="1:39" ht="18" customHeight="1" x14ac:dyDescent="0.15">
      <c r="A498" s="242"/>
      <c r="B498" s="244"/>
      <c r="C498" s="242"/>
      <c r="D498" s="265"/>
      <c r="E498" s="244"/>
      <c r="F498" s="244"/>
      <c r="G498" s="244"/>
      <c r="H498" s="242"/>
      <c r="I498" s="265"/>
      <c r="J498" s="265"/>
      <c r="K498" s="265"/>
      <c r="L498" s="244"/>
      <c r="M498" s="242"/>
      <c r="N498" s="242"/>
      <c r="O498" s="242"/>
      <c r="P498" s="242"/>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44"/>
    </row>
    <row r="499" spans="1:39" ht="18" customHeight="1" x14ac:dyDescent="0.15">
      <c r="A499" s="242"/>
      <c r="B499" s="244"/>
      <c r="C499" s="242"/>
      <c r="D499" s="265"/>
      <c r="E499" s="244"/>
      <c r="F499" s="244"/>
      <c r="G499" s="244"/>
      <c r="H499" s="242"/>
      <c r="I499" s="265"/>
      <c r="J499" s="265"/>
      <c r="K499" s="265"/>
      <c r="L499" s="244"/>
      <c r="M499" s="242"/>
      <c r="N499" s="242"/>
      <c r="O499" s="242"/>
      <c r="P499" s="242"/>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44"/>
    </row>
    <row r="500" spans="1:39" ht="18" customHeight="1" x14ac:dyDescent="0.15">
      <c r="A500" s="242"/>
      <c r="B500" s="244"/>
      <c r="C500" s="242"/>
      <c r="D500" s="265"/>
      <c r="E500" s="244"/>
      <c r="F500" s="244"/>
      <c r="G500" s="244"/>
      <c r="H500" s="242"/>
      <c r="I500" s="265"/>
      <c r="J500" s="265"/>
      <c r="K500" s="265"/>
      <c r="L500" s="244"/>
      <c r="M500" s="242"/>
      <c r="N500" s="242"/>
      <c r="O500" s="242"/>
      <c r="P500" s="242"/>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44"/>
    </row>
    <row r="501" spans="1:39" ht="18" customHeight="1" x14ac:dyDescent="0.15">
      <c r="A501" s="242"/>
      <c r="B501" s="244"/>
      <c r="C501" s="242"/>
      <c r="D501" s="265"/>
      <c r="E501" s="244"/>
      <c r="F501" s="244"/>
      <c r="G501" s="244"/>
      <c r="H501" s="242"/>
      <c r="I501" s="265"/>
      <c r="J501" s="265"/>
      <c r="K501" s="265"/>
      <c r="L501" s="244"/>
      <c r="M501" s="242"/>
      <c r="N501" s="242"/>
      <c r="O501" s="242"/>
      <c r="P501" s="242"/>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44"/>
    </row>
    <row r="502" spans="1:39" ht="18" customHeight="1" x14ac:dyDescent="0.15">
      <c r="A502" s="242"/>
      <c r="B502" s="244"/>
      <c r="C502" s="242"/>
      <c r="D502" s="265"/>
      <c r="E502" s="244"/>
      <c r="F502" s="244"/>
      <c r="G502" s="244"/>
      <c r="H502" s="242"/>
      <c r="I502" s="265"/>
      <c r="J502" s="265"/>
      <c r="K502" s="265"/>
      <c r="L502" s="244"/>
      <c r="M502" s="242"/>
      <c r="N502" s="242"/>
      <c r="O502" s="242"/>
      <c r="P502" s="242"/>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44"/>
    </row>
    <row r="503" spans="1:39" ht="18" customHeight="1" x14ac:dyDescent="0.15">
      <c r="A503" s="242"/>
      <c r="B503" s="244"/>
      <c r="C503" s="242"/>
      <c r="D503" s="265"/>
      <c r="E503" s="244"/>
      <c r="F503" s="244"/>
      <c r="G503" s="244"/>
      <c r="H503" s="242"/>
      <c r="I503" s="265"/>
      <c r="J503" s="265"/>
      <c r="K503" s="265"/>
      <c r="L503" s="244"/>
      <c r="M503" s="242"/>
      <c r="N503" s="242"/>
      <c r="O503" s="242"/>
      <c r="P503" s="242"/>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44"/>
    </row>
    <row r="504" spans="1:39" ht="18" customHeight="1" x14ac:dyDescent="0.15">
      <c r="A504" s="242"/>
      <c r="B504" s="244"/>
      <c r="C504" s="242"/>
      <c r="D504" s="265"/>
      <c r="E504" s="244"/>
      <c r="F504" s="244"/>
      <c r="G504" s="244"/>
      <c r="H504" s="242"/>
      <c r="I504" s="265"/>
      <c r="J504" s="265"/>
      <c r="K504" s="265"/>
      <c r="L504" s="244"/>
      <c r="M504" s="242"/>
      <c r="N504" s="242"/>
      <c r="O504" s="242"/>
      <c r="P504" s="242"/>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44"/>
    </row>
    <row r="505" spans="1:39" ht="18" customHeight="1" x14ac:dyDescent="0.15">
      <c r="A505" s="242"/>
      <c r="B505" s="244"/>
      <c r="C505" s="242"/>
      <c r="D505" s="265"/>
      <c r="E505" s="244"/>
      <c r="F505" s="244"/>
      <c r="G505" s="244"/>
      <c r="H505" s="242"/>
      <c r="I505" s="265"/>
      <c r="J505" s="265"/>
      <c r="K505" s="265"/>
      <c r="L505" s="244"/>
      <c r="M505" s="242"/>
      <c r="N505" s="242"/>
      <c r="O505" s="242"/>
      <c r="P505" s="242"/>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44"/>
    </row>
    <row r="506" spans="1:39" ht="18" customHeight="1" x14ac:dyDescent="0.15">
      <c r="A506" s="242"/>
      <c r="B506" s="244"/>
      <c r="C506" s="242"/>
      <c r="D506" s="265"/>
      <c r="E506" s="244"/>
      <c r="F506" s="244"/>
      <c r="G506" s="244"/>
      <c r="H506" s="242"/>
      <c r="I506" s="265"/>
      <c r="J506" s="265"/>
      <c r="K506" s="265"/>
      <c r="L506" s="244"/>
      <c r="M506" s="242"/>
      <c r="N506" s="242"/>
      <c r="O506" s="242"/>
      <c r="P506" s="242"/>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44"/>
    </row>
    <row r="507" spans="1:39" ht="18" customHeight="1" x14ac:dyDescent="0.15">
      <c r="A507" s="242"/>
      <c r="B507" s="244"/>
      <c r="C507" s="242"/>
      <c r="D507" s="265"/>
      <c r="E507" s="244"/>
      <c r="F507" s="244"/>
      <c r="G507" s="244"/>
      <c r="H507" s="242"/>
      <c r="I507" s="265"/>
      <c r="J507" s="265"/>
      <c r="K507" s="265"/>
      <c r="L507" s="244"/>
      <c r="M507" s="242"/>
      <c r="N507" s="242"/>
      <c r="O507" s="242"/>
      <c r="P507" s="242"/>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44"/>
    </row>
    <row r="508" spans="1:39" ht="18" customHeight="1" x14ac:dyDescent="0.15">
      <c r="A508" s="242"/>
      <c r="B508" s="244"/>
      <c r="C508" s="242"/>
      <c r="D508" s="265"/>
      <c r="E508" s="244"/>
      <c r="F508" s="244"/>
      <c r="G508" s="244"/>
      <c r="H508" s="242"/>
      <c r="I508" s="265"/>
      <c r="J508" s="265"/>
      <c r="K508" s="265"/>
      <c r="L508" s="244"/>
      <c r="M508" s="242"/>
      <c r="N508" s="242"/>
      <c r="O508" s="242"/>
      <c r="P508" s="242"/>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44"/>
    </row>
  </sheetData>
  <sheetProtection algorithmName="SHA-512" hashValue="NfdoURMCXsmiUK3bivei/S977Z3ECwselKgkHorbJETSo9XeB7HW/C1J7nLxbi+fp9JgqyhJ6jAICbvrrNveWA==" saltValue="BCyYbO7FjaSmwsQ3gka3IA==" spinCount="100000" sheet="1" scenarios="1" formatCells="0" formatColumns="0" formatRows="0" insertColumns="0" insertRows="0" deleteColumns="0" deleteRows="0" sort="0" autoFilter="0" pivotTables="0"/>
  <protectedRanges>
    <protectedRange sqref="E49 B6 K6:K10 K33:K39 K42:K47 E13:F19 E33:F39 G38:G41 K22:K31 G29:G35 G19:G27 E22:F31 P3:P10 P33:P36 P42:P47 P13:P17 P22:P29 B32:D32 H20:J21 B40:D41 B3:D4 E2:F10 G10:G16 G46:G49 E76:F76 R113:R119 B76 E124:F124 P171 K13:K19 E42:F47 G6:G8 B5:C5 H48:J51 B20:D21 B11:D12 H40:J41 H32:J32 H5:J5 B48:D51 E52:F52 B52 P52:P74 B124:B141 B143:B170 AN1:XFD2 AM50:AN166 E171:F1048576 B171:C1048576 H3:H171 H340:H1048576 AM167:XFD1048576 L167:L1048576 G167:G1048576 M3:M340 M509:M1048576 M48:O51 P124 P76:P121 M40:O41 M20:O21 M11:O12 M3:O5 M32:O32 Q3:Q49 S3:XFD49 R3:R6 R14:R49 G3:K4 H11:J12 O150:P150 O142:P142 O161:P161 J155:K155 J150:K150 J142:K142 J161:K161 J16 O35 O16 J35 O132:P133 J132:K133 E155 E150:F150 E142:F142 E161:F161 E132:F133 O108 O119 P19 P31 P38:P39" name="Range1"/>
    <protectedRange sqref="C10:D10 N10:O10 I10:J10" name="Range1_1"/>
    <protectedRange sqref="B7:C9 C6 B42:D47 B13:D19 D6:D9 H13:J15 H33:J34 H7:J9 I6:J6 H22:J31 M13:O15 B22:D31 B33:D39 M42:O47 M22:O31 N6:O6 M7:O9 M33:O34 H42:J47 M17:O19 M16:N16 H17:J19 H16:I16 H36:J39 H35:I35 M36:O39 M35:N35 P18 P30 P37" name="Range1_5"/>
    <protectedRange sqref="B10 H10 M10" name="Range1_1_1"/>
    <protectedRange sqref="C123 B65:B68 I52:J52 H65:H68 M65:M68 N123:O123 G5 C52 N171:O171 N52:O52 E54:F62 AO50:XFD166 G50:G166 I123:J123" name="Range1_3"/>
    <protectedRange sqref="C70:D73 C65:D68 I54:J63 C54:D63 I70:J73 N70:O73 N54:O63 N65:O68 I65:J68" name="Range1_1_2"/>
    <protectedRange sqref="C69:D69 C64:D64 C53:D53 I74:J74 I64:J64 I53:J53 C74:D74 N74:O74 N64:O64 N69:O69 N53:O53 I69:J69" name="Range1_5_1"/>
    <protectedRange sqref="B53:B64 H53:H64 M53:M64 B69:B74 H69:H74 M69:M74" name="Range1_1_1_1"/>
    <protectedRange sqref="C161 C124 C133 C155 C150 C142 I150 I142 I161 I133 I155 N161 N124:O124 N142 N150 N155 N133 I124:J124 O151:P160 O162:P170 O134:P141 O143:P149 J156:K160 J151:K154 J162:K170 J143:K149 O125:P131 J134:K141 J125:K131 F151:F160 E156:E160 E151:E154 E162:F170 E143:F149 E134:F141 E125:F131" name="Range1_7"/>
    <protectedRange sqref="C143:C149 C151:C154 C162:C170 I156:I160 C156:C160 C125:C132 I125:I132 I134:I141 I143:I149 I151:I154 N125:N132 N162:N170 N151:N154 N143:N149 N156:N160 I162:I170 C134:C141 N134:N141" name="Range1_1_2_1"/>
    <protectedRange sqref="E96:F99 E103:F108 E110:F114 E92:F94 N76:O76 E117:F121 E81:F85 E78:F79 C76 I76:J76" name="Range1_4"/>
    <protectedRange sqref="C92:D94 C81:D85 C87:C88 C96:D97 C103:D108 I110:J114 I103:J107 I81:J83 C117:D120 I92:J94 I87:J88 N81:O85 N103:O107 N117:O118 N87:O88 N92:O94 I96:J97 N110:O114 I85:J85 N96:O97 C110:D114 K118:K119 I84 I117:J120 N108 I108 N120:O120 N119" name="Range1_1_3"/>
    <protectedRange sqref="D98:D99 B101:F102 B80:F80 B87:B88 B77:F77 B89:F91 D87:F88 B78:D79 H87:H88 M87:M88 H95:J95 H98:J102 H109:J109 D100:F100 B95:F95 H115:J116 H121:J121 B109:F109 H77:J80 H86:J86 B121:D121 M121:O121 B86:F86 B98:C100 B115:F116 M115:O116 M109:O109 M98:O102 M95:O95 M89:O91 M86:O86 M77:O80 H89:J91" name="Range1_5_2"/>
    <protectedRange sqref="B96:B97 B92:B94 B110:B114 B103:B108 B81:B85 H96:H97 H92:H94 H110:H114 H103:H108 H81:H85 M96:M97 M92:M94 M110:M114 M103:M108 M81:M85 B117:B120 H117:H120 M117:M120" name="Range1_1_1_2"/>
  </protectedRanges>
  <dataConsolidate link="1"/>
  <phoneticPr fontId="14" type="noConversion"/>
  <hyperlinks>
    <hyperlink ref="N84" location="Sheet_PhaiThuDauTu!A1" display="Phải thu cho vay ngắn hạn" xr:uid="{0A1CEF01-2BB6-4B50-936C-B7E218C979DE}"/>
    <hyperlink ref="N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8</xdr:col>
                    <xdr:colOff>542925</xdr:colOff>
                    <xdr:row>0</xdr:row>
                    <xdr:rowOff>200025</xdr:rowOff>
                  </from>
                  <to>
                    <xdr:col>8</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S7:XFD13 S82:XFD88 P7:Q13 P82:Q88 P4:XFD6 A1:XFD3 P89:XFD170 A171:XFD178 A179:M179 O179:XFD179 A180:XFD1048576 P14:XFD81 A4:O170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M16" workbookViewId="0">
      <selection activeCell="AC22" sqref="AC22"/>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538</v>
      </c>
      <c r="N21" s="406"/>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8" cm="1">
        <f t="array" ref="AC21" xml:space="preserve">
+ IFERROR(
SUM(_xlfn._xlws.FILTER(Table_DonMua[Phải trả],
(Table_DonMua[Mã Đối tác] = NoXau_MaNCC) *
(Table_DonMua[Ngày lập]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+IFERROR(
SUM(_xlfn._xlws.FILTER(Table_ChiPhiNV[Lương net],
(Table_ChiPhiNV[Nhân viên] = NoXau_MaNCC) *
(NOT(ISBLANK(Table_ChiPhiNV[Tháng]))) *
(Table_ChiPhiNV[Kỳ] &lt;= NoXau_NgayTheoDoi)
)),0)
+ IFERROR(
SUM(_xlfn._xlws.FILTER(Table_ChiPhiKD[Giá trị],
(Table_ChiPhiKD[Vendor] = NoXau_MaNCC) *
(ISBLANK(Table_ChiPhiKD[Tháng])) *
(Table_ChiPhiKD[Phân bổ đến]&lt;= NoXau_NgayTheoDoi)
)),0)
+IFERROR(
SUM(_xlfn._xlws.FILTER(Table_ChiPhiNV[Lương net],
(Table_ChiPhiNV[Nhân viên] = NoXau_MaNCC) *
(ISBLANK(Table_ChiPhiNV[Tháng])) *
(Table_ChiPhiNV[Phân bổ đến] &lt;=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
+IFERROR(
SUMPRODUCT(
_xlfn._xlws.FILTER(Table_ChiPhiNV[Lương net],
(Table_ChiPhiNV[Nhân viên] = NoXau_MaNCC) *
(ISBLANK(Table_ChiPhiNV[Tháng])) *
(Table_ChiPhiNV[Phân bổ từ]&lt;= NoXau_NgayTheoDoi)*
(Table_ChiPhiNV[Phân bổ đến]&gt;= NoXau_NgayTheoDoi)
),
_xlfn._xlws.FILTER(ROUND((NoXau_NgayTheoDoi - 1 - Table_ChiPhiNV[Phân bổ từ]) / (362.25 / 12 ), 0),
(Table_ChiPhiNV[Nhân viên] = NoXau_MaNCC) *
(ISBLANK(Table_ChiPhiNV[Tháng])) *
(Table_ChiPhiNV[Phân bổ từ]&lt;= NoXau_NgayTheoDoi)*
(Table_ChiPhiNV[Phân bổ đến]&gt;= NoXau_NgayTheoDoi)
),
_xlfn._xlws.FILTER(1 / ROUND((Table_ChiPhiNV[Phân bổ đến] - Table_ChiPhiNV[Phân bổ từ])/ (362.25 / 12 ),0),
(Table_ChiPhiNV[Nhân viên] = NoXau_MaNCC) *
(ISBLANK(Table_ChiPhiNV[Tháng])) *
(Table_ChiPhiNV[Phân bổ từ]&lt;= NoXau_NgayTheoDoi)*
(Table_ChiPhiNV[Phân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5">
        <f>P21</f>
        <v>0</v>
      </c>
      <c r="AL21" s="224"/>
    </row>
    <row r="22" spans="2:38" ht="16.5" x14ac:dyDescent="0.3">
      <c r="B22" s="97" t="s">
        <v>1238</v>
      </c>
      <c r="C22" s="97" t="s">
        <v>1166</v>
      </c>
      <c r="D22"/>
      <c r="E22"/>
      <c r="F22"/>
      <c r="G22"/>
      <c r="H22"/>
      <c r="I22"/>
      <c r="J22"/>
      <c r="M22" s="7" t="s">
        <v>545</v>
      </c>
      <c r="N22" s="7" t="s">
        <v>546</v>
      </c>
      <c r="O22" s="7" t="s">
        <v>547</v>
      </c>
      <c r="P22" s="7" t="s">
        <v>1254</v>
      </c>
      <c r="Q22" s="7" t="s">
        <v>883</v>
      </c>
      <c r="U22" s="7" t="s">
        <v>548</v>
      </c>
      <c r="V22" s="7" t="s">
        <v>1256</v>
      </c>
      <c r="W22" s="7" t="s">
        <v>549</v>
      </c>
      <c r="X22" s="7" t="s">
        <v>883</v>
      </c>
      <c r="AB22" s="7" t="s">
        <v>550</v>
      </c>
      <c r="AC22" s="7" t="s">
        <v>1256</v>
      </c>
      <c r="AD22" s="7" t="s">
        <v>549</v>
      </c>
      <c r="AE22" s="7" t="s">
        <v>883</v>
      </c>
      <c r="AG22" s="7" t="s">
        <v>3</v>
      </c>
      <c r="AH22" s="7" t="s">
        <v>2</v>
      </c>
      <c r="AI22" s="7" t="s">
        <v>1</v>
      </c>
      <c r="AJ22" s="7" t="s">
        <v>551</v>
      </c>
      <c r="AK22" s="7" t="s">
        <v>552</v>
      </c>
      <c r="AL22" s="7" t="s">
        <v>883</v>
      </c>
    </row>
    <row r="23" spans="2:38" ht="16.5" x14ac:dyDescent="0.3">
      <c r="B23" s="97" t="s">
        <v>23</v>
      </c>
      <c r="C23" t="s">
        <v>1205</v>
      </c>
      <c r="D23" t="s">
        <v>1206</v>
      </c>
      <c r="E23" s="511"/>
      <c r="F23" s="511"/>
      <c r="G23" s="511"/>
      <c r="H23" s="511"/>
      <c r="I23" s="511"/>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5"/>
      <c r="V23" s="18" cm="1">
        <f t="array" ref="V23"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f>
        <v>0</v>
      </c>
      <c r="W23" s="18">
        <f>IF(Table_PhaiThu_TuoiNoKH[[#This Row],[Giá trị nợ]] =0, 0, NoXau_NgayTheoDoi-Table_PhaiThu_TuoiNoKH[[#This Row],[Ngày lên đơn]])</f>
        <v>0</v>
      </c>
      <c r="X23" s="212"/>
      <c r="Z23" s="7" t="str" cm="1">
        <f t="array" ref="Z23:Z25">_xlfn.SORTBY(Table_NhaCungCap[Mã Đối tác], Table_NhaCungCap[Dư nợ],1)</f>
        <v>NCC2</v>
      </c>
      <c r="AA23" s="7" t="e" cm="1" vm="1">
        <f t="array" ref="AA23">_xlfn.UNIQUE(
_xlfn._xlws.FILTER(Table_ThuChiKD[Ngày GD],
(Table_ThuChiKD[Ngày GD] &lt; NoXau_NgayTheoDoi) *
(Table_ThuChiKD[Đối tác] = NoXau_MaNCC)
))</f>
        <v>#VALUE!</v>
      </c>
      <c r="AB23" s="395"/>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1206</v>
      </c>
      <c r="AK23" s="15">
        <v>100000</v>
      </c>
    </row>
    <row r="24" spans="2:38" ht="16.5" x14ac:dyDescent="0.3">
      <c r="B24" s="526">
        <v>45717</v>
      </c>
      <c r="C24" s="511">
        <v>100000</v>
      </c>
      <c r="D24" s="511">
        <v>200000</v>
      </c>
      <c r="E24" s="511"/>
      <c r="F24" s="511"/>
      <c r="G24" s="511"/>
      <c r="H24" s="511"/>
      <c r="I24" s="511"/>
      <c r="J24"/>
      <c r="S24" s="7" t="str">
        <v>KH2</v>
      </c>
      <c r="Z24" s="7" t="str">
        <v>NCC3</v>
      </c>
      <c r="AG24" s="33">
        <f>IFERROR(
IF(ISBLANK(Table_DuPhong[[#This Row],[Tháng]]),
DATE(Table_DuPhong[[#This Row],[Năm]],12,1),
DATE(Table_DuPhong[[#This Row],[Năm]],Table_DuPhong[[#This Row],[Tháng]],1)),0)</f>
        <v>45778</v>
      </c>
      <c r="AH24" s="7">
        <v>2025</v>
      </c>
      <c r="AI24" s="7">
        <v>5</v>
      </c>
      <c r="AJ24" s="7" t="s">
        <v>1205</v>
      </c>
      <c r="AK24" s="15">
        <v>200000</v>
      </c>
    </row>
    <row r="25" spans="2:38" ht="16.5" x14ac:dyDescent="0.3">
      <c r="B25" s="526">
        <v>45748</v>
      </c>
      <c r="C25" s="511">
        <v>200000</v>
      </c>
      <c r="D25" s="511">
        <v>100000</v>
      </c>
      <c r="E25" s="511"/>
      <c r="F25" s="511"/>
      <c r="G25" s="511"/>
      <c r="H25" s="511"/>
      <c r="I25" s="511"/>
      <c r="J25"/>
      <c r="S25" s="7" t="str">
        <v>KH3</v>
      </c>
      <c r="Z25" s="7" t="str">
        <v>NCC1</v>
      </c>
      <c r="AG25" s="33">
        <f>IFERROR(
IF(ISBLANK(Table_DuPhong[[#This Row],[Tháng]]),
DATE(Table_DuPhong[[#This Row],[Năm]],12,1),
DATE(Table_DuPhong[[#This Row],[Năm]],Table_DuPhong[[#This Row],[Tháng]],1)),0)</f>
        <v>45748</v>
      </c>
      <c r="AH25" s="7">
        <v>2025</v>
      </c>
      <c r="AI25" s="7">
        <v>4</v>
      </c>
      <c r="AJ25" s="7" t="s">
        <v>1206</v>
      </c>
      <c r="AK25" s="15">
        <v>100000</v>
      </c>
    </row>
    <row r="26" spans="2:38" ht="16.5" x14ac:dyDescent="0.3">
      <c r="B26" s="526">
        <v>45778</v>
      </c>
      <c r="C26" s="511">
        <v>200000</v>
      </c>
      <c r="D26" s="511">
        <v>100000</v>
      </c>
      <c r="E26" s="511"/>
      <c r="F26" s="511"/>
      <c r="G26" s="511"/>
      <c r="H26" s="511"/>
      <c r="I26" s="511"/>
      <c r="J26"/>
      <c r="AG26" s="33">
        <f>IFERROR(
IF(ISBLANK(Table_DuPhong[[#This Row],[Tháng]]),
DATE(Table_DuPhong[[#This Row],[Năm]],12,1),
DATE(Table_DuPhong[[#This Row],[Năm]],Table_DuPhong[[#This Row],[Tháng]],1)),0)</f>
        <v>45748</v>
      </c>
      <c r="AH26" s="7">
        <v>2025</v>
      </c>
      <c r="AI26" s="7">
        <v>4</v>
      </c>
      <c r="AJ26" s="7" t="s">
        <v>1205</v>
      </c>
      <c r="AK26" s="15">
        <v>200000</v>
      </c>
    </row>
    <row r="27" spans="2:38" ht="16.5" x14ac:dyDescent="0.3">
      <c r="B27" s="526" t="s">
        <v>1112</v>
      </c>
      <c r="C27" s="511">
        <v>500000</v>
      </c>
      <c r="D27" s="511">
        <v>400000</v>
      </c>
      <c r="E27"/>
      <c r="F27"/>
      <c r="G27"/>
      <c r="H27"/>
      <c r="I27"/>
      <c r="J27"/>
      <c r="AG27" s="33">
        <f>IFERROR(
IF(ISBLANK(Table_DuPhong[[#This Row],[Tháng]]),
DATE(Table_DuPhong[[#This Row],[Năm]],12,1),
DATE(Table_DuPhong[[#This Row],[Năm]],Table_DuPhong[[#This Row],[Tháng]],1)),0)</f>
        <v>45717</v>
      </c>
      <c r="AH27" s="7">
        <v>2025</v>
      </c>
      <c r="AI27" s="7">
        <v>3</v>
      </c>
      <c r="AJ27" s="7" t="s">
        <v>1206</v>
      </c>
      <c r="AK27" s="15">
        <v>200000</v>
      </c>
    </row>
    <row r="28" spans="2:38" ht="16.5" x14ac:dyDescent="0.3">
      <c r="B28"/>
      <c r="C28"/>
      <c r="D28"/>
      <c r="E28"/>
      <c r="F28"/>
      <c r="G28"/>
      <c r="H28"/>
      <c r="I28"/>
      <c r="J28"/>
      <c r="AG28" s="33">
        <f>IFERROR(
IF(ISBLANK(Table_DuPhong[[#This Row],[Tháng]]),
DATE(Table_DuPhong[[#This Row],[Năm]],12,1),
DATE(Table_DuPhong[[#This Row],[Năm]],Table_DuPhong[[#This Row],[Tháng]],1)),0)</f>
        <v>45717</v>
      </c>
      <c r="AH28" s="7">
        <v>2025</v>
      </c>
      <c r="AI28" s="7">
        <v>3</v>
      </c>
      <c r="AJ28" s="7" t="s">
        <v>1205</v>
      </c>
      <c r="AK28" s="15">
        <v>100000</v>
      </c>
    </row>
    <row r="29" spans="2:38" ht="16.5" x14ac:dyDescent="0.3">
      <c r="B29"/>
      <c r="C29"/>
      <c r="D29"/>
      <c r="E29"/>
      <c r="F29"/>
      <c r="G29"/>
      <c r="H29"/>
      <c r="I29"/>
      <c r="J29"/>
    </row>
    <row r="30" spans="2:38" ht="16.5" x14ac:dyDescent="0.3">
      <c r="B30"/>
      <c r="C30"/>
      <c r="D30"/>
      <c r="E30"/>
      <c r="F30"/>
      <c r="G30"/>
      <c r="H30"/>
      <c r="I30"/>
      <c r="J30"/>
    </row>
    <row r="31" spans="2:38" ht="16.5" x14ac:dyDescent="0.3">
      <c r="B31"/>
      <c r="C31"/>
      <c r="D31"/>
      <c r="E31"/>
      <c r="F31"/>
      <c r="G31"/>
      <c r="H31"/>
      <c r="I31"/>
      <c r="J31"/>
    </row>
    <row r="32" spans="2:38" ht="16.5" x14ac:dyDescent="0.3">
      <c r="B32"/>
      <c r="C32"/>
      <c r="D32"/>
      <c r="E32"/>
      <c r="F32"/>
      <c r="G32"/>
      <c r="H32"/>
      <c r="I32"/>
      <c r="J32"/>
    </row>
    <row r="33" spans="2:10" ht="16.5" x14ac:dyDescent="0.3">
      <c r="B33"/>
      <c r="C33"/>
      <c r="D33"/>
      <c r="E33"/>
      <c r="F33"/>
      <c r="G33"/>
      <c r="H33"/>
      <c r="I33"/>
      <c r="J33"/>
    </row>
    <row r="34" spans="2:10" ht="16.5" x14ac:dyDescent="0.3">
      <c r="B34"/>
      <c r="C34"/>
      <c r="D34"/>
      <c r="E34"/>
      <c r="F34"/>
      <c r="G34"/>
      <c r="H34"/>
      <c r="I34"/>
      <c r="J34"/>
    </row>
    <row r="35" spans="2:10" ht="16.5" x14ac:dyDescent="0.3">
      <c r="B35"/>
      <c r="C35"/>
      <c r="D35"/>
      <c r="E35"/>
      <c r="F35"/>
      <c r="G35"/>
      <c r="H35"/>
      <c r="I35"/>
      <c r="J35"/>
    </row>
    <row r="36" spans="2:10" ht="16.5" x14ac:dyDescent="0.3">
      <c r="B36"/>
      <c r="C36"/>
      <c r="D36"/>
      <c r="E36"/>
      <c r="F36"/>
      <c r="G36"/>
      <c r="H36"/>
      <c r="I36"/>
      <c r="J36"/>
    </row>
    <row r="37" spans="2:10" ht="16.5" x14ac:dyDescent="0.3">
      <c r="B37"/>
      <c r="C37"/>
      <c r="D37"/>
      <c r="E37"/>
      <c r="F37"/>
      <c r="G37"/>
      <c r="H37"/>
      <c r="I37"/>
      <c r="J37"/>
    </row>
    <row r="38" spans="2:10" ht="16.5" x14ac:dyDescent="0.3">
      <c r="B38"/>
      <c r="C38"/>
      <c r="D38"/>
      <c r="E38"/>
      <c r="F38"/>
      <c r="G38"/>
      <c r="H38"/>
      <c r="I38"/>
      <c r="J38"/>
    </row>
    <row r="39" spans="2:10" ht="16.5" x14ac:dyDescent="0.3">
      <c r="B39"/>
      <c r="C39"/>
      <c r="D39"/>
      <c r="E39"/>
      <c r="F39"/>
      <c r="G39"/>
      <c r="H39"/>
      <c r="I39"/>
      <c r="J39"/>
    </row>
  </sheetData>
  <sheetProtection algorithmName="SHA-512" hashValue="ZcQYqxnZlBZZRDW3TdiVF9tDnTNGp7rarQ7gH/zg3SxFRbt/Z0H0VtNUo+5glNCMA0R7cdRDKt/J3JxBOd6Fmg==" saltValue="sQS7tro44AXYGaJ+uokEew==" spinCount="100000" sheet="1" scenarios="1" formatCells="0" formatColumns="0" formatRows="0" insertColumns="0" insertRows="0" deleteColumns="0" deleteRows="0" sort="0" autoFilter="0" pivotTables="0"/>
  <dataValidations disablePrompts="1"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zoomScaleNormal="100" workbookViewId="0">
      <selection activeCell="B17" sqref="B17"/>
    </sheetView>
  </sheetViews>
  <sheetFormatPr defaultRowHeight="17.25" outlineLevelRow="1" outlineLevelCol="1" x14ac:dyDescent="0.3"/>
  <cols>
    <col min="1" max="1" width="12.25" style="346"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403"/>
      <c r="E1" s="403">
        <v>45717</v>
      </c>
      <c r="F1" s="403">
        <v>45748</v>
      </c>
      <c r="G1" s="403">
        <v>45778</v>
      </c>
      <c r="H1" s="403"/>
    </row>
    <row r="2" spans="1:8" s="7" customFormat="1" ht="17.25" customHeight="1" x14ac:dyDescent="0.3">
      <c r="A2" s="21"/>
      <c r="B2" s="46">
        <v>2</v>
      </c>
      <c r="C2" s="10" t="s">
        <v>553</v>
      </c>
      <c r="D2" s="401">
        <f>+SUMIF(D$6:D$1048576,"&gt;0",D$6:D$1048576)</f>
        <v>0</v>
      </c>
      <c r="E2" s="401">
        <f>+SUMIF(E$5:E$1048576,"&gt;0",E$5:E$1048576)</f>
        <v>700000</v>
      </c>
      <c r="F2" s="401">
        <f>+SUMIF(F$5:F$1048576,"&gt;0",F$5:F$1048576)</f>
        <v>700000</v>
      </c>
      <c r="G2" s="401">
        <f>+SUMIF(G$5:G$1048576,"&gt;0",G$5:G$1048576)</f>
        <v>700000</v>
      </c>
      <c r="H2" s="401">
        <f>+SUMIF(H$5:H$1048576,"&gt;0",H$5:H$1048576)</f>
        <v>0</v>
      </c>
    </row>
    <row r="3" spans="1:8" s="21" customFormat="1" ht="17.25" customHeight="1" x14ac:dyDescent="0.3">
      <c r="B3" s="46">
        <v>3</v>
      </c>
      <c r="C3" s="9" t="s">
        <v>554</v>
      </c>
      <c r="D3" s="404"/>
      <c r="E3" s="404"/>
      <c r="F3" s="404"/>
      <c r="G3" s="404"/>
      <c r="H3" s="404"/>
    </row>
    <row r="4" spans="1:8" s="7" customFormat="1" ht="17.25" customHeight="1" x14ac:dyDescent="0.3">
      <c r="A4" s="21"/>
      <c r="B4" s="46">
        <v>4</v>
      </c>
      <c r="C4" s="10" t="s">
        <v>555</v>
      </c>
      <c r="D4" s="401">
        <f>-SUMIF(D$6:D$1048576,"&lt;0",D$6:D$1048576)</f>
        <v>0</v>
      </c>
      <c r="E4" s="401">
        <f>-SUMIF(E$5:E$1048576,"&lt;0",E$5:E$1048576)</f>
        <v>0</v>
      </c>
      <c r="F4" s="401">
        <f>-SUMIF(F$5:F$1048576,"&lt;0",F$5:F$1048576)</f>
        <v>500000</v>
      </c>
      <c r="G4" s="401">
        <f>-SUMIF(G$5:G$1048576,"&lt;0",G$5:G$1048576)</f>
        <v>800000</v>
      </c>
      <c r="H4" s="401">
        <f>-SUMIF(H$5:H$1048576,"&lt;0",H$5:H$1048576)</f>
        <v>0</v>
      </c>
    </row>
    <row r="5" spans="1:8" s="21" customFormat="1" ht="17.25" customHeight="1" x14ac:dyDescent="0.3">
      <c r="B5" s="46">
        <v>5</v>
      </c>
      <c r="C5" s="9" t="s">
        <v>554</v>
      </c>
      <c r="D5" s="34"/>
      <c r="E5" s="404"/>
      <c r="F5" s="404"/>
      <c r="G5" s="404"/>
      <c r="H5" s="404"/>
    </row>
    <row r="6" spans="1:8" s="21" customFormat="1" ht="17.25" customHeight="1" outlineLevel="1" x14ac:dyDescent="0.3">
      <c r="B6" s="46"/>
      <c r="C6" s="9"/>
      <c r="D6" s="34"/>
      <c r="E6" s="404"/>
      <c r="F6" s="404"/>
      <c r="G6" s="404"/>
      <c r="H6" s="404"/>
    </row>
    <row r="7" spans="1:8" s="21" customFormat="1" ht="17.25" customHeight="1" outlineLevel="1" x14ac:dyDescent="0.3">
      <c r="B7" s="46"/>
      <c r="C7" s="9"/>
      <c r="D7" s="34"/>
      <c r="E7" s="404"/>
      <c r="F7" s="404"/>
      <c r="G7" s="404"/>
      <c r="H7" s="404"/>
    </row>
    <row r="8" spans="1:8" s="21" customFormat="1" ht="17.25" customHeight="1" outlineLevel="1" x14ac:dyDescent="0.3">
      <c r="B8" s="46"/>
      <c r="C8" s="9"/>
      <c r="D8" s="34"/>
      <c r="E8" s="404"/>
      <c r="F8" s="404"/>
      <c r="G8" s="404"/>
      <c r="H8" s="404"/>
    </row>
    <row r="9" spans="1:8" s="21" customFormat="1" ht="17.25" customHeight="1" outlineLevel="1" x14ac:dyDescent="0.3">
      <c r="B9" s="46"/>
      <c r="C9" s="9"/>
      <c r="D9" s="34"/>
      <c r="E9" s="404"/>
      <c r="F9" s="404"/>
      <c r="G9" s="404"/>
      <c r="H9" s="404"/>
    </row>
    <row r="10" spans="1:8" s="21" customFormat="1" ht="17.25" customHeight="1" outlineLevel="1" x14ac:dyDescent="0.3">
      <c r="B10" s="46"/>
      <c r="C10" s="9"/>
      <c r="D10" s="34"/>
      <c r="E10" s="404"/>
      <c r="F10" s="404"/>
      <c r="G10" s="404"/>
      <c r="H10" s="404"/>
    </row>
    <row r="11" spans="1:8" s="21" customFormat="1" ht="17.25" customHeight="1" outlineLevel="1" x14ac:dyDescent="0.3">
      <c r="B11" s="46"/>
      <c r="C11" s="9"/>
      <c r="D11" s="34"/>
      <c r="E11" s="404"/>
      <c r="F11" s="404"/>
      <c r="G11" s="404"/>
      <c r="H11" s="404"/>
    </row>
    <row r="12" spans="1:8" s="21" customFormat="1" ht="17.25" customHeight="1" outlineLevel="1" x14ac:dyDescent="0.3">
      <c r="B12" s="46"/>
      <c r="C12" s="9"/>
      <c r="D12" s="34"/>
      <c r="E12" s="404"/>
      <c r="F12" s="404"/>
      <c r="G12" s="404"/>
      <c r="H12" s="404"/>
    </row>
    <row r="13" spans="1:8" s="21" customFormat="1" ht="17.25" customHeight="1" outlineLevel="1" x14ac:dyDescent="0.3">
      <c r="B13" s="46"/>
      <c r="C13" s="9"/>
      <c r="D13" s="34"/>
      <c r="E13" s="404"/>
      <c r="F13" s="404"/>
      <c r="G13" s="404"/>
      <c r="H13" s="404"/>
    </row>
    <row r="14" spans="1:8" s="21" customFormat="1" ht="17.25" customHeight="1" outlineLevel="1" x14ac:dyDescent="0.3">
      <c r="B14" s="46"/>
      <c r="C14" s="9"/>
      <c r="D14" s="34"/>
      <c r="E14" s="404"/>
      <c r="F14" s="404"/>
      <c r="G14" s="404"/>
      <c r="H14" s="404"/>
    </row>
    <row r="15" spans="1:8" s="21" customFormat="1" ht="17.25" customHeight="1" outlineLevel="1" x14ac:dyDescent="0.3">
      <c r="B15" s="46"/>
      <c r="C15" s="9"/>
      <c r="D15" s="34"/>
      <c r="E15" s="404"/>
      <c r="F15" s="404"/>
      <c r="G15" s="404"/>
      <c r="H15" s="404"/>
    </row>
    <row r="16" spans="1:8" s="21" customFormat="1" ht="17.25" customHeight="1" outlineLevel="1" x14ac:dyDescent="0.3">
      <c r="B16" s="46"/>
      <c r="C16" s="9"/>
      <c r="D16" s="34"/>
      <c r="E16" s="404"/>
      <c r="F16" s="404"/>
      <c r="G16" s="404"/>
      <c r="H16" s="404"/>
    </row>
    <row r="17" spans="1:9" s="21" customFormat="1" ht="17.25" customHeight="1" outlineLevel="1" x14ac:dyDescent="0.3">
      <c r="B17" s="46"/>
      <c r="C17" s="9"/>
      <c r="D17" s="34"/>
      <c r="E17" s="404"/>
      <c r="F17" s="404"/>
      <c r="G17" s="404"/>
      <c r="H17" s="404"/>
    </row>
    <row r="18" spans="1:9" s="21" customFormat="1" ht="17.25" customHeight="1" outlineLevel="1" x14ac:dyDescent="0.3">
      <c r="B18" s="46"/>
      <c r="C18" s="9"/>
      <c r="D18" s="34"/>
      <c r="E18" s="404"/>
      <c r="F18" s="404"/>
      <c r="G18" s="404"/>
      <c r="H18" s="404"/>
    </row>
    <row r="19" spans="1:9" s="21" customFormat="1" ht="17.25" customHeight="1" outlineLevel="1" x14ac:dyDescent="0.3">
      <c r="B19" s="46"/>
      <c r="C19" s="9"/>
      <c r="D19" s="34"/>
      <c r="E19" s="404"/>
      <c r="F19" s="404"/>
      <c r="G19" s="404"/>
      <c r="H19" s="404"/>
    </row>
    <row r="20" spans="1:9" s="21" customFormat="1" ht="17.25" customHeight="1" outlineLevel="1" x14ac:dyDescent="0.3">
      <c r="B20" s="46"/>
      <c r="C20" s="9"/>
      <c r="D20" s="34"/>
      <c r="E20" s="404"/>
      <c r="F20" s="404"/>
      <c r="G20" s="404"/>
      <c r="H20" s="404"/>
    </row>
    <row r="21" spans="1:9" s="21" customFormat="1" ht="17.25" customHeight="1" outlineLevel="1" x14ac:dyDescent="0.3">
      <c r="B21" s="46"/>
      <c r="C21" s="9"/>
      <c r="D21" s="34"/>
      <c r="E21" s="404"/>
      <c r="F21" s="404"/>
      <c r="G21" s="404"/>
      <c r="H21" s="404"/>
    </row>
    <row r="22" spans="1:9" s="21" customFormat="1" ht="17.25" customHeight="1" outlineLevel="1" x14ac:dyDescent="0.3">
      <c r="B22" s="46"/>
      <c r="C22" s="9"/>
      <c r="D22" s="34"/>
      <c r="E22" s="404"/>
      <c r="F22" s="404"/>
      <c r="G22" s="404"/>
      <c r="H22" s="404"/>
    </row>
    <row r="23" spans="1:9" ht="17.25" customHeight="1" x14ac:dyDescent="0.3">
      <c r="C23" s="19" t="s">
        <v>556</v>
      </c>
      <c r="D23" s="20" t="s">
        <v>557</v>
      </c>
      <c r="E23" s="20" t="s">
        <v>1232</v>
      </c>
      <c r="F23" s="20" t="s">
        <v>1233</v>
      </c>
      <c r="G23" s="20" t="s">
        <v>1234</v>
      </c>
      <c r="H23" s="20" t="s">
        <v>883</v>
      </c>
    </row>
    <row r="24" spans="1:9" s="5" customFormat="1" x14ac:dyDescent="0.3">
      <c r="A24" s="347"/>
      <c r="B24" s="21" t="str" cm="1">
        <f t="array" ref="B24:B26">_xlfn._xlws.SORT(Table_KhachHang[Mã KH])</f>
        <v>KH1</v>
      </c>
      <c r="C24" s="21" t="s">
        <v>1205</v>
      </c>
      <c r="D24" s="545"/>
      <c r="E24"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7"/>
      <c r="B25" s="21" t="str">
        <v>KH2</v>
      </c>
      <c r="C25" s="21" t="s">
        <v>1206</v>
      </c>
      <c r="D25" s="545"/>
      <c r="E25"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7"/>
      <c r="B26" s="21" t="str">
        <v>KH3</v>
      </c>
      <c r="C26" s="21" t="s">
        <v>1207</v>
      </c>
      <c r="D26" s="400"/>
      <c r="E26"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7"/>
      <c r="B27" s="21"/>
      <c r="C27" s="1"/>
      <c r="D27" s="38"/>
      <c r="E27" s="38"/>
      <c r="F27" s="38"/>
      <c r="G27" s="38"/>
      <c r="H27" s="38"/>
      <c r="I27" s="38"/>
    </row>
    <row r="28" spans="1:9" s="5" customFormat="1" x14ac:dyDescent="0.3">
      <c r="A28" s="347"/>
      <c r="B28" s="21"/>
      <c r="C28" s="1"/>
      <c r="D28" s="38"/>
      <c r="E28" s="38"/>
      <c r="F28" s="38"/>
      <c r="G28" s="38"/>
      <c r="H28" s="38"/>
      <c r="I28" s="1"/>
    </row>
    <row r="29" spans="1:9" s="5" customFormat="1" x14ac:dyDescent="0.3">
      <c r="A29" s="347"/>
      <c r="B29" s="21"/>
      <c r="C29" s="1"/>
      <c r="D29" s="38"/>
      <c r="E29" s="38"/>
      <c r="F29" s="38"/>
      <c r="G29" s="38"/>
      <c r="H29" s="38"/>
      <c r="I29" s="1"/>
    </row>
    <row r="30" spans="1:9" s="5" customFormat="1" x14ac:dyDescent="0.3">
      <c r="A30" s="347"/>
      <c r="B30" s="21"/>
      <c r="C30" s="1"/>
      <c r="D30" s="38"/>
      <c r="E30" s="38"/>
      <c r="F30" s="38"/>
      <c r="G30" s="38"/>
      <c r="H30" s="38"/>
      <c r="I30" s="1"/>
    </row>
    <row r="31" spans="1:9" s="5" customFormat="1" x14ac:dyDescent="0.3">
      <c r="A31" s="347"/>
      <c r="B31" s="21"/>
      <c r="C31" s="1"/>
      <c r="D31" s="38"/>
      <c r="E31" s="38"/>
      <c r="F31" s="38"/>
      <c r="G31" s="38"/>
      <c r="H31" s="38"/>
      <c r="I31" s="1"/>
    </row>
    <row r="32" spans="1:9" s="5" customFormat="1" x14ac:dyDescent="0.3">
      <c r="A32" s="347"/>
      <c r="B32" s="21"/>
      <c r="C32" s="1"/>
      <c r="D32" s="38"/>
      <c r="E32" s="38"/>
      <c r="F32" s="38"/>
      <c r="G32" s="38"/>
      <c r="H32" s="38"/>
      <c r="I32" s="1"/>
    </row>
    <row r="33" spans="1:9" s="5" customFormat="1" x14ac:dyDescent="0.3">
      <c r="A33" s="347"/>
      <c r="B33" s="21"/>
      <c r="C33" s="1"/>
      <c r="D33" s="38"/>
      <c r="E33" s="38"/>
      <c r="F33" s="38"/>
      <c r="G33" s="38"/>
      <c r="H33" s="38"/>
      <c r="I33" s="1"/>
    </row>
    <row r="35" spans="1:9" s="5" customFormat="1" x14ac:dyDescent="0.3">
      <c r="A35" s="347"/>
      <c r="B35" s="21"/>
      <c r="C35" s="1"/>
      <c r="D35" s="38"/>
      <c r="E35" s="38"/>
      <c r="F35" s="38"/>
      <c r="G35" s="38"/>
      <c r="H35" s="38"/>
      <c r="I35" s="1"/>
    </row>
    <row r="36" spans="1:9" s="5" customFormat="1" x14ac:dyDescent="0.3">
      <c r="A36" s="347"/>
      <c r="B36" s="21"/>
      <c r="C36" s="1"/>
      <c r="D36" s="38"/>
      <c r="E36" s="38"/>
      <c r="F36" s="38"/>
      <c r="G36" s="38"/>
      <c r="H36" s="38"/>
      <c r="I36" s="1"/>
    </row>
    <row r="37" spans="1:9" s="5" customFormat="1" x14ac:dyDescent="0.3">
      <c r="A37" s="347"/>
      <c r="B37" s="21"/>
      <c r="C37" s="1"/>
      <c r="D37" s="38"/>
      <c r="E37" s="38"/>
      <c r="F37" s="38"/>
      <c r="G37" s="38"/>
      <c r="H37" s="38"/>
      <c r="I37" s="1"/>
    </row>
    <row r="38" spans="1:9" s="5" customFormat="1" x14ac:dyDescent="0.3">
      <c r="A38" s="347"/>
      <c r="B38" s="21"/>
      <c r="C38" s="1"/>
      <c r="D38" s="38"/>
      <c r="E38" s="38"/>
      <c r="F38" s="38"/>
      <c r="G38" s="38"/>
      <c r="H38" s="38"/>
      <c r="I38" s="1"/>
    </row>
    <row r="39" spans="1:9" s="5" customFormat="1" x14ac:dyDescent="0.3">
      <c r="A39" s="347"/>
      <c r="B39" s="21"/>
      <c r="C39" s="1"/>
      <c r="D39" s="38"/>
      <c r="E39" s="38"/>
      <c r="F39" s="38"/>
      <c r="G39" s="38"/>
      <c r="H39" s="38"/>
      <c r="I39" s="1"/>
    </row>
    <row r="40" spans="1:9" s="5" customFormat="1" x14ac:dyDescent="0.3">
      <c r="A40" s="347"/>
      <c r="B40" s="21"/>
      <c r="C40" s="1"/>
      <c r="D40" s="38"/>
      <c r="E40" s="38"/>
      <c r="F40" s="38"/>
      <c r="G40" s="38"/>
      <c r="H40" s="38"/>
      <c r="I40" s="1"/>
    </row>
    <row r="41" spans="1:9" s="5" customFormat="1" x14ac:dyDescent="0.3">
      <c r="A41" s="347"/>
      <c r="B41" s="21"/>
      <c r="C41" s="1"/>
      <c r="D41" s="38"/>
      <c r="E41" s="38"/>
      <c r="F41" s="38"/>
      <c r="G41" s="38"/>
      <c r="H41" s="38"/>
      <c r="I41" s="1"/>
    </row>
    <row r="43" spans="1:9" s="6" customFormat="1" x14ac:dyDescent="0.3">
      <c r="A43" s="348"/>
      <c r="B43" s="21"/>
      <c r="C43" s="1"/>
      <c r="D43" s="38"/>
      <c r="E43" s="38"/>
      <c r="F43" s="38"/>
      <c r="G43" s="38"/>
      <c r="H43" s="38"/>
      <c r="I43" s="1"/>
    </row>
    <row r="44" spans="1:9" s="5" customFormat="1" x14ac:dyDescent="0.3">
      <c r="A44" s="347"/>
      <c r="B44" s="21"/>
      <c r="C44" s="1"/>
      <c r="D44" s="38"/>
      <c r="E44" s="38"/>
      <c r="F44" s="38"/>
      <c r="G44" s="38"/>
      <c r="H44" s="38"/>
      <c r="I44" s="1"/>
    </row>
    <row r="45" spans="1:9" s="5" customFormat="1" x14ac:dyDescent="0.3">
      <c r="A45" s="347"/>
      <c r="B45" s="21"/>
      <c r="C45" s="1"/>
      <c r="D45" s="38"/>
      <c r="E45" s="38"/>
      <c r="F45" s="38"/>
      <c r="G45" s="38"/>
      <c r="H45" s="38"/>
      <c r="I45" s="1"/>
    </row>
    <row r="46" spans="1:9" s="5" customFormat="1" x14ac:dyDescent="0.3">
      <c r="A46" s="347"/>
      <c r="B46" s="21"/>
      <c r="C46" s="1"/>
      <c r="D46" s="38"/>
      <c r="E46" s="38"/>
      <c r="F46" s="38"/>
      <c r="G46" s="38"/>
      <c r="H46" s="38"/>
      <c r="I46" s="1"/>
    </row>
    <row r="47" spans="1:9" s="5" customFormat="1" x14ac:dyDescent="0.3">
      <c r="A47" s="347"/>
      <c r="B47" s="21"/>
      <c r="C47" s="1"/>
      <c r="D47" s="38"/>
      <c r="E47" s="38"/>
      <c r="F47" s="38"/>
      <c r="G47" s="38"/>
      <c r="H47" s="38"/>
      <c r="I47" s="1"/>
    </row>
    <row r="49" spans="1:9" s="6" customFormat="1" x14ac:dyDescent="0.3">
      <c r="A49" s="348"/>
      <c r="B49" s="21"/>
      <c r="C49" s="1"/>
      <c r="D49" s="38"/>
      <c r="E49" s="38"/>
      <c r="F49" s="38"/>
      <c r="G49" s="38"/>
      <c r="H49" s="38"/>
      <c r="I49" s="1"/>
    </row>
    <row r="51" spans="1:9" s="6" customFormat="1" x14ac:dyDescent="0.3">
      <c r="A51" s="348"/>
      <c r="B51" s="21"/>
      <c r="C51" s="1"/>
      <c r="D51" s="38"/>
      <c r="E51" s="38"/>
      <c r="F51" s="38"/>
      <c r="G51" s="38"/>
      <c r="H51" s="38"/>
      <c r="I51" s="1"/>
    </row>
    <row r="54" spans="1:9" s="2" customFormat="1" x14ac:dyDescent="0.3">
      <c r="A54" s="348"/>
      <c r="B54" s="21"/>
      <c r="C54" s="1"/>
      <c r="D54" s="38"/>
      <c r="E54" s="38"/>
      <c r="F54" s="38"/>
      <c r="G54" s="38"/>
      <c r="H54" s="38"/>
      <c r="I54" s="1"/>
    </row>
  </sheetData>
  <sheetProtection algorithmName="SHA-512" hashValue="tn7aAj6Wm6mu+CUEFjfOT9vTkeejL7jLSi4T/yjH7uhiXufe1B1V44Ysgx32trQPkF2c2EFGdJSxzBkU5qLS5w==" saltValue="aEgGZloBRWJ2hyin03h0iQ==" spinCount="100000" sheet="1" scenarios="1" formatCells="0" formatColumns="0" formatRows="0" insertColumns="0" insertRows="0" deleteColumns="0" deleteRows="0" sort="0" autoFilter="0" pivotTables="0"/>
  <protectedRanges>
    <protectedRange sqref="J58:XFD1048576 I25:I1048576 J25:XFD53 B25:B1048576 I23:XFD24 J1:XFD22 H5:H22 D2:H4 D23:H25 C1:C1048576" name="Range1_69"/>
    <protectedRange sqref="J54:XFD57" name="Range1_4_13"/>
    <protectedRange sqref="H1" name="Range1_69_1"/>
  </protectedRanges>
  <dataConsolidate link="1"/>
  <phoneticPr fontId="14" type="noConversion"/>
  <conditionalFormatting sqref="C24:C26">
    <cfRule type="duplicateValues" dxfId="874"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7" zoomScaleNormal="100" workbookViewId="0">
      <selection activeCell="H32" sqref="H32"/>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4"/>
    <col min="13" max="16384" width="9" style="7"/>
  </cols>
  <sheetData>
    <row r="1" spans="1:12" ht="18" customHeight="1" x14ac:dyDescent="0.3">
      <c r="A1" s="301">
        <v>1</v>
      </c>
      <c r="B1" s="242"/>
      <c r="C1" s="10" t="s">
        <v>1</v>
      </c>
      <c r="D1" s="403"/>
      <c r="E1" s="403">
        <v>45717</v>
      </c>
      <c r="F1" s="403">
        <v>45748</v>
      </c>
      <c r="G1" s="403">
        <v>45778</v>
      </c>
      <c r="H1" s="403"/>
      <c r="I1" s="242"/>
      <c r="J1" s="242"/>
      <c r="L1" s="7"/>
    </row>
    <row r="2" spans="1:12" ht="18" customHeight="1" x14ac:dyDescent="0.3">
      <c r="A2" s="301">
        <v>2</v>
      </c>
      <c r="B2" s="11" t="s">
        <v>558</v>
      </c>
      <c r="C2" s="10" t="s">
        <v>559</v>
      </c>
      <c r="D2" s="401">
        <f>+SUMIFS(D$26:D$1048576,D$26:D$1048576,"&gt;0",$B$26:$B$1048576,$B$2)</f>
        <v>0</v>
      </c>
      <c r="E2" s="401">
        <f>+SUMIFS(E$9:E$1048576,E$9:E$1048576,"&gt;0",$B$9:$B$1048576,$B$2)</f>
        <v>403962</v>
      </c>
      <c r="F2" s="401">
        <f>+SUMIFS(F$9:F$1048576,F$9:F$1048576,"&gt;0",$B$9:$B$1048576,$B$2)</f>
        <v>496415</v>
      </c>
      <c r="G2" s="401">
        <f>+SUMIFS(G$9:G$1048576,G$9:G$1048576,"&gt;0",$B$9:$B$1048576,$B$2)</f>
        <v>430146</v>
      </c>
      <c r="H2" s="401">
        <f>+SUMIFS(H$9:H$1048576,H$9:H$1048576,"&gt;0",$B$9:$B$1048576,$B$2)</f>
        <v>0</v>
      </c>
      <c r="I2" s="242"/>
      <c r="J2" s="242"/>
      <c r="L2" s="7"/>
    </row>
    <row r="3" spans="1:12" ht="18" customHeight="1" x14ac:dyDescent="0.3">
      <c r="A3" s="301">
        <v>3</v>
      </c>
      <c r="B3" s="13"/>
      <c r="C3" s="9" t="s">
        <v>554</v>
      </c>
      <c r="D3" s="402"/>
      <c r="E3" s="402"/>
      <c r="F3" s="402"/>
      <c r="G3" s="402"/>
      <c r="H3" s="402"/>
      <c r="I3" s="242"/>
      <c r="J3" s="242"/>
      <c r="L3" s="7"/>
    </row>
    <row r="4" spans="1:12" ht="18" customHeight="1" x14ac:dyDescent="0.3">
      <c r="A4" s="301">
        <v>4</v>
      </c>
      <c r="B4" s="259"/>
      <c r="C4" s="10" t="s">
        <v>555</v>
      </c>
      <c r="D4" s="401">
        <f>-SUMIFS(D$26:D$1048576,D$26:D$1048576,"&lt;=0",$B$26:$B$1048576,$B$2)</f>
        <v>0</v>
      </c>
      <c r="E4" s="401">
        <f>-SUMIFS(E$9:E$1048576,E$9:E$1048576,"&lt;=0",$B$9:$B$1048576,$B$2)</f>
        <v>175654</v>
      </c>
      <c r="F4" s="401">
        <f>-SUMIFS(F$9:F$1048576,F$9:F$1048576,"&lt;=0",$B$9:$B$1048576,$B$2)</f>
        <v>333042</v>
      </c>
      <c r="G4" s="401">
        <f>-SUMIFS(G$9:G$1048576,G$9:G$1048576,"&lt;=0",$B$9:$B$1048576,$B$2)</f>
        <v>629803</v>
      </c>
      <c r="H4" s="401">
        <f>-SUMIFS(H$9:H$1048576,H$9:H$1048576,"&lt;=0",$B$9:$B$1048576,$B$2)</f>
        <v>0</v>
      </c>
      <c r="I4" s="242"/>
      <c r="J4" s="242"/>
      <c r="L4" s="7"/>
    </row>
    <row r="5" spans="1:12" ht="18" customHeight="1" x14ac:dyDescent="0.3">
      <c r="A5" s="301">
        <v>5</v>
      </c>
      <c r="B5" s="13"/>
      <c r="C5" s="9" t="s">
        <v>554</v>
      </c>
      <c r="D5" s="402"/>
      <c r="E5" s="402"/>
      <c r="F5" s="402"/>
      <c r="G5" s="402"/>
      <c r="H5" s="402"/>
      <c r="I5" s="242"/>
      <c r="J5" s="260"/>
      <c r="L5" s="7"/>
    </row>
    <row r="6" spans="1:12" ht="18" customHeight="1" x14ac:dyDescent="0.3">
      <c r="A6" s="301">
        <v>6</v>
      </c>
      <c r="B6" s="11" t="s">
        <v>560</v>
      </c>
      <c r="C6" s="10" t="s">
        <v>559</v>
      </c>
      <c r="D6" s="401">
        <f>+SUMIFS(D$26:D$1048576,D$26:D$1048576,"&gt;0",$B$26:$B$1048576,$B$6)</f>
        <v>0</v>
      </c>
      <c r="E6" s="401">
        <f>+SUMIFS(E$9:E$1048576,E$9:E$1048576,"&gt;0",$B$9:$B$1048576,$B$6)</f>
        <v>0</v>
      </c>
      <c r="F6" s="401">
        <f>+SUMIFS(F$9:F$1048576,F$9:F$1048576,"&gt;0",$B$9:$B$1048576,$B$6)</f>
        <v>0</v>
      </c>
      <c r="G6" s="401">
        <f>+SUMIFS(G$9:G$1048576,G$9:G$1048576,"&gt;0",$B$9:$B$1048576,$B$6)</f>
        <v>0</v>
      </c>
      <c r="H6" s="401">
        <f>+SUMIFS(H$9:H$1048576,H$9:H$1048576,"&gt;0",$B$9:$B$1048576,$B$6)</f>
        <v>0</v>
      </c>
      <c r="I6" s="242"/>
      <c r="J6" s="260"/>
      <c r="L6" s="7"/>
    </row>
    <row r="7" spans="1:12" ht="18" customHeight="1" x14ac:dyDescent="0.3">
      <c r="A7" s="301">
        <v>7</v>
      </c>
      <c r="B7" s="13"/>
      <c r="C7" s="9" t="s">
        <v>554</v>
      </c>
      <c r="D7" s="402"/>
      <c r="E7" s="402"/>
      <c r="F7" s="402"/>
      <c r="G7" s="402"/>
      <c r="H7" s="402"/>
      <c r="I7" s="242"/>
      <c r="J7" s="260"/>
      <c r="L7" s="7"/>
    </row>
    <row r="8" spans="1:12" ht="18" customHeight="1" x14ac:dyDescent="0.3">
      <c r="A8" s="301">
        <v>8</v>
      </c>
      <c r="B8" s="242"/>
      <c r="C8" s="10" t="s">
        <v>555</v>
      </c>
      <c r="D8" s="401">
        <f>-SUMIFS(D$26:D$1048576,D$26:D$1048576,"&lt;=0",$B$26:$B$1048576,$B$6)</f>
        <v>0</v>
      </c>
      <c r="E8" s="401">
        <f>-SUMIFS(E$9:E$1048576,E$9:E$1048576,"&lt;=0",$B$9:$B$1048576,$B$6)</f>
        <v>0</v>
      </c>
      <c r="F8" s="401">
        <f>-SUMIFS(F$9:F$1048576,F$9:F$1048576,"&lt;=0",$B$9:$B$1048576,$B$6)</f>
        <v>0</v>
      </c>
      <c r="G8" s="401">
        <f>-SUMIFS(G$9:G$1048576,G$9:G$1048576,"&lt;=0",$B$9:$B$1048576,$B$6)</f>
        <v>0</v>
      </c>
      <c r="H8" s="401">
        <f>-SUMIFS(H$9:H$1048576,H$9:H$1048576,"&lt;=0",$B$9:$B$1048576,$B$6)</f>
        <v>0</v>
      </c>
      <c r="I8" s="242"/>
      <c r="J8" s="260"/>
      <c r="L8" s="7"/>
    </row>
    <row r="9" spans="1:12" ht="18" customHeight="1" x14ac:dyDescent="0.3">
      <c r="A9" s="301">
        <v>9</v>
      </c>
      <c r="B9" s="242"/>
      <c r="C9" s="9" t="s">
        <v>554</v>
      </c>
      <c r="D9" s="15"/>
      <c r="E9" s="402"/>
      <c r="F9" s="402"/>
      <c r="G9" s="402"/>
      <c r="H9" s="402"/>
      <c r="I9" s="242"/>
      <c r="J9" s="260"/>
      <c r="L9" s="7"/>
    </row>
    <row r="10" spans="1:12" ht="18" customHeight="1" outlineLevel="1" x14ac:dyDescent="0.3">
      <c r="A10" s="301"/>
      <c r="B10" s="242"/>
      <c r="C10" s="9"/>
      <c r="D10" s="15"/>
      <c r="E10" s="402"/>
      <c r="F10" s="402"/>
      <c r="G10" s="402"/>
      <c r="H10" s="402"/>
      <c r="I10" s="242"/>
      <c r="J10" s="260"/>
      <c r="L10" s="7"/>
    </row>
    <row r="11" spans="1:12" ht="18" customHeight="1" outlineLevel="1" x14ac:dyDescent="0.3">
      <c r="A11" s="301"/>
      <c r="B11" s="242"/>
      <c r="C11" s="9"/>
      <c r="D11" s="15"/>
      <c r="E11" s="402"/>
      <c r="F11" s="402"/>
      <c r="G11" s="402"/>
      <c r="H11" s="402"/>
      <c r="I11" s="242"/>
      <c r="J11" s="260"/>
      <c r="L11" s="7"/>
    </row>
    <row r="12" spans="1:12" ht="18" customHeight="1" outlineLevel="1" x14ac:dyDescent="0.3">
      <c r="A12" s="301"/>
      <c r="B12" s="242"/>
      <c r="C12" s="9"/>
      <c r="D12" s="15"/>
      <c r="E12" s="402"/>
      <c r="F12" s="402"/>
      <c r="G12" s="402"/>
      <c r="H12" s="402"/>
      <c r="I12" s="242"/>
      <c r="J12" s="260"/>
      <c r="L12" s="7"/>
    </row>
    <row r="13" spans="1:12" ht="18" customHeight="1" outlineLevel="1" x14ac:dyDescent="0.3">
      <c r="A13" s="301"/>
      <c r="B13" s="242"/>
      <c r="C13" s="9"/>
      <c r="D13" s="15"/>
      <c r="E13" s="402"/>
      <c r="F13" s="402"/>
      <c r="G13" s="402"/>
      <c r="H13" s="402"/>
      <c r="I13" s="242"/>
      <c r="J13" s="260"/>
      <c r="L13" s="7"/>
    </row>
    <row r="14" spans="1:12" ht="18" customHeight="1" outlineLevel="1" x14ac:dyDescent="0.3">
      <c r="A14" s="301"/>
      <c r="B14" s="242"/>
      <c r="C14" s="9"/>
      <c r="D14" s="15"/>
      <c r="E14" s="402"/>
      <c r="F14" s="402"/>
      <c r="G14" s="402"/>
      <c r="H14" s="402"/>
      <c r="I14" s="242"/>
      <c r="J14" s="260"/>
      <c r="L14" s="7"/>
    </row>
    <row r="15" spans="1:12" ht="18" customHeight="1" outlineLevel="1" x14ac:dyDescent="0.3">
      <c r="A15" s="301"/>
      <c r="B15" s="242"/>
      <c r="C15" s="9"/>
      <c r="D15" s="15"/>
      <c r="E15" s="402"/>
      <c r="F15" s="402"/>
      <c r="G15" s="402"/>
      <c r="H15" s="402"/>
      <c r="I15" s="242"/>
      <c r="J15" s="260"/>
    </row>
    <row r="16" spans="1:12" ht="18" customHeight="1" outlineLevel="1" x14ac:dyDescent="0.3">
      <c r="A16" s="301"/>
      <c r="B16" s="242"/>
      <c r="C16" s="9"/>
      <c r="D16" s="15"/>
      <c r="E16" s="402"/>
      <c r="F16" s="402"/>
      <c r="G16" s="402"/>
      <c r="H16" s="402"/>
      <c r="I16" s="242"/>
      <c r="J16" s="260"/>
    </row>
    <row r="17" spans="1:10" ht="18" customHeight="1" outlineLevel="1" x14ac:dyDescent="0.3">
      <c r="A17" s="301"/>
      <c r="B17" s="242"/>
      <c r="C17" s="9"/>
      <c r="D17" s="15"/>
      <c r="E17" s="402"/>
      <c r="F17" s="402"/>
      <c r="G17" s="402"/>
      <c r="H17" s="402"/>
      <c r="I17" s="242"/>
      <c r="J17" s="260"/>
    </row>
    <row r="18" spans="1:10" ht="18" customHeight="1" outlineLevel="1" x14ac:dyDescent="0.3">
      <c r="A18" s="301"/>
      <c r="B18" s="242"/>
      <c r="C18" s="9"/>
      <c r="D18" s="15"/>
      <c r="E18" s="402"/>
      <c r="F18" s="402"/>
      <c r="G18" s="402"/>
      <c r="H18" s="402"/>
      <c r="I18" s="242"/>
      <c r="J18" s="260"/>
    </row>
    <row r="19" spans="1:10" ht="18" customHeight="1" outlineLevel="1" x14ac:dyDescent="0.3">
      <c r="A19" s="301"/>
      <c r="B19" s="242"/>
      <c r="C19" s="9"/>
      <c r="D19" s="15"/>
      <c r="E19" s="402"/>
      <c r="F19" s="402"/>
      <c r="G19" s="402"/>
      <c r="H19" s="402"/>
      <c r="I19" s="242"/>
      <c r="J19" s="260"/>
    </row>
    <row r="20" spans="1:10" ht="18" customHeight="1" outlineLevel="1" x14ac:dyDescent="0.3">
      <c r="A20" s="301"/>
      <c r="B20" s="242"/>
      <c r="C20" s="9"/>
      <c r="D20" s="15"/>
      <c r="E20" s="402"/>
      <c r="F20" s="402"/>
      <c r="G20" s="402"/>
      <c r="H20" s="402"/>
      <c r="I20" s="242"/>
      <c r="J20" s="260"/>
    </row>
    <row r="21" spans="1:10" ht="18" customHeight="1" outlineLevel="1" x14ac:dyDescent="0.3">
      <c r="A21" s="301"/>
      <c r="B21" s="242"/>
      <c r="C21" s="9"/>
      <c r="D21" s="15"/>
      <c r="E21" s="402"/>
      <c r="F21" s="402"/>
      <c r="G21" s="402"/>
      <c r="H21" s="402"/>
      <c r="I21" s="242"/>
      <c r="J21" s="260"/>
    </row>
    <row r="22" spans="1:10" ht="18" customHeight="1" outlineLevel="1" x14ac:dyDescent="0.3">
      <c r="A22" s="301"/>
      <c r="B22" s="242"/>
      <c r="C22" s="9"/>
      <c r="D22" s="15"/>
      <c r="E22" s="402"/>
      <c r="F22" s="402"/>
      <c r="G22" s="402"/>
      <c r="H22" s="402"/>
      <c r="I22" s="242"/>
      <c r="J22" s="260"/>
    </row>
    <row r="23" spans="1:10" ht="18" customHeight="1" outlineLevel="1" x14ac:dyDescent="0.3">
      <c r="A23" s="301"/>
      <c r="B23" s="242"/>
      <c r="C23" s="9"/>
      <c r="D23" s="15"/>
      <c r="E23" s="402"/>
      <c r="F23" s="402"/>
      <c r="G23" s="402"/>
      <c r="H23" s="402"/>
      <c r="I23" s="242"/>
      <c r="J23" s="260"/>
    </row>
    <row r="24" spans="1:10" ht="18" customHeight="1" outlineLevel="1" x14ac:dyDescent="0.3">
      <c r="A24" s="301"/>
      <c r="B24" s="242"/>
      <c r="C24" s="9"/>
      <c r="D24" s="15"/>
      <c r="E24" s="402"/>
      <c r="F24" s="402"/>
      <c r="G24" s="402"/>
      <c r="H24" s="402"/>
      <c r="I24" s="242"/>
      <c r="J24" s="260"/>
    </row>
    <row r="25" spans="1:10" ht="18" customHeight="1" outlineLevel="1" x14ac:dyDescent="0.3">
      <c r="A25" s="301"/>
      <c r="B25" s="242"/>
      <c r="C25" s="9"/>
      <c r="D25" s="15"/>
      <c r="E25" s="402"/>
      <c r="F25" s="402"/>
      <c r="G25" s="402"/>
      <c r="H25" s="402"/>
      <c r="I25" s="242"/>
      <c r="J25" s="260"/>
    </row>
    <row r="26" spans="1:10" ht="18" customHeight="1" outlineLevel="1" x14ac:dyDescent="0.3">
      <c r="A26" s="301"/>
      <c r="B26" s="242"/>
      <c r="C26" s="9"/>
      <c r="D26" s="15"/>
      <c r="E26" s="402"/>
      <c r="F26" s="402"/>
      <c r="G26" s="402"/>
      <c r="H26" s="402"/>
      <c r="I26" s="242"/>
      <c r="J26" s="260"/>
    </row>
    <row r="27" spans="1:10" ht="18" customHeight="1" x14ac:dyDescent="0.3">
      <c r="A27" s="242"/>
      <c r="B27" s="19" t="s">
        <v>561</v>
      </c>
      <c r="C27" s="19" t="s">
        <v>556</v>
      </c>
      <c r="D27" s="20" t="s">
        <v>557</v>
      </c>
      <c r="E27" s="20" t="s">
        <v>1232</v>
      </c>
      <c r="F27" s="20" t="s">
        <v>1233</v>
      </c>
      <c r="G27" s="20" t="s">
        <v>1234</v>
      </c>
      <c r="H27" s="20" t="s">
        <v>883</v>
      </c>
      <c r="I27" s="242"/>
      <c r="J27" s="242"/>
    </row>
    <row r="28" spans="1:10" s="53" customFormat="1" ht="18" customHeight="1" x14ac:dyDescent="0.3">
      <c r="A28" s="242" t="str" cm="1">
        <f t="array" ref="A28:A30">_xlfn._xlws.SORT(Table_NhaCungCap[Mã Đối tác])</f>
        <v>NCC1</v>
      </c>
      <c r="B28" s="262" t="s">
        <v>558</v>
      </c>
      <c r="C28" s="242" t="s">
        <v>1168</v>
      </c>
      <c r="D28" s="545"/>
      <c r="E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4"/>
      <c r="J28" s="264"/>
    </row>
    <row r="29" spans="1:10" ht="18" customHeight="1" x14ac:dyDescent="0.3">
      <c r="A29" s="242" t="str">
        <v>NCC2</v>
      </c>
      <c r="B29" s="262" t="s">
        <v>558</v>
      </c>
      <c r="C29" s="242" t="s">
        <v>1169</v>
      </c>
      <c r="D29" s="545"/>
      <c r="E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4"/>
      <c r="J29" s="242"/>
    </row>
    <row r="30" spans="1:10" ht="18" customHeight="1" x14ac:dyDescent="0.3">
      <c r="A30" s="242" t="str">
        <v>NCC3</v>
      </c>
      <c r="B30" s="262" t="s">
        <v>558</v>
      </c>
      <c r="C30" s="242" t="s">
        <v>1170</v>
      </c>
      <c r="D30" s="400"/>
      <c r="E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4"/>
      <c r="J30" s="242"/>
    </row>
    <row r="31" spans="1:10" s="41" customFormat="1" ht="18" customHeight="1" x14ac:dyDescent="0.15">
      <c r="A31" s="266"/>
      <c r="B31" s="242"/>
      <c r="C31" s="242"/>
      <c r="D31" s="242"/>
      <c r="E31" s="242"/>
      <c r="F31" s="242"/>
      <c r="G31" s="242"/>
      <c r="H31" s="265"/>
      <c r="I31" s="244"/>
      <c r="J31" s="242"/>
    </row>
    <row r="32" spans="1:10" ht="18" customHeight="1" x14ac:dyDescent="0.3">
      <c r="A32" s="242"/>
      <c r="B32" s="242"/>
      <c r="C32" s="242"/>
      <c r="D32" s="242"/>
      <c r="E32" s="242"/>
      <c r="F32" s="242"/>
      <c r="G32" s="242"/>
      <c r="H32" s="265"/>
      <c r="I32" s="244"/>
      <c r="J32" s="242"/>
    </row>
    <row r="33" spans="1:10" ht="18" customHeight="1" x14ac:dyDescent="0.3">
      <c r="A33" s="242"/>
      <c r="B33" s="242"/>
      <c r="C33" s="242"/>
      <c r="D33" s="242"/>
      <c r="E33" s="242"/>
      <c r="F33" s="242"/>
      <c r="G33" s="242"/>
      <c r="H33" s="265"/>
      <c r="I33" s="244"/>
      <c r="J33" s="242"/>
    </row>
    <row r="34" spans="1:10" s="52" customFormat="1" ht="18" customHeight="1" x14ac:dyDescent="0.15">
      <c r="A34" s="267"/>
      <c r="B34" s="242"/>
      <c r="C34" s="242"/>
      <c r="D34" s="242"/>
      <c r="E34" s="242"/>
      <c r="F34" s="242"/>
      <c r="G34" s="242"/>
      <c r="H34" s="265"/>
      <c r="I34" s="244"/>
      <c r="J34" s="242"/>
    </row>
    <row r="35" spans="1:10" ht="18" customHeight="1" x14ac:dyDescent="0.3">
      <c r="B35" s="242"/>
      <c r="C35" s="242"/>
      <c r="D35" s="242"/>
      <c r="E35" s="242"/>
      <c r="F35" s="242"/>
      <c r="G35" s="242"/>
      <c r="H35" s="265"/>
    </row>
    <row r="36" spans="1:10" ht="18" customHeight="1" x14ac:dyDescent="0.3">
      <c r="B36" s="242"/>
      <c r="C36" s="242"/>
      <c r="D36" s="242"/>
      <c r="E36" s="242"/>
      <c r="F36" s="242"/>
      <c r="G36" s="242"/>
      <c r="H36" s="265"/>
    </row>
    <row r="37" spans="1:10" ht="18" customHeight="1" x14ac:dyDescent="0.3">
      <c r="B37" s="242"/>
      <c r="C37" s="242"/>
      <c r="D37" s="242"/>
      <c r="E37" s="242"/>
      <c r="F37" s="242"/>
      <c r="G37" s="242"/>
      <c r="H37" s="265"/>
    </row>
    <row r="38" spans="1:10" ht="18" customHeight="1" x14ac:dyDescent="0.3">
      <c r="B38" s="242"/>
      <c r="C38" s="242"/>
      <c r="D38" s="242"/>
      <c r="E38" s="242"/>
      <c r="F38" s="242"/>
      <c r="G38" s="242"/>
      <c r="H38" s="265"/>
    </row>
    <row r="39" spans="1:10" ht="18" customHeight="1" x14ac:dyDescent="0.3">
      <c r="B39" s="242"/>
      <c r="C39" s="242"/>
      <c r="D39" s="242"/>
      <c r="E39" s="242"/>
      <c r="F39" s="242"/>
      <c r="G39" s="242"/>
      <c r="H39" s="265"/>
    </row>
    <row r="40" spans="1:10" ht="18" customHeight="1" x14ac:dyDescent="0.3">
      <c r="B40" s="242"/>
      <c r="C40" s="242"/>
      <c r="D40" s="242"/>
      <c r="E40" s="242"/>
      <c r="F40" s="242"/>
      <c r="G40" s="242"/>
      <c r="H40" s="265"/>
    </row>
    <row r="41" spans="1:10" ht="18" customHeight="1" x14ac:dyDescent="0.3">
      <c r="B41" s="242"/>
      <c r="C41" s="242"/>
      <c r="D41" s="242"/>
      <c r="E41" s="242"/>
      <c r="F41" s="242"/>
      <c r="G41" s="242"/>
      <c r="H41" s="265"/>
    </row>
    <row r="42" spans="1:10" ht="18" customHeight="1" x14ac:dyDescent="0.3">
      <c r="B42" s="242"/>
      <c r="C42" s="242"/>
      <c r="D42" s="242"/>
      <c r="E42" s="242"/>
      <c r="F42" s="242"/>
      <c r="G42" s="242"/>
      <c r="H42" s="265"/>
    </row>
    <row r="43" spans="1:10" ht="18" customHeight="1" x14ac:dyDescent="0.3">
      <c r="B43" s="242"/>
      <c r="C43" s="242"/>
      <c r="D43" s="242"/>
      <c r="E43" s="242"/>
      <c r="F43" s="242"/>
      <c r="G43" s="242"/>
      <c r="H43" s="265"/>
    </row>
    <row r="44" spans="1:10" ht="18" customHeight="1" x14ac:dyDescent="0.3">
      <c r="B44" s="242"/>
      <c r="C44" s="242"/>
      <c r="D44" s="242"/>
      <c r="E44" s="242"/>
      <c r="F44" s="242"/>
      <c r="G44" s="242"/>
      <c r="H44" s="265"/>
    </row>
    <row r="45" spans="1:10" ht="18" customHeight="1" x14ac:dyDescent="0.3">
      <c r="B45" s="242"/>
      <c r="C45" s="242"/>
      <c r="D45" s="242"/>
      <c r="E45" s="242"/>
      <c r="F45" s="242"/>
      <c r="G45" s="242"/>
      <c r="H45" s="265"/>
    </row>
    <row r="46" spans="1:10" ht="18" customHeight="1" x14ac:dyDescent="0.3">
      <c r="B46" s="242"/>
      <c r="C46" s="242"/>
      <c r="D46" s="242"/>
      <c r="E46" s="242"/>
      <c r="F46" s="242"/>
      <c r="G46" s="242"/>
      <c r="H46" s="265"/>
    </row>
    <row r="47" spans="1:10" ht="18" customHeight="1" x14ac:dyDescent="0.3">
      <c r="B47" s="242"/>
      <c r="C47" s="242"/>
      <c r="D47" s="242"/>
      <c r="E47" s="242"/>
      <c r="F47" s="242"/>
      <c r="G47" s="242"/>
      <c r="H47" s="265"/>
    </row>
    <row r="48" spans="1:10" ht="18" customHeight="1" x14ac:dyDescent="0.3">
      <c r="B48" s="242"/>
      <c r="C48" s="242"/>
      <c r="D48" s="242"/>
      <c r="E48" s="242"/>
      <c r="F48" s="242"/>
      <c r="G48" s="242"/>
      <c r="H48" s="265"/>
    </row>
    <row r="49" spans="2:8" ht="18" customHeight="1" x14ac:dyDescent="0.3">
      <c r="B49" s="242"/>
      <c r="C49" s="242"/>
      <c r="D49" s="242"/>
      <c r="E49" s="242"/>
      <c r="F49" s="242"/>
      <c r="G49" s="242"/>
      <c r="H49" s="265"/>
    </row>
    <row r="50" spans="2:8" ht="18" customHeight="1" x14ac:dyDescent="0.3">
      <c r="B50" s="242"/>
      <c r="C50" s="242"/>
      <c r="D50" s="242"/>
      <c r="E50" s="242"/>
      <c r="F50" s="242"/>
      <c r="G50" s="242"/>
      <c r="H50" s="265"/>
    </row>
    <row r="51" spans="2:8" ht="18" customHeight="1" x14ac:dyDescent="0.3">
      <c r="B51" s="242"/>
      <c r="C51" s="242"/>
      <c r="D51" s="242"/>
      <c r="E51" s="242"/>
      <c r="F51" s="242"/>
      <c r="G51" s="242"/>
      <c r="H51" s="265"/>
    </row>
    <row r="52" spans="2:8" ht="18" customHeight="1" x14ac:dyDescent="0.3">
      <c r="B52" s="242"/>
      <c r="C52" s="242"/>
      <c r="D52" s="242"/>
      <c r="E52" s="242"/>
      <c r="F52" s="242"/>
      <c r="G52" s="242"/>
      <c r="H52" s="265"/>
    </row>
    <row r="53" spans="2:8" ht="18" customHeight="1" x14ac:dyDescent="0.3">
      <c r="B53" s="242"/>
      <c r="C53" s="242"/>
      <c r="D53" s="242"/>
      <c r="E53" s="242"/>
      <c r="F53" s="242"/>
      <c r="G53" s="242"/>
      <c r="H53" s="265"/>
    </row>
    <row r="54" spans="2:8" ht="18" customHeight="1" x14ac:dyDescent="0.3">
      <c r="B54" s="242"/>
      <c r="C54" s="242"/>
      <c r="D54" s="242"/>
      <c r="E54" s="242"/>
      <c r="F54" s="242"/>
      <c r="G54" s="242"/>
      <c r="H54" s="265"/>
    </row>
    <row r="55" spans="2:8" ht="18" customHeight="1" x14ac:dyDescent="0.3">
      <c r="B55" s="242"/>
      <c r="C55" s="242"/>
      <c r="D55" s="242"/>
      <c r="E55" s="242"/>
      <c r="F55" s="242"/>
      <c r="G55" s="242"/>
      <c r="H55" s="265"/>
    </row>
    <row r="56" spans="2:8" ht="18" customHeight="1" x14ac:dyDescent="0.3">
      <c r="B56" s="242"/>
      <c r="C56" s="242"/>
      <c r="D56" s="242"/>
      <c r="E56" s="242"/>
      <c r="F56" s="242"/>
      <c r="G56" s="242"/>
      <c r="H56" s="265"/>
    </row>
    <row r="57" spans="2:8" ht="18" customHeight="1" x14ac:dyDescent="0.3">
      <c r="B57" s="242"/>
      <c r="C57" s="242"/>
      <c r="D57" s="242"/>
      <c r="E57" s="242"/>
      <c r="F57" s="242"/>
      <c r="G57" s="242"/>
      <c r="H57" s="265"/>
    </row>
    <row r="58" spans="2:8" ht="18" customHeight="1" x14ac:dyDescent="0.3">
      <c r="B58" s="242"/>
      <c r="C58" s="242"/>
      <c r="D58" s="242"/>
      <c r="E58" s="242"/>
      <c r="F58" s="242"/>
      <c r="G58" s="242"/>
      <c r="H58" s="265"/>
    </row>
    <row r="59" spans="2:8" ht="18" customHeight="1" x14ac:dyDescent="0.3">
      <c r="B59" s="242"/>
      <c r="C59" s="242"/>
      <c r="D59" s="242"/>
      <c r="E59" s="242"/>
      <c r="F59" s="242"/>
      <c r="G59" s="242"/>
      <c r="H59" s="265"/>
    </row>
    <row r="60" spans="2:8" ht="18" customHeight="1" x14ac:dyDescent="0.3">
      <c r="B60" s="242"/>
      <c r="C60" s="242"/>
      <c r="D60" s="242"/>
      <c r="E60" s="242"/>
      <c r="F60" s="242"/>
      <c r="G60" s="242"/>
      <c r="H60" s="265"/>
    </row>
    <row r="61" spans="2:8" ht="18" customHeight="1" x14ac:dyDescent="0.3">
      <c r="B61" s="242"/>
      <c r="C61" s="242"/>
      <c r="D61" s="242"/>
      <c r="E61" s="242"/>
      <c r="F61" s="242"/>
      <c r="G61" s="242"/>
      <c r="H61" s="265"/>
    </row>
    <row r="62" spans="2:8" ht="18" customHeight="1" x14ac:dyDescent="0.3">
      <c r="B62" s="242"/>
      <c r="C62" s="242"/>
      <c r="D62" s="242"/>
      <c r="E62" s="242"/>
      <c r="F62" s="242"/>
      <c r="G62" s="242"/>
      <c r="H62" s="265"/>
    </row>
    <row r="63" spans="2:8" ht="18" customHeight="1" x14ac:dyDescent="0.3">
      <c r="B63" s="242"/>
      <c r="C63" s="242"/>
      <c r="D63" s="242"/>
      <c r="E63" s="242"/>
      <c r="F63" s="242"/>
      <c r="G63" s="242"/>
      <c r="H63" s="265"/>
    </row>
    <row r="64" spans="2:8" ht="18" customHeight="1" x14ac:dyDescent="0.3">
      <c r="B64" s="242"/>
      <c r="C64" s="242"/>
      <c r="D64" s="242"/>
      <c r="E64" s="242"/>
      <c r="F64" s="242"/>
      <c r="G64" s="242"/>
      <c r="H64" s="265"/>
    </row>
    <row r="65" spans="2:8" ht="18" customHeight="1" x14ac:dyDescent="0.3">
      <c r="B65" s="242"/>
      <c r="C65" s="242"/>
      <c r="D65" s="242"/>
      <c r="E65" s="242"/>
      <c r="F65" s="242"/>
      <c r="G65" s="242"/>
      <c r="H65" s="265"/>
    </row>
    <row r="66" spans="2:8" ht="18" customHeight="1" x14ac:dyDescent="0.3">
      <c r="B66" s="242"/>
      <c r="C66" s="242"/>
      <c r="D66" s="242"/>
      <c r="E66" s="242"/>
      <c r="F66" s="242"/>
      <c r="G66" s="242"/>
      <c r="H66" s="265"/>
    </row>
    <row r="67" spans="2:8" ht="18" customHeight="1" x14ac:dyDescent="0.3">
      <c r="B67" s="242"/>
      <c r="C67" s="242"/>
      <c r="D67" s="242"/>
      <c r="E67" s="242"/>
      <c r="F67" s="242"/>
      <c r="G67" s="242"/>
      <c r="H67" s="265"/>
    </row>
    <row r="68" spans="2:8" ht="18" customHeight="1" x14ac:dyDescent="0.3">
      <c r="B68" s="242"/>
      <c r="C68" s="242"/>
      <c r="D68" s="242"/>
      <c r="E68" s="242"/>
      <c r="F68" s="242"/>
      <c r="G68" s="242"/>
      <c r="H68" s="265"/>
    </row>
    <row r="69" spans="2:8" ht="18" customHeight="1" x14ac:dyDescent="0.3">
      <c r="B69" s="242"/>
      <c r="C69" s="242"/>
      <c r="D69" s="242"/>
      <c r="E69" s="242"/>
      <c r="F69" s="242"/>
      <c r="G69" s="242"/>
      <c r="H69" s="265"/>
    </row>
    <row r="70" spans="2:8" ht="18" customHeight="1" x14ac:dyDescent="0.3">
      <c r="B70" s="242"/>
      <c r="C70" s="242"/>
      <c r="D70" s="242"/>
      <c r="E70" s="242"/>
      <c r="F70" s="242"/>
      <c r="G70" s="242"/>
      <c r="H70" s="265"/>
    </row>
    <row r="71" spans="2:8" ht="18" customHeight="1" x14ac:dyDescent="0.3">
      <c r="B71" s="242"/>
      <c r="C71" s="242"/>
      <c r="D71" s="242"/>
      <c r="E71" s="242"/>
      <c r="F71" s="242"/>
      <c r="G71" s="242"/>
      <c r="H71" s="265"/>
    </row>
    <row r="72" spans="2:8" ht="18" customHeight="1" x14ac:dyDescent="0.3">
      <c r="B72" s="242"/>
      <c r="C72" s="242"/>
      <c r="D72" s="242"/>
      <c r="E72" s="242"/>
      <c r="F72" s="242"/>
      <c r="G72" s="242"/>
      <c r="H72" s="265"/>
    </row>
  </sheetData>
  <sheetProtection algorithmName="SHA-512" hashValue="hk44n/T2FwOabrnngrim42ZPsJ4mRWwwneZsxKXW0wG/zZdCKSs5Y2H6vQdDHCdUjbPb2OoN7b0QVUsbK28K7Q==" saltValue="36BcaqQeynU0Tgr66kyxSw=="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64"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562</v>
      </c>
      <c r="N1" s="428">
        <v>45717</v>
      </c>
      <c r="O1" s="428">
        <v>45808</v>
      </c>
      <c r="P1" s="424">
        <f>SUM(Table_DiemDatHang[Giá trị cần đặt])</f>
        <v>377434.98990958062</v>
      </c>
    </row>
    <row r="2" spans="6:16" ht="18" customHeight="1" x14ac:dyDescent="0.3">
      <c r="M2" s="27" t="s">
        <v>1032</v>
      </c>
      <c r="N2" s="423">
        <v>10</v>
      </c>
      <c r="O2" s="423">
        <v>30</v>
      </c>
      <c r="P2" s="225"/>
    </row>
    <row r="3" spans="6:16" ht="18" customHeight="1" x14ac:dyDescent="0.3">
      <c r="M3" s="27" t="s">
        <v>563</v>
      </c>
      <c r="N3" s="428">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579</v>
      </c>
      <c r="D23"/>
      <c r="F23" s="7" t="s">
        <v>564</v>
      </c>
      <c r="G23" s="7" t="s">
        <v>1033</v>
      </c>
      <c r="H23" s="7" t="s">
        <v>1034</v>
      </c>
      <c r="I23" s="7" t="s">
        <v>565</v>
      </c>
      <c r="J23" s="7" t="s">
        <v>566</v>
      </c>
      <c r="K23" s="45" t="s">
        <v>1036</v>
      </c>
      <c r="L23" s="7" t="s">
        <v>567</v>
      </c>
      <c r="M23" s="7" t="s">
        <v>1035</v>
      </c>
      <c r="N23" s="7" t="s">
        <v>568</v>
      </c>
      <c r="O23" s="7" t="s">
        <v>569</v>
      </c>
      <c r="P23" s="7" t="s">
        <v>570</v>
      </c>
      <c r="Q23" s="7" t="s">
        <v>883</v>
      </c>
    </row>
    <row r="24" spans="2:17" ht="16.5" x14ac:dyDescent="0.3">
      <c r="B24" s="98" t="s">
        <v>1159</v>
      </c>
      <c r="C24" s="511">
        <v>0</v>
      </c>
      <c r="D24"/>
      <c r="E24" s="7" t="str" cm="1">
        <f t="array" ref="E24:E26">_xlfn._xlws.SORT(Table_SKU[Mã SKU])</f>
        <v>HH1</v>
      </c>
      <c r="F24" s="7" t="s">
        <v>1159</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69">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41"/>
    </row>
    <row r="25" spans="2:17" ht="16.5" x14ac:dyDescent="0.3">
      <c r="B25" s="98" t="s">
        <v>1160</v>
      </c>
      <c r="C25" s="511">
        <v>0</v>
      </c>
      <c r="D25"/>
      <c r="E25" s="7" t="str">
        <v>TP1</v>
      </c>
      <c r="F25" s="7" t="s">
        <v>1160</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69">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41"/>
    </row>
    <row r="26" spans="2:17" ht="16.5" x14ac:dyDescent="0.3">
      <c r="B26" s="98" t="s">
        <v>1161</v>
      </c>
      <c r="C26" s="511">
        <v>45.446739130434793</v>
      </c>
      <c r="D26"/>
      <c r="E26" s="7" t="str">
        <v>TP2</v>
      </c>
      <c r="F26" s="7" t="s">
        <v>1161</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69">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29"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1112</v>
      </c>
      <c r="C27" s="511">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52"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zoomScaleNormal="100" workbookViewId="0">
      <selection activeCell="AD38" sqref="AD38"/>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4"/>
      <c r="AG1" s="7" t="s">
        <v>563</v>
      </c>
      <c r="AH1" s="470">
        <f ca="1">TODAY()</f>
        <v>46028</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52" t="s">
        <v>47</v>
      </c>
      <c r="F19" s="38" t="s">
        <v>1160</v>
      </c>
      <c r="Y19" s="7"/>
      <c r="Z19" s="7"/>
      <c r="AB19" s="7"/>
    </row>
    <row r="20" spans="2:48" ht="18" customHeight="1" x14ac:dyDescent="0.3">
      <c r="Y20" s="7"/>
      <c r="Z20" s="7"/>
      <c r="AB20" s="7"/>
      <c r="AC20" s="424">
        <f>SUM(Table_HieuQuaSX_DinhMuc[Giá trị tiêu thụ])</f>
        <v>90680843.182834223</v>
      </c>
      <c r="AM20" s="424">
        <f ca="1">SUM(Table_HieuQuaSX_KHTieuThu[Giá trị cần đặt])</f>
        <v>69112329.666208744</v>
      </c>
      <c r="AU20" s="67">
        <f>IFERROR(1-(SUM(Table_HieuQuaSX[Giá vốn thực tế])/SUM(Table_HieuQuaSX[Giá vốn mục tiêu])),0)</f>
        <v>1.0565309886262364E-2</v>
      </c>
    </row>
    <row r="21" spans="2:48" ht="16.5" x14ac:dyDescent="0.3">
      <c r="B21" s="552" t="s">
        <v>23</v>
      </c>
      <c r="C21" s="38" t="s">
        <v>1198</v>
      </c>
      <c r="D21" s="38"/>
      <c r="E21" s="552" t="s">
        <v>23</v>
      </c>
      <c r="F21" s="38" t="s">
        <v>1198</v>
      </c>
      <c r="G21" s="38"/>
      <c r="H21" s="552" t="s">
        <v>23</v>
      </c>
      <c r="I21" s="38" t="s">
        <v>17</v>
      </c>
      <c r="J21" s="38" t="s">
        <v>1201</v>
      </c>
      <c r="L21" s="552" t="s">
        <v>23</v>
      </c>
      <c r="M21" s="38" t="s">
        <v>128</v>
      </c>
      <c r="N21" s="38" t="s">
        <v>1202</v>
      </c>
      <c r="O21" s="38" t="s">
        <v>1203</v>
      </c>
      <c r="R21" s="7" t="s">
        <v>47</v>
      </c>
      <c r="S21" s="7" t="s">
        <v>1030</v>
      </c>
      <c r="T21" s="7" t="s">
        <v>1031</v>
      </c>
      <c r="U21" s="7" t="s">
        <v>139</v>
      </c>
      <c r="V21" s="7" t="s">
        <v>572</v>
      </c>
      <c r="W21" s="7" t="s">
        <v>1195</v>
      </c>
      <c r="X21" s="7" t="s">
        <v>322</v>
      </c>
      <c r="Y21" s="7" t="s">
        <v>573</v>
      </c>
      <c r="Z21" s="7" t="s">
        <v>575</v>
      </c>
      <c r="AA21" s="7" t="s">
        <v>578</v>
      </c>
      <c r="AB21" s="7" t="s">
        <v>574</v>
      </c>
      <c r="AC21" s="7" t="s">
        <v>576</v>
      </c>
      <c r="AD21" s="7" t="s">
        <v>1197</v>
      </c>
      <c r="AE21" s="7" t="s">
        <v>883</v>
      </c>
      <c r="AG21" s="7" t="s">
        <v>139</v>
      </c>
      <c r="AH21" s="7" t="s">
        <v>572</v>
      </c>
      <c r="AI21" s="7" t="s">
        <v>322</v>
      </c>
      <c r="AJ21" s="7" t="s">
        <v>574</v>
      </c>
      <c r="AK21" s="7" t="s">
        <v>577</v>
      </c>
      <c r="AL21" s="7" t="s">
        <v>579</v>
      </c>
      <c r="AM21" s="7" t="s">
        <v>570</v>
      </c>
      <c r="AN21" s="7" t="s">
        <v>883</v>
      </c>
      <c r="AP21" s="340" t="s">
        <v>3</v>
      </c>
      <c r="AQ21" s="7" t="s">
        <v>2</v>
      </c>
      <c r="AR21" s="7" t="s">
        <v>1</v>
      </c>
      <c r="AS21" s="7" t="s">
        <v>580</v>
      </c>
      <c r="AT21" s="7" t="s">
        <v>581</v>
      </c>
      <c r="AU21" s="7" t="s">
        <v>68</v>
      </c>
      <c r="AV21" s="7" t="s">
        <v>883</v>
      </c>
    </row>
    <row r="22" spans="2:48" ht="16.5" x14ac:dyDescent="0.3">
      <c r="B22" s="467" t="s">
        <v>1160</v>
      </c>
      <c r="C22" s="555">
        <v>319894.73684210522</v>
      </c>
      <c r="D22" s="38"/>
      <c r="E22" s="467" t="s">
        <v>1163</v>
      </c>
      <c r="F22" s="555">
        <v>210526.31578947368</v>
      </c>
      <c r="G22" s="38"/>
      <c r="H22" s="467" t="s">
        <v>1163</v>
      </c>
      <c r="I22" s="555">
        <v>169</v>
      </c>
      <c r="J22" s="555">
        <v>746.89799240368961</v>
      </c>
      <c r="L22" s="556">
        <v>45717</v>
      </c>
      <c r="M22" s="555">
        <v>25000000</v>
      </c>
      <c r="N22" s="555">
        <v>27200000</v>
      </c>
      <c r="O22" s="557">
        <v>-8.8000000000000078E-2</v>
      </c>
      <c r="Q22" s="7" t="str" cm="1">
        <f t="array" ref="Q22:Q24">_xlfn._xlws.SORT(Table_SKU[Mã SKU])</f>
        <v>HH1</v>
      </c>
      <c r="R22" s="15" t="s">
        <v>1160</v>
      </c>
      <c r="S22" s="18">
        <f>IFERROR(VLOOKUP(Table_HieuQuaSX_DinhMuc[[#This Row],[SKU]],Table_SKU[[Mã SKU]:[Add]],COUNTA(Table_SKU[[#Headers],[Mã SKU]:[Đơn vị]]),0),0)</f>
        <v>0</v>
      </c>
      <c r="T22" s="15">
        <v>200</v>
      </c>
      <c r="U22" s="7" t="s">
        <v>1163</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71">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1163</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6">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27200000</v>
      </c>
      <c r="AU22" s="427">
        <f>1-(Table_HieuQuaSX[[#This Row],[Giá vốn thực tế]]/Table_HieuQuaSX[[#This Row],[Giá vốn mục tiêu]])</f>
        <v>-8.8000000000000078E-2</v>
      </c>
    </row>
    <row r="23" spans="2:48" ht="16.5" x14ac:dyDescent="0.3">
      <c r="B23" s="467" t="s">
        <v>1161</v>
      </c>
      <c r="C23" s="555">
        <v>339175.25773195876</v>
      </c>
      <c r="D23" s="38"/>
      <c r="E23" s="467" t="s">
        <v>1162</v>
      </c>
      <c r="F23" s="555">
        <v>105263.15789473684</v>
      </c>
      <c r="G23" s="38"/>
      <c r="H23" s="467" t="s">
        <v>1162</v>
      </c>
      <c r="I23" s="555">
        <v>88</v>
      </c>
      <c r="J23" s="555">
        <v>264.68583830710799</v>
      </c>
      <c r="L23" s="556">
        <v>45748</v>
      </c>
      <c r="M23" s="555">
        <v>20000000</v>
      </c>
      <c r="N23" s="555">
        <v>18730437.570594341</v>
      </c>
      <c r="O23" s="557">
        <v>6.3478121470282978E-2</v>
      </c>
      <c r="Q23" s="7" t="str">
        <v>TP1</v>
      </c>
      <c r="R23" s="15" t="s">
        <v>1160</v>
      </c>
      <c r="S23" s="18">
        <f>IFERROR(VLOOKUP(Table_HieuQuaSX_DinhMuc[[#This Row],[SKU]],Table_SKU[[Mã SKU]:[Add]],COUNTA(Table_SKU[[#Headers],[Mã SKU]:[Đơn vị]]),0),0)</f>
        <v>0</v>
      </c>
      <c r="T23" s="15">
        <v>200</v>
      </c>
      <c r="U23" s="7" t="s">
        <v>1162</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71">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1162</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6">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18730437.570594341</v>
      </c>
      <c r="AU23" s="427">
        <f>1-(Table_HieuQuaSX[[#This Row],[Giá vốn thực tế]]/Table_HieuQuaSX[[#This Row],[Giá vốn mục tiêu]])</f>
        <v>6.3478121470282978E-2</v>
      </c>
    </row>
    <row r="24" spans="2:48" ht="16.5" x14ac:dyDescent="0.3">
      <c r="B24" s="467" t="s">
        <v>1112</v>
      </c>
      <c r="C24" s="555">
        <v>659069.99457406392</v>
      </c>
      <c r="D24" s="38"/>
      <c r="E24" s="467" t="s">
        <v>1200</v>
      </c>
      <c r="F24" s="555">
        <v>4105.2631578947367</v>
      </c>
      <c r="G24" s="38"/>
      <c r="H24" s="467" t="s">
        <v>1112</v>
      </c>
      <c r="I24" s="555">
        <v>257</v>
      </c>
      <c r="J24" s="555">
        <v>1011.5838307107977</v>
      </c>
      <c r="L24" s="556">
        <v>45778</v>
      </c>
      <c r="M24" s="555">
        <v>10000000</v>
      </c>
      <c r="N24" s="555">
        <v>8488470.3856612295</v>
      </c>
      <c r="O24" s="557">
        <v>0.15115296143387702</v>
      </c>
      <c r="Q24" s="7" t="str">
        <v>TP2</v>
      </c>
      <c r="R24" s="15" t="s">
        <v>1160</v>
      </c>
      <c r="S24" s="18">
        <f>IFERROR(VLOOKUP(Table_HieuQuaSX_DinhMuc[[#This Row],[SKU]],Table_SKU[[Mã SKU]:[Add]],COUNTA(Table_SKU[[#Headers],[Mã SKU]:[Đơn vị]]),0),0)</f>
        <v>0</v>
      </c>
      <c r="T24" s="15">
        <v>200</v>
      </c>
      <c r="V24" s="7" t="s">
        <v>767</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1196</v>
      </c>
      <c r="Y24" s="471">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767</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6">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8488470.3856612295</v>
      </c>
      <c r="AU24" s="427">
        <f>1-(Table_HieuQuaSX[[#This Row],[Giá vốn thực tế]]/Table_HieuQuaSX[[#This Row],[Giá vốn mục tiêu]])</f>
        <v>0.15115296143387702</v>
      </c>
    </row>
    <row r="25" spans="2:48" ht="16.5" x14ac:dyDescent="0.3">
      <c r="B25" s="38"/>
      <c r="C25" s="38"/>
      <c r="D25" s="38"/>
      <c r="E25" s="467" t="s">
        <v>1112</v>
      </c>
      <c r="F25" s="555">
        <v>319894.73684210522</v>
      </c>
      <c r="G25" s="38"/>
      <c r="H25" s="38"/>
      <c r="I25" s="38"/>
      <c r="J25" s="38"/>
      <c r="L25" s="556" t="s">
        <v>1112</v>
      </c>
      <c r="M25" s="555">
        <v>55000000</v>
      </c>
      <c r="N25" s="555">
        <v>54418907.95625557</v>
      </c>
      <c r="O25" s="557">
        <v>0.12663108290415992</v>
      </c>
      <c r="R25" s="15" t="s">
        <v>1161</v>
      </c>
      <c r="S25" s="18">
        <f>IFERROR(VLOOKUP(Table_HieuQuaSX_DinhMuc[[#This Row],[SKU]],Table_SKU[[Mã SKU]:[Add]],COUNTA(Table_SKU[[#Headers],[Mã SKU]:[Đơn vị]]),0),0)</f>
        <v>0</v>
      </c>
      <c r="T25" s="15">
        <v>300</v>
      </c>
      <c r="U25" s="7" t="s">
        <v>1163</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71">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769</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1161</v>
      </c>
      <c r="S26" s="18">
        <f>IFERROR(VLOOKUP(Table_HieuQuaSX_DinhMuc[[#This Row],[SKU]],Table_SKU[[Mã SKU]:[Add]],COUNTA(Table_SKU[[#Headers],[Mã SKU]:[Đơn vị]]),0),0)</f>
        <v>0</v>
      </c>
      <c r="T26" s="15">
        <v>300</v>
      </c>
      <c r="U26" s="7" t="s">
        <v>1162</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71">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1161</v>
      </c>
      <c r="S27" s="18">
        <f>IFERROR(VLOOKUP(Table_HieuQuaSX_DinhMuc[[#This Row],[SKU]],Table_SKU[[Mã SKU]:[Add]],COUNTA(Table_SKU[[#Headers],[Mã SKU]:[Đơn vị]]),0),0)</f>
        <v>0</v>
      </c>
      <c r="T27" s="15">
        <v>300</v>
      </c>
      <c r="V27" s="7" t="s">
        <v>769</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1199</v>
      </c>
      <c r="Y27" s="471">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ZLNEvDnR7VY37gN1a+SniLRGBDlgy8lJW9tkIEEY9RzhHkPjAqazZbFX4nAmPNP7nYguAqroNnhow2TkzVjgEQ==" saltValue="Ks2miT5gQ+fVl8RWq2MdXw=="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Sheet_ChiPhiKD!$G$14:$G$18</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52" t="s">
        <v>682</v>
      </c>
      <c r="C2" s="38" t="s">
        <v>1130</v>
      </c>
      <c r="D2" s="21"/>
      <c r="E2" s="38"/>
      <c r="F2" s="38"/>
      <c r="G2" s="21"/>
      <c r="H2" s="21"/>
      <c r="I2" s="21"/>
      <c r="J2" s="21"/>
      <c r="K2" s="21"/>
      <c r="L2" s="38"/>
      <c r="M2" s="38"/>
      <c r="N2" s="21"/>
      <c r="O2" s="21"/>
      <c r="P2" s="21"/>
    </row>
    <row r="3" spans="1:42" x14ac:dyDescent="0.3">
      <c r="A3" s="21"/>
      <c r="B3" s="552" t="s">
        <v>1246</v>
      </c>
      <c r="C3" s="38" t="s">
        <v>1130</v>
      </c>
      <c r="D3" s="21"/>
      <c r="E3" s="552" t="s">
        <v>680</v>
      </c>
      <c r="F3" s="38" t="s">
        <v>1126</v>
      </c>
      <c r="G3" s="21"/>
      <c r="H3" s="552" t="s">
        <v>680</v>
      </c>
      <c r="I3" s="38" t="s">
        <v>1126</v>
      </c>
      <c r="J3" s="21"/>
      <c r="K3" s="21"/>
      <c r="L3" s="552" t="s">
        <v>680</v>
      </c>
      <c r="M3" s="38" t="s">
        <v>1126</v>
      </c>
      <c r="N3" s="21"/>
      <c r="O3" s="21"/>
      <c r="P3" s="21"/>
    </row>
    <row r="4" spans="1:42" x14ac:dyDescent="0.3">
      <c r="A4" s="21"/>
      <c r="B4" s="552" t="s">
        <v>1247</v>
      </c>
      <c r="C4" s="38" t="s">
        <v>1130</v>
      </c>
      <c r="D4" s="21"/>
      <c r="E4" s="552" t="s">
        <v>1247</v>
      </c>
      <c r="F4" s="38" t="s">
        <v>1130</v>
      </c>
      <c r="G4" s="21"/>
      <c r="H4" s="552" t="s">
        <v>1246</v>
      </c>
      <c r="I4" s="38" t="s">
        <v>1130</v>
      </c>
      <c r="J4" s="21"/>
      <c r="K4" s="21"/>
      <c r="L4" s="552" t="s">
        <v>1246</v>
      </c>
      <c r="M4" s="38" t="s">
        <v>1159</v>
      </c>
      <c r="N4" s="21"/>
      <c r="O4" s="21"/>
      <c r="P4" s="21"/>
    </row>
    <row r="5" spans="1:42" x14ac:dyDescent="0.3">
      <c r="A5" s="21"/>
      <c r="B5" s="21"/>
      <c r="C5" s="21"/>
      <c r="D5" s="21"/>
      <c r="E5" s="21"/>
      <c r="F5" s="21"/>
      <c r="G5" s="21"/>
      <c r="H5" s="21"/>
      <c r="I5" s="21"/>
      <c r="J5" s="21"/>
      <c r="K5" s="21"/>
      <c r="L5" s="21"/>
      <c r="M5" s="21"/>
      <c r="N5" s="21"/>
      <c r="O5" s="21"/>
      <c r="P5" s="21"/>
    </row>
    <row r="6" spans="1:42" x14ac:dyDescent="0.3">
      <c r="B6" s="552" t="s">
        <v>23</v>
      </c>
      <c r="C6" s="38" t="s">
        <v>1248</v>
      </c>
      <c r="E6" s="552" t="s">
        <v>23</v>
      </c>
      <c r="F6" s="38" t="s">
        <v>1248</v>
      </c>
      <c r="G6" s="38"/>
      <c r="H6" s="552" t="s">
        <v>23</v>
      </c>
      <c r="I6" s="38" t="s">
        <v>1248</v>
      </c>
      <c r="J6" s="38"/>
      <c r="K6" s="38"/>
      <c r="L6" s="552" t="s">
        <v>23</v>
      </c>
      <c r="M6" s="38" t="s">
        <v>574</v>
      </c>
      <c r="N6" s="38" t="s">
        <v>1250</v>
      </c>
      <c r="AK6" s="27" t="s">
        <v>562</v>
      </c>
      <c r="AL6" s="428">
        <v>45717</v>
      </c>
      <c r="AM6" s="428">
        <v>45808</v>
      </c>
    </row>
    <row r="7" spans="1:42" x14ac:dyDescent="0.3">
      <c r="B7" s="467" t="s">
        <v>1155</v>
      </c>
      <c r="C7" s="553">
        <v>79228308</v>
      </c>
      <c r="E7" s="467" t="s">
        <v>1159</v>
      </c>
      <c r="F7" s="553">
        <v>23096559</v>
      </c>
      <c r="G7" s="38"/>
      <c r="H7" s="467" t="s">
        <v>1168</v>
      </c>
      <c r="I7" s="553">
        <v>54430146</v>
      </c>
      <c r="J7" s="38"/>
      <c r="K7" s="38"/>
      <c r="L7" s="467" t="s">
        <v>1168</v>
      </c>
      <c r="M7" s="38">
        <v>84882.25</v>
      </c>
      <c r="N7" s="38">
        <v>0.75</v>
      </c>
    </row>
    <row r="8" spans="1:42" x14ac:dyDescent="0.3">
      <c r="B8" s="467" t="s">
        <v>1117</v>
      </c>
      <c r="C8" s="553">
        <v>6935065</v>
      </c>
      <c r="E8" s="467" t="s">
        <v>1163</v>
      </c>
      <c r="F8" s="553">
        <v>39699855</v>
      </c>
      <c r="G8" s="38"/>
      <c r="H8" s="467" t="s">
        <v>1169</v>
      </c>
      <c r="I8" s="553">
        <v>48623099</v>
      </c>
      <c r="J8" s="38"/>
      <c r="K8" s="38"/>
      <c r="L8" s="467" t="s">
        <v>1170</v>
      </c>
      <c r="M8" s="38">
        <v>102040</v>
      </c>
      <c r="N8" s="38">
        <v>0</v>
      </c>
    </row>
    <row r="9" spans="1:42" x14ac:dyDescent="0.3">
      <c r="B9" s="467" t="s">
        <v>1118</v>
      </c>
      <c r="C9" s="553">
        <v>20636970</v>
      </c>
      <c r="E9" s="467" t="s">
        <v>1162</v>
      </c>
      <c r="F9" s="553">
        <v>44003929</v>
      </c>
      <c r="G9" s="38"/>
      <c r="H9" s="467" t="s">
        <v>1170</v>
      </c>
      <c r="I9" s="553">
        <v>3747098</v>
      </c>
      <c r="J9" s="38"/>
      <c r="K9" s="38"/>
      <c r="L9" s="467" t="s">
        <v>1169</v>
      </c>
      <c r="M9" s="38">
        <v>102194</v>
      </c>
      <c r="N9" s="38">
        <v>1</v>
      </c>
      <c r="AH9" s="44" t="s">
        <v>47</v>
      </c>
      <c r="AI9" s="44" t="s">
        <v>139</v>
      </c>
      <c r="AJ9" s="44" t="s">
        <v>886</v>
      </c>
      <c r="AK9" s="44" t="s">
        <v>1245</v>
      </c>
      <c r="AL9" s="44" t="s">
        <v>1251</v>
      </c>
      <c r="AM9" s="44" t="s">
        <v>1201</v>
      </c>
      <c r="AN9" s="44" t="s">
        <v>1252</v>
      </c>
      <c r="AO9" s="44" t="s">
        <v>21</v>
      </c>
      <c r="AP9" s="44" t="s">
        <v>883</v>
      </c>
    </row>
    <row r="10" spans="1:42" x14ac:dyDescent="0.3">
      <c r="B10" s="467" t="s">
        <v>1112</v>
      </c>
      <c r="C10" s="553">
        <v>106800343</v>
      </c>
      <c r="E10" s="467" t="s">
        <v>1112</v>
      </c>
      <c r="F10" s="553">
        <v>106800343</v>
      </c>
      <c r="G10" s="38"/>
      <c r="H10" s="467" t="s">
        <v>1112</v>
      </c>
      <c r="I10" s="553">
        <v>106800343</v>
      </c>
      <c r="J10" s="38"/>
      <c r="K10" s="38"/>
      <c r="L10" s="467" t="s">
        <v>1112</v>
      </c>
      <c r="M10" s="38">
        <v>90627.166666666672</v>
      </c>
      <c r="N10" s="38">
        <v>0.66666666666666663</v>
      </c>
      <c r="AH10" s="44"/>
      <c r="AI10" s="44" t="s">
        <v>1162</v>
      </c>
      <c r="AJ10" s="551" t="str">
        <f>IF(ISBLANK(Table_NguonHang[[#This Row],[SKU]]),Table_NguonHang[[#This Row],[Nguyên liệu]],Table_NguonHang[[#This Row],[SKU]])</f>
        <v>NL2</v>
      </c>
      <c r="AK10" s="44" t="s">
        <v>1170</v>
      </c>
      <c r="AL10" s="554"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54">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1162</v>
      </c>
      <c r="AJ11" s="551" t="str">
        <f>IF(ISBLANK(Table_NguonHang[[#This Row],[SKU]]),Table_NguonHang[[#This Row],[Nguyên liệu]],Table_NguonHang[[#This Row],[SKU]])</f>
        <v>NL2</v>
      </c>
      <c r="AK11" s="44" t="s">
        <v>1169</v>
      </c>
      <c r="AL11" s="554"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54">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1163</v>
      </c>
      <c r="AJ12" s="551" t="str">
        <f>IF(ISBLANK(Table_NguonHang[[#This Row],[SKU]]),Table_NguonHang[[#This Row],[Nguyên liệu]],Table_NguonHang[[#This Row],[SKU]])</f>
        <v>NL1</v>
      </c>
      <c r="AK12" s="44" t="s">
        <v>1168</v>
      </c>
      <c r="AL12" s="554"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54">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1159</v>
      </c>
      <c r="AI13" s="44"/>
      <c r="AJ13" s="551" t="str">
        <f>IF(ISBLANK(Table_NguonHang[[#This Row],[SKU]]),Table_NguonHang[[#This Row],[Nguyên liệu]],Table_NguonHang[[#This Row],[SKU]])</f>
        <v>HH1</v>
      </c>
      <c r="AK13" s="44" t="s">
        <v>1168</v>
      </c>
      <c r="AL13" s="554"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54">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54">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582</v>
      </c>
      <c r="N1" s="426"/>
      <c r="O1" s="7"/>
      <c r="P1" s="424">
        <f>SUM(Table_TonKho_DuPhong[[#All],[Giá trị dự phòng]])</f>
        <v>0</v>
      </c>
      <c r="Q1" s="424"/>
      <c r="R1" s="15"/>
      <c r="S1" s="15"/>
      <c r="T1" s="15"/>
      <c r="U1" s="15"/>
      <c r="V1" s="425"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564</v>
      </c>
      <c r="N2" s="220"/>
      <c r="O2" s="220"/>
      <c r="Q2" s="15"/>
      <c r="R2" s="15"/>
      <c r="S2" s="15"/>
      <c r="T2" s="15"/>
      <c r="U2" s="15"/>
      <c r="V2" s="425"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583</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1204</v>
      </c>
      <c r="C21" s="97" t="s">
        <v>1166</v>
      </c>
      <c r="D21"/>
      <c r="E21"/>
      <c r="M21" s="7" t="s">
        <v>584</v>
      </c>
      <c r="N21" s="7" t="s">
        <v>585</v>
      </c>
      <c r="O21" s="7" t="s">
        <v>547</v>
      </c>
      <c r="P21" s="7" t="s">
        <v>1254</v>
      </c>
      <c r="Q21" s="7" t="s">
        <v>883</v>
      </c>
      <c r="U21" s="7" t="s">
        <v>586</v>
      </c>
      <c r="V21" s="7" t="s">
        <v>1255</v>
      </c>
      <c r="W21" s="7" t="s">
        <v>587</v>
      </c>
      <c r="X21" s="7" t="s">
        <v>883</v>
      </c>
    </row>
    <row r="22" spans="2:24" ht="16.5" x14ac:dyDescent="0.3">
      <c r="B22" s="97" t="s">
        <v>23</v>
      </c>
      <c r="C22" s="511" t="s">
        <v>1159</v>
      </c>
      <c r="D22" s="511" t="s">
        <v>1163</v>
      </c>
      <c r="E22" s="511" t="s">
        <v>1162</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40"/>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26">
        <v>45717</v>
      </c>
      <c r="C23" s="511">
        <v>71284.637313432802</v>
      </c>
      <c r="D23" s="511">
        <v>5461230.0948885884</v>
      </c>
      <c r="E23" s="511">
        <v>719490.96854972269</v>
      </c>
      <c r="N23" s="7"/>
      <c r="O23" s="7"/>
      <c r="S23" s="7" t="str">
        <v>TP1</v>
      </c>
    </row>
    <row r="24" spans="2:24" ht="16.5" x14ac:dyDescent="0.3">
      <c r="B24" s="526">
        <v>45748</v>
      </c>
      <c r="C24" s="511"/>
      <c r="D24" s="511">
        <v>3878156.8210526318</v>
      </c>
      <c r="E24" s="511">
        <v>994140.11321242829</v>
      </c>
      <c r="N24" s="7"/>
      <c r="O24" s="7"/>
      <c r="S24" s="7" t="str">
        <v>TP2</v>
      </c>
    </row>
    <row r="25" spans="2:24" ht="16.5" x14ac:dyDescent="0.3">
      <c r="B25" s="526">
        <v>45778</v>
      </c>
      <c r="C25" s="511">
        <v>304294.31268656714</v>
      </c>
      <c r="D25" s="511">
        <v>1585928.3</v>
      </c>
      <c r="E25" s="511">
        <v>1830850.8074074076</v>
      </c>
    </row>
    <row r="26" spans="2:24" ht="16.5" x14ac:dyDescent="0.3">
      <c r="B26" s="526" t="s">
        <v>1112</v>
      </c>
      <c r="C26" s="511">
        <v>375578.94999999995</v>
      </c>
      <c r="D26" s="511">
        <v>10925315.215941221</v>
      </c>
      <c r="E26" s="511">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26">
        <v>45778</v>
      </c>
      <c r="AX18" s="7"/>
      <c r="BD18" s="7"/>
      <c r="BE18" s="7"/>
      <c r="BR18" s="11"/>
    </row>
    <row r="19" spans="2:71" ht="16.5" outlineLevel="1" x14ac:dyDescent="0.3">
      <c r="B19" s="97" t="s">
        <v>564</v>
      </c>
      <c r="C19" t="s">
        <v>1126</v>
      </c>
      <c r="E19" s="97" t="s">
        <v>886</v>
      </c>
      <c r="F19" t="s">
        <v>1126</v>
      </c>
      <c r="P19" s="97" t="s">
        <v>583</v>
      </c>
      <c r="Q19" t="s">
        <v>1126</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1192</v>
      </c>
      <c r="C21"/>
      <c r="E21" s="97" t="s">
        <v>1167</v>
      </c>
      <c r="F21" s="97" t="s">
        <v>1166</v>
      </c>
      <c r="G21"/>
      <c r="H21"/>
      <c r="I21"/>
      <c r="J21"/>
      <c r="K21"/>
      <c r="L21"/>
      <c r="M21"/>
      <c r="N21"/>
      <c r="O21"/>
      <c r="P21" s="97" t="s">
        <v>1167</v>
      </c>
      <c r="Q21" s="97" t="s">
        <v>1166</v>
      </c>
      <c r="R21"/>
      <c r="S21"/>
      <c r="T21"/>
      <c r="U21"/>
      <c r="V21"/>
      <c r="W21"/>
      <c r="X21"/>
      <c r="Y21"/>
      <c r="Z21"/>
      <c r="AA21"/>
      <c r="AB21"/>
      <c r="AC21"/>
      <c r="AD21"/>
      <c r="AE21"/>
      <c r="AF21"/>
      <c r="AG21" s="97" t="s">
        <v>368</v>
      </c>
      <c r="AH21" s="97" t="s">
        <v>1166</v>
      </c>
      <c r="AI21"/>
      <c r="AJ21"/>
      <c r="AK21"/>
      <c r="AL21"/>
      <c r="AM21"/>
      <c r="AN21"/>
      <c r="AO21"/>
      <c r="AP21"/>
      <c r="AQ21"/>
      <c r="AR21"/>
      <c r="AS21"/>
      <c r="AU21" s="46" t="s">
        <v>3</v>
      </c>
      <c r="AV21" s="46" t="s">
        <v>2</v>
      </c>
      <c r="AW21" s="46" t="s">
        <v>1</v>
      </c>
      <c r="AX21" s="46" t="s">
        <v>47</v>
      </c>
      <c r="AY21" s="46" t="s">
        <v>139</v>
      </c>
      <c r="AZ21" s="46" t="s">
        <v>588</v>
      </c>
      <c r="BA21" s="46" t="s">
        <v>886</v>
      </c>
      <c r="BB21" s="46" t="s">
        <v>583</v>
      </c>
      <c r="BC21" s="46" t="s">
        <v>589</v>
      </c>
      <c r="BD21" s="46" t="s">
        <v>590</v>
      </c>
      <c r="BE21" s="46" t="s">
        <v>591</v>
      </c>
      <c r="BF21" s="46" t="s">
        <v>592</v>
      </c>
      <c r="BG21" s="46" t="s">
        <v>593</v>
      </c>
      <c r="BH21" s="46" t="s">
        <v>594</v>
      </c>
      <c r="BI21" s="46" t="s">
        <v>595</v>
      </c>
      <c r="BJ21" s="46" t="s">
        <v>596</v>
      </c>
      <c r="BK21" s="46" t="s">
        <v>597</v>
      </c>
      <c r="BL21" s="488" t="s">
        <v>598</v>
      </c>
      <c r="BM21" s="46" t="s">
        <v>1190</v>
      </c>
      <c r="BN21" s="46" t="s">
        <v>1191</v>
      </c>
      <c r="BO21" s="46" t="s">
        <v>599</v>
      </c>
      <c r="BP21" s="46" t="s">
        <v>904</v>
      </c>
      <c r="BQ21" s="46" t="s">
        <v>686</v>
      </c>
      <c r="BR21" s="488" t="s">
        <v>552</v>
      </c>
      <c r="BS21" s="46" t="s">
        <v>883</v>
      </c>
    </row>
    <row r="22" spans="2:71" ht="16.5" x14ac:dyDescent="0.3">
      <c r="B22" s="98" t="s">
        <v>1193</v>
      </c>
      <c r="C22" s="511">
        <v>35332325.538446799</v>
      </c>
      <c r="E22" s="97" t="s">
        <v>23</v>
      </c>
      <c r="F22" t="s">
        <v>1165</v>
      </c>
      <c r="G22"/>
      <c r="H22"/>
      <c r="I22"/>
      <c r="J22"/>
      <c r="K22"/>
      <c r="L22"/>
      <c r="M22"/>
      <c r="N22"/>
      <c r="O22"/>
      <c r="P22"/>
      <c r="Q22" t="s">
        <v>139</v>
      </c>
      <c r="R22"/>
      <c r="S22" t="s">
        <v>844</v>
      </c>
      <c r="T22"/>
      <c r="U22" t="s">
        <v>843</v>
      </c>
      <c r="V22"/>
      <c r="W22"/>
      <c r="X22"/>
      <c r="Y22"/>
      <c r="Z22"/>
      <c r="AA22"/>
      <c r="AB22"/>
      <c r="AC22"/>
      <c r="AD22"/>
      <c r="AE22"/>
      <c r="AF22"/>
      <c r="AG22" s="97" t="s">
        <v>23</v>
      </c>
      <c r="AH22" t="s">
        <v>1159</v>
      </c>
      <c r="AI22" t="s">
        <v>1163</v>
      </c>
      <c r="AJ22" t="s">
        <v>1162</v>
      </c>
      <c r="AK22"/>
      <c r="AL22"/>
      <c r="AM22"/>
      <c r="AN22"/>
      <c r="AO22"/>
      <c r="AP22"/>
      <c r="AQ22"/>
      <c r="AR22"/>
      <c r="AS22"/>
      <c r="AU22" s="49">
        <f>IFERROR(
IF(ISBLANK(AW22),
DATE(AV22,12,1),
DATE(AV22,AW22,1)),0)</f>
        <v>45778</v>
      </c>
      <c r="AV22" s="230">
        <v>2025</v>
      </c>
      <c r="AW22" s="230">
        <v>5</v>
      </c>
      <c r="AX22" s="230" t="s">
        <v>1161</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1165</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4"/>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3"/>
      <c r="BS22" s="232"/>
    </row>
    <row r="23" spans="2:71" ht="16.5" x14ac:dyDescent="0.3">
      <c r="B23" s="98" t="s">
        <v>1194</v>
      </c>
      <c r="C23" s="511">
        <v>12841853.32237763</v>
      </c>
      <c r="E23" s="526">
        <v>45717</v>
      </c>
      <c r="F23" s="511">
        <v>553</v>
      </c>
      <c r="G23"/>
      <c r="H23"/>
      <c r="I23"/>
      <c r="J23"/>
      <c r="K23"/>
      <c r="L23"/>
      <c r="M23"/>
      <c r="N23"/>
      <c r="O23"/>
      <c r="P23" s="97" t="s">
        <v>23</v>
      </c>
      <c r="Q23" t="s">
        <v>1163</v>
      </c>
      <c r="R23" t="s">
        <v>1162</v>
      </c>
      <c r="S23" t="s">
        <v>1160</v>
      </c>
      <c r="T23" t="s">
        <v>1161</v>
      </c>
      <c r="U23" t="s">
        <v>1159</v>
      </c>
      <c r="V23"/>
      <c r="W23"/>
      <c r="X23"/>
      <c r="Y23"/>
      <c r="Z23"/>
      <c r="AA23"/>
      <c r="AB23"/>
      <c r="AC23"/>
      <c r="AD23"/>
      <c r="AE23"/>
      <c r="AF23"/>
      <c r="AG23" s="526">
        <v>45717</v>
      </c>
      <c r="AH23" s="511">
        <v>5914113.746268657</v>
      </c>
      <c r="AI23" s="511">
        <v>5921794.871794872</v>
      </c>
      <c r="AJ23" s="511">
        <v>4812804.8167141499</v>
      </c>
      <c r="AK23"/>
      <c r="AL23"/>
      <c r="AM23"/>
      <c r="AN23"/>
      <c r="AO23"/>
      <c r="AP23"/>
      <c r="AQ23"/>
      <c r="AR23"/>
      <c r="AS23"/>
      <c r="AU23" s="49">
        <f t="shared" ref="AU23:AU36" si="0">IFERROR(
IF(ISBLANK(AW23),
DATE(AV23,12,1),
DATE(AV23,AW23,1)),0)</f>
        <v>45778</v>
      </c>
      <c r="AV23" s="230">
        <v>2025</v>
      </c>
      <c r="AW23" s="230">
        <v>5</v>
      </c>
      <c r="AX23" s="230" t="s">
        <v>1160</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1165</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4"/>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3"/>
      <c r="BS23" s="232"/>
    </row>
    <row r="24" spans="2:71" ht="16.5" x14ac:dyDescent="0.3">
      <c r="B24"/>
      <c r="C24"/>
      <c r="E24" s="526">
        <v>45748</v>
      </c>
      <c r="F24" s="511">
        <v>401</v>
      </c>
      <c r="G24"/>
      <c r="H24"/>
      <c r="I24"/>
      <c r="J24"/>
      <c r="K24"/>
      <c r="L24"/>
      <c r="M24"/>
      <c r="N24"/>
      <c r="O24"/>
      <c r="P24" s="526">
        <v>45717</v>
      </c>
      <c r="Q24" s="511">
        <v>171</v>
      </c>
      <c r="R24" s="511">
        <v>138</v>
      </c>
      <c r="S24" s="511">
        <v>106</v>
      </c>
      <c r="T24" s="511">
        <v>35</v>
      </c>
      <c r="U24" s="511">
        <v>103</v>
      </c>
      <c r="V24"/>
      <c r="W24"/>
      <c r="X24"/>
      <c r="Y24"/>
      <c r="Z24"/>
      <c r="AA24"/>
      <c r="AB24"/>
      <c r="AC24"/>
      <c r="AD24"/>
      <c r="AE24"/>
      <c r="AF24"/>
      <c r="AG24" s="526">
        <v>45748</v>
      </c>
      <c r="AH24" s="511">
        <v>9734331.7611940298</v>
      </c>
      <c r="AI24" s="511">
        <v>3007450.3741418766</v>
      </c>
      <c r="AJ24" s="511">
        <v>13305460.205299949</v>
      </c>
      <c r="AK24"/>
      <c r="AL24"/>
      <c r="AM24"/>
      <c r="AN24"/>
      <c r="AO24"/>
      <c r="AP24"/>
      <c r="AQ24"/>
      <c r="AR24"/>
      <c r="AS24"/>
      <c r="AU24" s="49">
        <f t="shared" si="0"/>
        <v>45778</v>
      </c>
      <c r="AV24" s="230">
        <v>2025</v>
      </c>
      <c r="AW24" s="230">
        <v>5</v>
      </c>
      <c r="AX24" s="230" t="s">
        <v>1159</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1165</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4"/>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3">
        <v>304294.31268656714</v>
      </c>
      <c r="BS24" s="232"/>
    </row>
    <row r="25" spans="2:71" ht="16.5" x14ac:dyDescent="0.3">
      <c r="B25"/>
      <c r="C25"/>
      <c r="E25" s="526">
        <v>45778</v>
      </c>
      <c r="F25" s="511">
        <v>437</v>
      </c>
      <c r="G25"/>
      <c r="H25"/>
      <c r="I25"/>
      <c r="J25"/>
      <c r="K25"/>
      <c r="L25"/>
      <c r="M25"/>
      <c r="N25"/>
      <c r="O25"/>
      <c r="P25" s="526">
        <v>45748</v>
      </c>
      <c r="Q25" s="511">
        <v>152</v>
      </c>
      <c r="R25" s="511">
        <v>75</v>
      </c>
      <c r="S25" s="511">
        <v>146</v>
      </c>
      <c r="T25" s="511">
        <v>20</v>
      </c>
      <c r="U25" s="511">
        <v>8</v>
      </c>
      <c r="V25"/>
      <c r="W25"/>
      <c r="X25"/>
      <c r="Y25"/>
      <c r="Z25"/>
      <c r="AA25"/>
      <c r="AB25"/>
      <c r="AC25"/>
      <c r="AD25"/>
      <c r="AE25"/>
      <c r="AF25"/>
      <c r="AG25" s="526">
        <v>45778</v>
      </c>
      <c r="AH25" s="511">
        <v>1425692.7462686568</v>
      </c>
      <c r="AI25" s="511">
        <v>5745298.7928473447</v>
      </c>
      <c r="AJ25" s="511">
        <v>8759216.8246460371</v>
      </c>
      <c r="AK25"/>
      <c r="AL25"/>
      <c r="AM25"/>
      <c r="AN25"/>
      <c r="AO25"/>
      <c r="AP25"/>
      <c r="AQ25"/>
      <c r="AR25"/>
      <c r="AS25"/>
      <c r="AU25" s="49">
        <f t="shared" si="0"/>
        <v>45778</v>
      </c>
      <c r="AV25" s="230">
        <v>2025</v>
      </c>
      <c r="AW25" s="230">
        <v>5</v>
      </c>
      <c r="AX25" s="230"/>
      <c r="AY25" s="230" t="s">
        <v>1163</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1165</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4"/>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3">
        <v>1585928.3</v>
      </c>
      <c r="BS25" s="232"/>
    </row>
    <row r="26" spans="2:71" ht="16.5" x14ac:dyDescent="0.3">
      <c r="B26"/>
      <c r="C26"/>
      <c r="E26" s="526" t="s">
        <v>1112</v>
      </c>
      <c r="F26" s="511">
        <v>1391</v>
      </c>
      <c r="G26"/>
      <c r="H26"/>
      <c r="I26"/>
      <c r="J26"/>
      <c r="K26"/>
      <c r="L26"/>
      <c r="M26"/>
      <c r="N26"/>
      <c r="O26"/>
      <c r="P26" s="526">
        <v>45778</v>
      </c>
      <c r="Q26" s="511">
        <v>169</v>
      </c>
      <c r="R26" s="511">
        <v>88</v>
      </c>
      <c r="S26" s="511">
        <v>66</v>
      </c>
      <c r="T26" s="511">
        <v>45</v>
      </c>
      <c r="U26" s="511">
        <v>69</v>
      </c>
      <c r="V26"/>
      <c r="W26"/>
      <c r="X26"/>
      <c r="Y26"/>
      <c r="Z26"/>
      <c r="AA26"/>
      <c r="AB26"/>
      <c r="AC26"/>
      <c r="AD26"/>
      <c r="AE26"/>
      <c r="AF26"/>
      <c r="AG26" s="526" t="s">
        <v>1112</v>
      </c>
      <c r="AH26" s="511">
        <v>17074138.253731344</v>
      </c>
      <c r="AI26" s="511">
        <v>14674544.038784092</v>
      </c>
      <c r="AJ26" s="511">
        <v>26877481.846660137</v>
      </c>
      <c r="AK26"/>
      <c r="AL26"/>
      <c r="AM26"/>
      <c r="AN26"/>
      <c r="AO26"/>
      <c r="AP26"/>
      <c r="AQ26"/>
      <c r="AR26"/>
      <c r="AS26"/>
      <c r="AU26" s="49">
        <f t="shared" si="0"/>
        <v>45778</v>
      </c>
      <c r="AV26" s="230">
        <v>2025</v>
      </c>
      <c r="AW26" s="230">
        <v>5</v>
      </c>
      <c r="AX26" s="230"/>
      <c r="AY26" s="230" t="s">
        <v>1162</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1165</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4"/>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3">
        <v>1830850.8074074076</v>
      </c>
      <c r="BS26" s="232"/>
    </row>
    <row r="27" spans="2:71" ht="16.5" x14ac:dyDescent="0.3">
      <c r="B27"/>
      <c r="C27"/>
      <c r="E27"/>
      <c r="F27"/>
      <c r="G27"/>
      <c r="H27"/>
      <c r="I27"/>
      <c r="J27"/>
      <c r="K27"/>
      <c r="L27"/>
      <c r="M27"/>
      <c r="N27"/>
      <c r="O27"/>
      <c r="P27" s="526" t="s">
        <v>1112</v>
      </c>
      <c r="Q27" s="511">
        <v>492</v>
      </c>
      <c r="R27" s="511">
        <v>301</v>
      </c>
      <c r="S27" s="511">
        <v>318</v>
      </c>
      <c r="T27" s="511">
        <v>100</v>
      </c>
      <c r="U27" s="511">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1161</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1165</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4"/>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3"/>
      <c r="BS27" s="232"/>
    </row>
    <row r="28" spans="2:71" ht="16.5" x14ac:dyDescent="0.3">
      <c r="B28"/>
      <c r="C28"/>
      <c r="E28"/>
      <c r="F28"/>
      <c r="P28"/>
      <c r="Q28"/>
      <c r="R28"/>
      <c r="AG28"/>
      <c r="AH28"/>
      <c r="AI28"/>
      <c r="AU28" s="49">
        <f t="shared" si="0"/>
        <v>45748</v>
      </c>
      <c r="AV28" s="230">
        <v>2025</v>
      </c>
      <c r="AW28" s="230">
        <v>4</v>
      </c>
      <c r="AX28" s="230" t="s">
        <v>1160</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1165</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4"/>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3"/>
      <c r="BS28" s="232"/>
    </row>
    <row r="29" spans="2:71" ht="16.5" x14ac:dyDescent="0.3">
      <c r="B29"/>
      <c r="C29"/>
      <c r="E29"/>
      <c r="F29"/>
      <c r="P29"/>
      <c r="Q29"/>
      <c r="R29"/>
      <c r="AG29"/>
      <c r="AH29"/>
      <c r="AI29"/>
      <c r="AU29" s="49">
        <f t="shared" si="0"/>
        <v>45748</v>
      </c>
      <c r="AV29" s="230">
        <v>2025</v>
      </c>
      <c r="AW29" s="230">
        <v>4</v>
      </c>
      <c r="AX29" s="230" t="s">
        <v>1159</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1165</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4"/>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3"/>
      <c r="BS29" s="232"/>
    </row>
    <row r="30" spans="2:71" ht="16.5" x14ac:dyDescent="0.3">
      <c r="B30"/>
      <c r="C30"/>
      <c r="E30"/>
      <c r="F30"/>
      <c r="P30"/>
      <c r="Q30"/>
      <c r="R30"/>
      <c r="AG30"/>
      <c r="AH30"/>
      <c r="AI30"/>
      <c r="AU30" s="49">
        <f t="shared" si="0"/>
        <v>45748</v>
      </c>
      <c r="AV30" s="230">
        <v>2025</v>
      </c>
      <c r="AW30" s="230">
        <v>4</v>
      </c>
      <c r="AX30" s="230"/>
      <c r="AY30" s="230" t="s">
        <v>1163</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1165</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4"/>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3">
        <v>3878156.8210526318</v>
      </c>
      <c r="BS30" s="232"/>
    </row>
    <row r="31" spans="2:71" ht="16.5" x14ac:dyDescent="0.3">
      <c r="B31"/>
      <c r="C31"/>
      <c r="E31"/>
      <c r="F31"/>
      <c r="P31"/>
      <c r="Q31"/>
      <c r="R31"/>
      <c r="AG31"/>
      <c r="AH31"/>
      <c r="AI31"/>
      <c r="AU31" s="49">
        <f t="shared" si="0"/>
        <v>45748</v>
      </c>
      <c r="AV31" s="230">
        <v>2025</v>
      </c>
      <c r="AW31" s="230">
        <v>4</v>
      </c>
      <c r="AX31" s="230"/>
      <c r="AY31" s="230" t="s">
        <v>1162</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1165</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4"/>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3">
        <v>994140.11321242829</v>
      </c>
      <c r="BS31" s="232"/>
    </row>
    <row r="32" spans="2:71" ht="16.5" x14ac:dyDescent="0.3">
      <c r="B32"/>
      <c r="C32"/>
      <c r="E32"/>
      <c r="F32"/>
      <c r="P32"/>
      <c r="Q32"/>
      <c r="R32"/>
      <c r="AG32"/>
      <c r="AH32"/>
      <c r="AI32"/>
      <c r="AU32" s="49">
        <f t="shared" si="0"/>
        <v>45717</v>
      </c>
      <c r="AV32" s="230">
        <v>2025</v>
      </c>
      <c r="AW32" s="230">
        <v>3</v>
      </c>
      <c r="AX32" s="230" t="s">
        <v>1161</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1165</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4"/>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3"/>
      <c r="BS32" s="232"/>
    </row>
    <row r="33" spans="2:71" ht="16.5" x14ac:dyDescent="0.3">
      <c r="B33"/>
      <c r="C33"/>
      <c r="E33"/>
      <c r="F33"/>
      <c r="P33"/>
      <c r="Q33"/>
      <c r="R33"/>
      <c r="AG33"/>
      <c r="AH33"/>
      <c r="AI33"/>
      <c r="AU33" s="49">
        <f t="shared" si="0"/>
        <v>45717</v>
      </c>
      <c r="AV33" s="230">
        <v>2025</v>
      </c>
      <c r="AW33" s="230">
        <v>3</v>
      </c>
      <c r="AX33" s="230" t="s">
        <v>1160</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1165</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4"/>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3"/>
      <c r="BS33" s="232"/>
    </row>
    <row r="34" spans="2:71" ht="16.5" x14ac:dyDescent="0.3">
      <c r="B34"/>
      <c r="C34"/>
      <c r="E34"/>
      <c r="F34"/>
      <c r="P34"/>
      <c r="Q34"/>
      <c r="R34"/>
      <c r="AG34"/>
      <c r="AH34"/>
      <c r="AI34"/>
      <c r="AU34" s="49">
        <f t="shared" si="0"/>
        <v>45717</v>
      </c>
      <c r="AV34" s="230">
        <v>2025</v>
      </c>
      <c r="AW34" s="230">
        <v>3</v>
      </c>
      <c r="AX34" s="230" t="s">
        <v>1159</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1165</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4"/>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3">
        <v>71284.637313432802</v>
      </c>
      <c r="BS34" s="232"/>
    </row>
    <row r="35" spans="2:71" ht="16.5" x14ac:dyDescent="0.3">
      <c r="B35"/>
      <c r="C35"/>
      <c r="E35"/>
      <c r="F35"/>
      <c r="P35"/>
      <c r="Q35"/>
      <c r="R35"/>
      <c r="AG35"/>
      <c r="AH35"/>
      <c r="AI35"/>
      <c r="AU35" s="49">
        <f t="shared" si="0"/>
        <v>45717</v>
      </c>
      <c r="AV35" s="230">
        <v>2025</v>
      </c>
      <c r="AW35" s="230">
        <v>3</v>
      </c>
      <c r="AX35" s="230"/>
      <c r="AY35" s="230" t="s">
        <v>1163</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1165</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4"/>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3">
        <v>5461230.0948885884</v>
      </c>
      <c r="BS35" s="232"/>
    </row>
    <row r="36" spans="2:71" ht="16.5" x14ac:dyDescent="0.3">
      <c r="B36"/>
      <c r="C36"/>
      <c r="E36"/>
      <c r="F36"/>
      <c r="P36"/>
      <c r="Q36"/>
      <c r="R36"/>
      <c r="AG36"/>
      <c r="AH36"/>
      <c r="AI36"/>
      <c r="AU36" s="49">
        <f t="shared" si="0"/>
        <v>45717</v>
      </c>
      <c r="AV36" s="230">
        <v>2025</v>
      </c>
      <c r="AW36" s="230">
        <v>3</v>
      </c>
      <c r="AX36" s="230"/>
      <c r="AY36" s="230" t="s">
        <v>1162</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1165</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4"/>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3">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AB14" sqref="AB14"/>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7"/>
      <c r="H3" s="407"/>
      <c r="I3" s="230"/>
      <c r="J3" s="51">
        <f xml:space="preserve">
IFERROR(
VLOOKUP(I3,Table_NhanVien[],COUNTA(Table_NhanVien[[#Headers],[Mã NV]:[Chức năng]]),0),0)</f>
        <v>0</v>
      </c>
      <c r="K3" s="409">
        <f xml:space="preserve">
IFERROR(
VLOOKUP(I3,Table_NhanVien[],COUNTA(Table_NhanVien[[#Headers],[Mã NV]:[Người phụ thuộc]]),0),0)</f>
        <v>0</v>
      </c>
      <c r="L3" s="48">
        <f xml:space="preserve">
IFERROR(
VLOOKUP(I3,Table_NhanVien[],COUNTA(Table_NhanVien[[#Headers],[Mã NV]:[Lương gross]]),0),0)</f>
        <v>0</v>
      </c>
      <c r="M3" s="409">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3"/>
      <c r="R3" s="409"/>
      <c r="S3" s="409"/>
      <c r="T3" s="409"/>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5"/>
      <c r="AD3" s="235"/>
      <c r="AE3" s="7"/>
      <c r="AF3" s="7"/>
      <c r="AG3" s="7"/>
    </row>
    <row r="4" spans="1:33" ht="18" customHeight="1" x14ac:dyDescent="0.3">
      <c r="A4" s="28"/>
      <c r="B4" s="7" t="s">
        <v>643</v>
      </c>
      <c r="C4" s="7" t="s">
        <v>644</v>
      </c>
      <c r="D4" s="7" t="s">
        <v>3</v>
      </c>
      <c r="E4" s="7" t="s">
        <v>2</v>
      </c>
      <c r="F4" s="7" t="s">
        <v>1</v>
      </c>
      <c r="G4" s="7" t="s">
        <v>645</v>
      </c>
      <c r="H4" s="7" t="s">
        <v>646</v>
      </c>
      <c r="I4" s="7" t="s">
        <v>37</v>
      </c>
      <c r="J4" s="7" t="s">
        <v>588</v>
      </c>
      <c r="K4" s="7" t="s">
        <v>647</v>
      </c>
      <c r="L4" s="7" t="s">
        <v>622</v>
      </c>
      <c r="M4" s="7" t="s">
        <v>1242</v>
      </c>
      <c r="N4" s="7" t="s">
        <v>648</v>
      </c>
      <c r="O4" s="7" t="s">
        <v>141</v>
      </c>
      <c r="P4" s="7" t="s">
        <v>895</v>
      </c>
      <c r="Q4" s="7" t="s">
        <v>896</v>
      </c>
      <c r="R4" s="7" t="s">
        <v>649</v>
      </c>
      <c r="S4" s="7" t="s">
        <v>650</v>
      </c>
      <c r="T4" s="7" t="s">
        <v>651</v>
      </c>
      <c r="U4" s="7" t="s">
        <v>894</v>
      </c>
      <c r="V4" s="7" t="s">
        <v>652</v>
      </c>
      <c r="W4" s="7" t="s">
        <v>653</v>
      </c>
      <c r="X4" s="7" t="s">
        <v>654</v>
      </c>
      <c r="Y4" s="7" t="s">
        <v>655</v>
      </c>
      <c r="Z4" s="7" t="s">
        <v>656</v>
      </c>
      <c r="AA4" s="7" t="s">
        <v>258</v>
      </c>
      <c r="AB4" s="7" t="s">
        <v>657</v>
      </c>
      <c r="AC4" s="7" t="s">
        <v>883</v>
      </c>
      <c r="AD4" s="7" t="s">
        <v>1253</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7"/>
      <c r="H5" s="407"/>
      <c r="J5" s="51">
        <f xml:space="preserve">
IFERROR(
VLOOKUP(I5,Table_NhanVien[],COUNTA(Table_NhanVien[[#Headers],[Mã NV]:[Chức năng]]),0),0)</f>
        <v>0</v>
      </c>
      <c r="K5" s="409">
        <f xml:space="preserve">
IFERROR(
VLOOKUP(I5,Table_NhanVien[],COUNTA(Table_NhanVien[[#Headers],[Mã NV]:[Người phụ thuộc]]),0),0)</f>
        <v>0</v>
      </c>
      <c r="L5" s="48">
        <f xml:space="preserve">
IFERROR(
VLOOKUP(I5,Table_NhanVien[],COUNTA(Table_NhanVien[[#Headers],[Mã NV]:[Lương gross]]),0),0)</f>
        <v>0</v>
      </c>
      <c r="M5" s="409"/>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3"/>
      <c r="R5" s="409"/>
      <c r="S5" s="409"/>
      <c r="T5" s="409"/>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5"/>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A1:BN57"/>
  <sheetViews>
    <sheetView showGridLines="0" workbookViewId="0">
      <selection activeCell="U19" sqref="U19"/>
    </sheetView>
  </sheetViews>
  <sheetFormatPr defaultRowHeight="18" customHeight="1" outlineLevelRow="1" outlineLevelCol="2" x14ac:dyDescent="0.3"/>
  <cols>
    <col min="1" max="1" width="9.625" style="7" customWidth="1" collapsed="1"/>
    <col min="2" max="2" width="8.5" style="7" hidden="1" customWidth="1" outlineLevel="1"/>
    <col min="3" max="3" width="11.75" style="7" hidden="1" customWidth="1" outlineLevel="1"/>
    <col min="4" max="4" width="1.625" style="7" hidden="1" customWidth="1" outlineLevel="1"/>
    <col min="5" max="5" width="11.75" style="7" hidden="1" customWidth="1" outlineLevel="1"/>
    <col min="6" max="6" width="8.625" style="7" hidden="1" customWidth="1" outlineLevel="1"/>
    <col min="7" max="7" width="8.5" style="7" hidden="1" customWidth="1" outlineLevel="1"/>
    <col min="8" max="8" width="8.75" style="7" hidden="1" customWidth="1" outlineLevel="1"/>
    <col min="9" max="9" width="1.625" style="7" hidden="1" customWidth="1" outlineLevel="1"/>
    <col min="10" max="10" width="9.5" style="7" hidden="1" customWidth="1" outlineLevel="1"/>
    <col min="11" max="11" width="10.125" style="7" hidden="1" customWidth="1" outlineLevel="1"/>
    <col min="12" max="12" width="10.375" style="7" hidden="1" customWidth="1" outlineLevel="1"/>
    <col min="13" max="13" width="8.25" style="7" hidden="1" customWidth="1" outlineLevel="1"/>
    <col min="14" max="14" width="1.625" style="7" hidden="1" customWidth="1" outlineLevel="1"/>
    <col min="15" max="17" width="11.75" style="7" hidden="1" customWidth="1" outlineLevel="1"/>
    <col min="18" max="18" width="12.75" style="7" hidden="1" customWidth="1" outlineLevel="2"/>
    <col min="19" max="19" width="13" style="7" hidden="1" customWidth="1" outlineLevel="2"/>
    <col min="20" max="20" width="6.75" style="7" hidden="1"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1007</v>
      </c>
      <c r="Y1" s="25" t="s">
        <v>600</v>
      </c>
      <c r="Z1" s="26" t="s">
        <v>601</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602</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4"/>
      <c r="Q3" s="394"/>
      <c r="R3" s="120">
        <f xml:space="preserve">
IF(ISBLANK(Q3),0,O3*(Q3-P3))</f>
        <v>0</v>
      </c>
      <c r="S3" s="120" cm="1">
        <f t="array" ref="S3">+
IF(P3=0,0,
IFERROR(
SUM(_xlfn._xlws.FILTER(Table_ChiPhiNV_ThueSuatTNCN[Thuế tối đa],
(Table_ChiPhiNV_ThueSuatTNCN[Thuế suất]&lt;O3)
)),0))</f>
        <v>0</v>
      </c>
      <c r="T3" s="232"/>
      <c r="W3" s="27" t="s">
        <v>603</v>
      </c>
      <c r="X3" s="423">
        <v>11000000</v>
      </c>
      <c r="Y3" s="8" t="s">
        <v>604</v>
      </c>
      <c r="Z3" s="217">
        <f>8*(COUNT(AC1:BG1) - COUNTA(AC3:BG3))</f>
        <v>8</v>
      </c>
      <c r="AB3" s="12" t="s">
        <v>605</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600</v>
      </c>
      <c r="C4" s="12" t="s">
        <v>606</v>
      </c>
      <c r="E4" s="12" t="s">
        <v>21</v>
      </c>
      <c r="F4" s="12" t="s">
        <v>607</v>
      </c>
      <c r="G4" s="12" t="s">
        <v>608</v>
      </c>
      <c r="H4" s="12" t="s">
        <v>609</v>
      </c>
      <c r="J4" s="12" t="s">
        <v>0</v>
      </c>
      <c r="K4" s="12" t="s">
        <v>610</v>
      </c>
      <c r="L4" s="12" t="s">
        <v>611</v>
      </c>
      <c r="M4" s="12" t="s">
        <v>157</v>
      </c>
      <c r="O4" s="12" t="s">
        <v>612</v>
      </c>
      <c r="P4" s="12" t="s">
        <v>613</v>
      </c>
      <c r="Q4" s="12" t="s">
        <v>614</v>
      </c>
      <c r="R4" s="12" t="s">
        <v>615</v>
      </c>
      <c r="S4" s="12" t="s">
        <v>616</v>
      </c>
      <c r="T4" s="12" t="s">
        <v>281</v>
      </c>
      <c r="W4" s="27" t="s">
        <v>617</v>
      </c>
      <c r="X4" s="423">
        <v>4400000</v>
      </c>
      <c r="Y4" s="27" t="s">
        <v>618</v>
      </c>
      <c r="Z4" s="321">
        <v>2.0833333333333332E-2</v>
      </c>
      <c r="AB4" s="12" t="s">
        <v>619</v>
      </c>
      <c r="AC4" s="341">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41"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41"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41"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41"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41"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41"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41"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41"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41"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41"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41"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41"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41"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41"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41"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41"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41"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41"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41"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41"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41"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41"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41"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41"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41"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41"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41"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41"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41"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41"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601</v>
      </c>
      <c r="C5" s="15">
        <v>4960000</v>
      </c>
      <c r="E5" s="12" t="s">
        <v>620</v>
      </c>
      <c r="F5" s="15">
        <f>F8*F9</f>
        <v>46800000</v>
      </c>
      <c r="G5" s="15">
        <f>G8*G9</f>
        <v>46800000</v>
      </c>
      <c r="H5" s="15">
        <f>H8*H9</f>
        <v>99200000</v>
      </c>
      <c r="J5" s="12" t="s">
        <v>621</v>
      </c>
      <c r="K5" s="319">
        <v>0</v>
      </c>
      <c r="L5" s="319">
        <v>0.25</v>
      </c>
      <c r="M5" s="31">
        <v>1.3</v>
      </c>
      <c r="O5" s="32">
        <v>0.05</v>
      </c>
      <c r="P5" s="421">
        <v>0</v>
      </c>
      <c r="Q5" s="421">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622</v>
      </c>
      <c r="X5" s="34" t="e">
        <f>VLOOKUP(X1,Table_NhanVien[],COUNTA(Table_NhanVien[[#Headers],[Mã NV]:[Lương gross]]),0)</f>
        <v>#N/A</v>
      </c>
      <c r="Y5" s="8" t="s">
        <v>623</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624</v>
      </c>
      <c r="AC5" s="341">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41"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41"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41"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41"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41"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41"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41"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41"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41"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41"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41"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41"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41"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41"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41"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41"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41"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41"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41"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41"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41"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41"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41"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41"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41"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41"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41"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41"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41"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41"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625</v>
      </c>
      <c r="C6" s="15">
        <v>4410000</v>
      </c>
      <c r="E6" s="12" t="s">
        <v>626</v>
      </c>
      <c r="F6" s="30">
        <v>0.17499999999999999</v>
      </c>
      <c r="G6" s="31">
        <v>0.03</v>
      </c>
      <c r="H6" s="31">
        <v>0.01</v>
      </c>
      <c r="J6" s="12" t="s">
        <v>621</v>
      </c>
      <c r="K6" s="319">
        <v>0.25</v>
      </c>
      <c r="L6" s="319">
        <v>0.91666666666666663</v>
      </c>
      <c r="M6" s="31">
        <v>1</v>
      </c>
      <c r="O6" s="32">
        <v>0.1</v>
      </c>
      <c r="P6" s="421">
        <v>5000000</v>
      </c>
      <c r="Q6" s="421">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897</v>
      </c>
      <c r="X6" s="35" t="e">
        <f>SUM(AC9:BG57)/2*((X5-Z5)/Z3)</f>
        <v>#N/A</v>
      </c>
      <c r="Y6" s="8" t="s">
        <v>627</v>
      </c>
      <c r="Z6" s="7" t="e">
        <f>VLOOKUP(X1,Table_NhanVien[],COUNTA(Table_NhanVien[[#Headers],[Mã NV]:[Người phụ thuộc]]),0)</f>
        <v>#N/A</v>
      </c>
      <c r="AB6" s="7" t="s">
        <v>628</v>
      </c>
    </row>
    <row r="7" spans="2:66" ht="18" customHeight="1" x14ac:dyDescent="0.3">
      <c r="B7" s="12" t="s">
        <v>629</v>
      </c>
      <c r="C7" s="15">
        <v>3860000</v>
      </c>
      <c r="E7" s="12" t="s">
        <v>630</v>
      </c>
      <c r="F7" s="30">
        <v>0.08</v>
      </c>
      <c r="G7" s="30">
        <v>1.4999999999999999E-2</v>
      </c>
      <c r="H7" s="31">
        <v>0.01</v>
      </c>
      <c r="J7" s="12" t="s">
        <v>621</v>
      </c>
      <c r="K7" s="319">
        <v>0.91666666666666663</v>
      </c>
      <c r="L7" s="319">
        <v>0.99998842592592596</v>
      </c>
      <c r="M7" s="31">
        <v>1.3</v>
      </c>
      <c r="O7" s="32">
        <v>0.15</v>
      </c>
      <c r="P7" s="421">
        <v>10000000</v>
      </c>
      <c r="Q7" s="421">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894</v>
      </c>
      <c r="X7" s="342" t="e">
        <f>(SUMIF(AC9:BG57, "&gt;1", AC9:BG57)-COUNTIF(AC9:BG57, "&gt;1"))/2*((X5-Z5)/Z3)</f>
        <v>#N/A</v>
      </c>
      <c r="Y7" s="7" t="s">
        <v>1241</v>
      </c>
      <c r="Z7" s="7">
        <f>COUNTIF(AC8:BG8,"Lương")</f>
        <v>0</v>
      </c>
      <c r="AA7" s="547"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631</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49"/>
      <c r="BJ7" s="450"/>
      <c r="BK7" s="451">
        <f ca="1">NOW()</f>
        <v>46028.460211458332</v>
      </c>
      <c r="BL7" s="453">
        <f ca="1">INT(BK7)</f>
        <v>46028</v>
      </c>
      <c r="BM7" s="454">
        <f ca="1">BK7-BL7</f>
        <v>0.46021145833219634</v>
      </c>
      <c r="BN7" s="452"/>
    </row>
    <row r="8" spans="2:66" ht="18" customHeight="1" x14ac:dyDescent="0.3">
      <c r="B8" s="12" t="s">
        <v>632</v>
      </c>
      <c r="C8" s="15">
        <v>3450000</v>
      </c>
      <c r="E8" s="12" t="s">
        <v>633</v>
      </c>
      <c r="F8" s="15">
        <v>2340000</v>
      </c>
      <c r="G8" s="15">
        <v>2340000</v>
      </c>
      <c r="H8" s="15">
        <f>VLOOKUP(Z1,Table_ChiPhiNV_LuongToiThieu[],2,0)</f>
        <v>4960000</v>
      </c>
      <c r="J8" s="12" t="s">
        <v>638</v>
      </c>
      <c r="K8" s="319">
        <v>0</v>
      </c>
      <c r="L8" s="319">
        <v>0.25</v>
      </c>
      <c r="M8" s="31">
        <v>2.7</v>
      </c>
      <c r="O8" s="32">
        <v>0.2</v>
      </c>
      <c r="P8" s="421">
        <v>18000000</v>
      </c>
      <c r="Q8" s="421">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634</v>
      </c>
      <c r="W8" s="7" t="s">
        <v>251</v>
      </c>
      <c r="X8" s="7" t="s">
        <v>252</v>
      </c>
      <c r="Y8" s="7" t="s">
        <v>635</v>
      </c>
      <c r="Z8" s="7" t="s">
        <v>636</v>
      </c>
      <c r="AA8" s="7" t="s">
        <v>883</v>
      </c>
      <c r="AB8" s="12" t="s">
        <v>1239</v>
      </c>
      <c r="BI8" s="7" t="s">
        <v>32</v>
      </c>
      <c r="BJ8" s="7" t="s">
        <v>885</v>
      </c>
      <c r="BK8" s="7" t="s">
        <v>1010</v>
      </c>
      <c r="BL8" s="7" t="s">
        <v>0</v>
      </c>
      <c r="BM8" s="7" t="s">
        <v>1011</v>
      </c>
      <c r="BN8" s="7" t="s">
        <v>883</v>
      </c>
    </row>
    <row r="9" spans="2:66" ht="18" customHeight="1" outlineLevel="1" x14ac:dyDescent="0.3">
      <c r="E9" s="12" t="s">
        <v>637</v>
      </c>
      <c r="F9" s="7">
        <v>20</v>
      </c>
      <c r="G9" s="7">
        <v>20</v>
      </c>
      <c r="H9" s="7">
        <v>20</v>
      </c>
      <c r="J9" s="12" t="s">
        <v>638</v>
      </c>
      <c r="K9" s="319">
        <v>0.25</v>
      </c>
      <c r="L9" s="319">
        <v>0.91666666666666663</v>
      </c>
      <c r="M9" s="31">
        <v>2</v>
      </c>
      <c r="O9" s="32">
        <v>0.25</v>
      </c>
      <c r="P9" s="421">
        <v>32000000</v>
      </c>
      <c r="Q9" s="421">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639</v>
      </c>
      <c r="W9" s="320">
        <v>0.33333333333333298</v>
      </c>
      <c r="X9" s="320">
        <v>0.70833333333333304</v>
      </c>
      <c r="Y9" s="320">
        <v>0.5</v>
      </c>
      <c r="Z9" s="320">
        <v>0.54166666666666696</v>
      </c>
      <c r="AB9" s="320">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51"/>
      <c r="BL9" s="453">
        <f>INT(Table_ChiPhiNV_ChamCong[[#This Row],[Thời điểm]])</f>
        <v>0</v>
      </c>
      <c r="BM9" s="454">
        <f>Table_ChiPhiNV_ChamCong[[#This Row],[Thời điểm]]-Table_ChiPhiNV_ChamCong[[#This Row],[Ngày]]</f>
        <v>0</v>
      </c>
    </row>
    <row r="10" spans="2:66" ht="18" customHeight="1" outlineLevel="1" x14ac:dyDescent="0.3">
      <c r="J10" s="12" t="s">
        <v>638</v>
      </c>
      <c r="K10" s="319">
        <v>0.91666666666666663</v>
      </c>
      <c r="L10" s="319">
        <v>0.99998842592592596</v>
      </c>
      <c r="M10" s="31">
        <v>2.7</v>
      </c>
      <c r="O10" s="32">
        <v>0.3</v>
      </c>
      <c r="P10" s="421">
        <v>52000000</v>
      </c>
      <c r="Q10" s="421">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640</v>
      </c>
      <c r="W10" s="320">
        <v>0.66666666666666696</v>
      </c>
      <c r="X10" s="320">
        <v>4.1666666666666664E-2</v>
      </c>
      <c r="Y10" s="320">
        <v>0.83333333333333304</v>
      </c>
      <c r="Z10" s="320">
        <v>0.875</v>
      </c>
      <c r="AB10" s="320">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642</v>
      </c>
      <c r="K11" s="319">
        <v>0</v>
      </c>
      <c r="L11" s="319">
        <v>0.25</v>
      </c>
      <c r="M11" s="31">
        <v>3.9</v>
      </c>
      <c r="O11" s="32">
        <v>0.35</v>
      </c>
      <c r="P11" s="421">
        <v>80000000</v>
      </c>
      <c r="Q11" s="421"/>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641</v>
      </c>
      <c r="W11" s="320">
        <v>0</v>
      </c>
      <c r="X11" s="320">
        <v>0.375</v>
      </c>
      <c r="Y11" s="320">
        <v>0.16666666666666699</v>
      </c>
      <c r="Z11" s="320">
        <v>0.20833333333333301</v>
      </c>
      <c r="AB11" s="320">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642</v>
      </c>
      <c r="K12" s="319">
        <v>0.25</v>
      </c>
      <c r="L12" s="319">
        <v>0.91666666666666663</v>
      </c>
      <c r="M12" s="31">
        <v>3</v>
      </c>
      <c r="AB12" s="320">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642</v>
      </c>
      <c r="K13" s="319">
        <v>0.91666666666666663</v>
      </c>
      <c r="L13" s="319">
        <v>0.99998842592592596</v>
      </c>
      <c r="M13" s="31">
        <v>3.9</v>
      </c>
      <c r="AB13" s="320">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20">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20">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20">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20">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20">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8"/>
      <c r="AB19" s="320">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20">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20">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20">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20">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20">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20">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20">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20">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20">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20">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20">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20">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20">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20">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20">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20">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20">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20">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20">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20">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20">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20">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20">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20">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20">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20">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20">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20">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20">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20">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20">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20">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20">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20">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20">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20">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20">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20">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8"/>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531</v>
      </c>
      <c r="C4" s="7" t="s">
        <v>532</v>
      </c>
      <c r="D4" s="7" t="s">
        <v>533</v>
      </c>
      <c r="E4" s="7" t="s">
        <v>534</v>
      </c>
      <c r="F4" s="7" t="s">
        <v>535</v>
      </c>
      <c r="G4" s="7" t="s">
        <v>883</v>
      </c>
      <c r="I4" s="7" t="s">
        <v>3</v>
      </c>
      <c r="J4" s="7" t="s">
        <v>2</v>
      </c>
      <c r="K4" s="7" t="s">
        <v>1</v>
      </c>
      <c r="L4" s="7" t="s">
        <v>37</v>
      </c>
      <c r="M4" s="7" t="s">
        <v>38</v>
      </c>
      <c r="N4" s="7" t="s">
        <v>536</v>
      </c>
      <c r="O4" s="7" t="s">
        <v>537</v>
      </c>
      <c r="P4" s="7" t="s">
        <v>216</v>
      </c>
      <c r="Q4" s="7" t="s">
        <v>143</v>
      </c>
      <c r="R4" s="7" t="s">
        <v>883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topLeftCell="A12"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1157</v>
      </c>
      <c r="D20" t="s">
        <v>1156</v>
      </c>
      <c r="E20" t="s">
        <v>1158</v>
      </c>
      <c r="F20" t="s">
        <v>69</v>
      </c>
      <c r="I20" s="7" t="s">
        <v>3</v>
      </c>
      <c r="J20" s="7" t="s">
        <v>2</v>
      </c>
      <c r="K20" s="7" t="s">
        <v>1</v>
      </c>
      <c r="L20" s="7" t="s">
        <v>151</v>
      </c>
      <c r="M20" s="7" t="s">
        <v>934</v>
      </c>
      <c r="N20" s="7" t="s">
        <v>935</v>
      </c>
      <c r="O20" s="7" t="s">
        <v>936</v>
      </c>
      <c r="P20" s="7" t="s">
        <v>658</v>
      </c>
      <c r="Q20" s="7" t="s">
        <v>883</v>
      </c>
    </row>
    <row r="21" spans="2:17" ht="16.5" x14ac:dyDescent="0.3">
      <c r="B21" s="98" t="s">
        <v>1150</v>
      </c>
      <c r="C21" s="522">
        <v>152500000</v>
      </c>
      <c r="D21" s="522">
        <v>25416666.666666664</v>
      </c>
      <c r="E21" s="522">
        <v>0</v>
      </c>
      <c r="F21" s="522">
        <v>177916666.66666663</v>
      </c>
      <c r="I21" s="33">
        <f>IFERROR(
IF(ISBLANK(Table_TSCD_KhauHao[[#This Row],[Tháng]]),
DATE(Table_TSCD_KhauHao[[#This Row],[Năm]],12,1),
DATE(Table_TSCD_KhauHao[[#This Row],[Năm]],Table_TSCD_KhauHao[[#This Row],[Tháng]],1)),0)</f>
        <v>45992</v>
      </c>
      <c r="J21" s="242">
        <v>2025</v>
      </c>
      <c r="K21" s="242">
        <v>12</v>
      </c>
      <c r="L21" s="246">
        <f>+Table_TSCD_KhauHao[[#This Row],[Khấu hao sản xuất]]+Table_TSCD_KhauHao[[#This Row],[Khấu hao bán hàng]]+Table_TSCD_KhauHao[[#This Row],[Khấu hao quản lý]]</f>
        <v>51111111.111111104</v>
      </c>
      <c r="M2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6">
        <f t="shared" ref="P21:P53" si="0">L21</f>
        <v>51111111.111111104</v>
      </c>
      <c r="Q21" s="242"/>
    </row>
    <row r="22" spans="2:17" ht="16.5" x14ac:dyDescent="0.3">
      <c r="B22" s="510" t="s">
        <v>1117</v>
      </c>
      <c r="C22" s="522">
        <v>10000000</v>
      </c>
      <c r="D22" s="522">
        <v>0</v>
      </c>
      <c r="E22" s="522">
        <v>0</v>
      </c>
      <c r="F22" s="522">
        <v>10000000</v>
      </c>
      <c r="I22" s="33">
        <f>IFERROR(
IF(ISBLANK(Table_TSCD_KhauHao[[#This Row],[Tháng]]),
DATE(Table_TSCD_KhauHao[[#This Row],[Năm]],12,1),
DATE(Table_TSCD_KhauHao[[#This Row],[Năm]],Table_TSCD_KhauHao[[#This Row],[Tháng]],1)),0)</f>
        <v>45962</v>
      </c>
      <c r="J22" s="242">
        <v>2025</v>
      </c>
      <c r="K22" s="242">
        <v>11</v>
      </c>
      <c r="L22" s="246">
        <f>+Table_TSCD_KhauHao[[#This Row],[Khấu hao sản xuất]]+Table_TSCD_KhauHao[[#This Row],[Khấu hao bán hàng]]+Table_TSCD_KhauHao[[#This Row],[Khấu hao quản lý]]</f>
        <v>51111111.111111104</v>
      </c>
      <c r="M2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6">
        <f t="shared" si="0"/>
        <v>51111111.111111104</v>
      </c>
      <c r="Q22" s="242"/>
    </row>
    <row r="23" spans="2:17" ht="16.5" x14ac:dyDescent="0.3">
      <c r="B23" s="510" t="s">
        <v>1118</v>
      </c>
      <c r="C23" s="522">
        <v>10000000</v>
      </c>
      <c r="D23" s="522">
        <v>0</v>
      </c>
      <c r="E23" s="522">
        <v>0</v>
      </c>
      <c r="F23" s="522">
        <v>10000000</v>
      </c>
      <c r="I23" s="33">
        <f>IFERROR(
IF(ISBLANK(Table_TSCD_KhauHao[[#This Row],[Tháng]]),
DATE(Table_TSCD_KhauHao[[#This Row],[Năm]],12,1),
DATE(Table_TSCD_KhauHao[[#This Row],[Năm]],Table_TSCD_KhauHao[[#This Row],[Tháng]],1)),0)</f>
        <v>45931</v>
      </c>
      <c r="J23" s="242">
        <v>2025</v>
      </c>
      <c r="K23" s="242">
        <v>10</v>
      </c>
      <c r="L23" s="246">
        <f>+Table_TSCD_KhauHao[[#This Row],[Khấu hao sản xuất]]+Table_TSCD_KhauHao[[#This Row],[Khấu hao bán hàng]]+Table_TSCD_KhauHao[[#This Row],[Khấu hao quản lý]]</f>
        <v>51111111.111111104</v>
      </c>
      <c r="M2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6">
        <f t="shared" si="0"/>
        <v>51111111.111111104</v>
      </c>
      <c r="Q23" s="242"/>
    </row>
    <row r="24" spans="2:17" ht="16.5" x14ac:dyDescent="0.3">
      <c r="B24" s="510" t="s">
        <v>1119</v>
      </c>
      <c r="C24" s="522">
        <v>10000000</v>
      </c>
      <c r="D24" s="522">
        <v>0</v>
      </c>
      <c r="E24" s="522">
        <v>0</v>
      </c>
      <c r="F24" s="522">
        <v>10000000</v>
      </c>
      <c r="I24" s="33">
        <f>IFERROR(
IF(ISBLANK(Table_TSCD_KhauHao[[#This Row],[Tháng]]),
DATE(Table_TSCD_KhauHao[[#This Row],[Năm]],12,1),
DATE(Table_TSCD_KhauHao[[#This Row],[Năm]],Table_TSCD_KhauHao[[#This Row],[Tháng]],1)),0)</f>
        <v>45901</v>
      </c>
      <c r="J24" s="242">
        <v>2025</v>
      </c>
      <c r="K24" s="242">
        <v>9</v>
      </c>
      <c r="L24" s="246">
        <f>+Table_TSCD_KhauHao[[#This Row],[Khấu hao sản xuất]]+Table_TSCD_KhauHao[[#This Row],[Khấu hao bán hàng]]+Table_TSCD_KhauHao[[#This Row],[Khấu hao quản lý]]</f>
        <v>51111111.111111104</v>
      </c>
      <c r="M2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6">
        <f t="shared" si="0"/>
        <v>51111111.111111104</v>
      </c>
      <c r="Q24" s="242"/>
    </row>
    <row r="25" spans="2:17" ht="16.5" x14ac:dyDescent="0.3">
      <c r="B25" s="510" t="s">
        <v>1120</v>
      </c>
      <c r="C25" s="522">
        <v>10000000</v>
      </c>
      <c r="D25" s="522">
        <v>0</v>
      </c>
      <c r="E25" s="522">
        <v>0</v>
      </c>
      <c r="F25" s="522">
        <v>10000000</v>
      </c>
      <c r="I25" s="33">
        <f>IFERROR(
IF(ISBLANK(Table_TSCD_KhauHao[[#This Row],[Tháng]]),
DATE(Table_TSCD_KhauHao[[#This Row],[Năm]],12,1),
DATE(Table_TSCD_KhauHao[[#This Row],[Năm]],Table_TSCD_KhauHao[[#This Row],[Tháng]],1)),0)</f>
        <v>45870</v>
      </c>
      <c r="J25" s="242">
        <v>2025</v>
      </c>
      <c r="K25" s="242">
        <v>8</v>
      </c>
      <c r="L25" s="246">
        <f>+Table_TSCD_KhauHao[[#This Row],[Khấu hao sản xuất]]+Table_TSCD_KhauHao[[#This Row],[Khấu hao bán hàng]]+Table_TSCD_KhauHao[[#This Row],[Khấu hao quản lý]]</f>
        <v>51111111.111111104</v>
      </c>
      <c r="M2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6">
        <f t="shared" si="0"/>
        <v>51111111.111111104</v>
      </c>
      <c r="Q25" s="242"/>
    </row>
    <row r="26" spans="2:17" ht="16.5" x14ac:dyDescent="0.3">
      <c r="B26" s="510" t="s">
        <v>1121</v>
      </c>
      <c r="C26" s="522">
        <v>10000000</v>
      </c>
      <c r="D26" s="522">
        <v>0</v>
      </c>
      <c r="E26" s="522">
        <v>0</v>
      </c>
      <c r="F26" s="522">
        <v>10000000</v>
      </c>
      <c r="I26" s="33">
        <f>IFERROR(
IF(ISBLANK(Table_TSCD_KhauHao[[#This Row],[Tháng]]),
DATE(Table_TSCD_KhauHao[[#This Row],[Năm]],12,1),
DATE(Table_TSCD_KhauHao[[#This Row],[Năm]],Table_TSCD_KhauHao[[#This Row],[Tháng]],1)),0)</f>
        <v>45839</v>
      </c>
      <c r="J26" s="242">
        <v>2025</v>
      </c>
      <c r="K26" s="242">
        <v>7</v>
      </c>
      <c r="L26" s="246">
        <f>+Table_TSCD_KhauHao[[#This Row],[Khấu hao sản xuất]]+Table_TSCD_KhauHao[[#This Row],[Khấu hao bán hàng]]+Table_TSCD_KhauHao[[#This Row],[Khấu hao quản lý]]</f>
        <v>51111111.111111104</v>
      </c>
      <c r="M2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6">
        <f t="shared" si="0"/>
        <v>51111111.111111104</v>
      </c>
      <c r="Q26" s="242"/>
    </row>
    <row r="27" spans="2:17" ht="16.5" x14ac:dyDescent="0.3">
      <c r="B27" s="510" t="s">
        <v>1122</v>
      </c>
      <c r="C27" s="522">
        <v>10000000</v>
      </c>
      <c r="D27" s="522">
        <v>0</v>
      </c>
      <c r="E27" s="522">
        <v>0</v>
      </c>
      <c r="F27" s="522">
        <v>10000000</v>
      </c>
      <c r="I27" s="33">
        <f>IFERROR(
IF(ISBLANK(Table_TSCD_KhauHao[[#This Row],[Tháng]]),
DATE(Table_TSCD_KhauHao[[#This Row],[Năm]],12,1),
DATE(Table_TSCD_KhauHao[[#This Row],[Năm]],Table_TSCD_KhauHao[[#This Row],[Tháng]],1)),0)</f>
        <v>45809</v>
      </c>
      <c r="J27" s="242">
        <v>2025</v>
      </c>
      <c r="K27" s="242">
        <v>6</v>
      </c>
      <c r="L27" s="246">
        <f>+Table_TSCD_KhauHao[[#This Row],[Khấu hao sản xuất]]+Table_TSCD_KhauHao[[#This Row],[Khấu hao bán hàng]]+Table_TSCD_KhauHao[[#This Row],[Khấu hao quản lý]]</f>
        <v>51111111.111111104</v>
      </c>
      <c r="M2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6">
        <f t="shared" si="0"/>
        <v>51111111.111111104</v>
      </c>
      <c r="Q27" s="242"/>
    </row>
    <row r="28" spans="2:17" ht="16.5" x14ac:dyDescent="0.3">
      <c r="B28" s="510" t="s">
        <v>1123</v>
      </c>
      <c r="C28" s="522">
        <v>30833333.333333332</v>
      </c>
      <c r="D28" s="522">
        <v>2916666.6666666665</v>
      </c>
      <c r="E28" s="522">
        <v>0</v>
      </c>
      <c r="F28" s="522">
        <v>33750000</v>
      </c>
      <c r="I28" s="33">
        <f>IFERROR(
IF(ISBLANK(Table_TSCD_KhauHao[[#This Row],[Tháng]]),
DATE(Table_TSCD_KhauHao[[#This Row],[Năm]],12,1),
DATE(Table_TSCD_KhauHao[[#This Row],[Năm]],Table_TSCD_KhauHao[[#This Row],[Tháng]],1)),0)</f>
        <v>45778</v>
      </c>
      <c r="J28" s="242">
        <v>2025</v>
      </c>
      <c r="K28" s="242">
        <v>5</v>
      </c>
      <c r="L28" s="246">
        <f>+Table_TSCD_KhauHao[[#This Row],[Khấu hao sản xuất]]+Table_TSCD_KhauHao[[#This Row],[Khấu hao bán hàng]]+Table_TSCD_KhauHao[[#This Row],[Khấu hao quản lý]]</f>
        <v>51111111.111111104</v>
      </c>
      <c r="M2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6">
        <f t="shared" si="0"/>
        <v>51111111.111111104</v>
      </c>
      <c r="Q28" s="242"/>
    </row>
    <row r="29" spans="2:17" ht="16.5" x14ac:dyDescent="0.3">
      <c r="B29" s="510" t="s">
        <v>1152</v>
      </c>
      <c r="C29" s="522">
        <v>30833333.333333332</v>
      </c>
      <c r="D29" s="522">
        <v>11250000</v>
      </c>
      <c r="E29" s="522">
        <v>0</v>
      </c>
      <c r="F29" s="522">
        <v>42083333.333333328</v>
      </c>
      <c r="I29" s="33">
        <f>IFERROR(
IF(ISBLANK(Table_TSCD_KhauHao[[#This Row],[Tháng]]),
DATE(Table_TSCD_KhauHao[[#This Row],[Năm]],12,1),
DATE(Table_TSCD_KhauHao[[#This Row],[Năm]],Table_TSCD_KhauHao[[#This Row],[Tháng]],1)),0)</f>
        <v>45748</v>
      </c>
      <c r="J29" s="242">
        <v>2025</v>
      </c>
      <c r="K29" s="242">
        <v>4</v>
      </c>
      <c r="L29" s="246">
        <f>+Table_TSCD_KhauHao[[#This Row],[Khấu hao sản xuất]]+Table_TSCD_KhauHao[[#This Row],[Khấu hao bán hàng]]+Table_TSCD_KhauHao[[#This Row],[Khấu hao quản lý]]</f>
        <v>51111111.111111104</v>
      </c>
      <c r="M2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6">
        <f t="shared" si="0"/>
        <v>51111111.111111104</v>
      </c>
      <c r="Q29" s="242"/>
    </row>
    <row r="30" spans="2:17" ht="16.5" x14ac:dyDescent="0.3">
      <c r="B30" s="510" t="s">
        <v>1153</v>
      </c>
      <c r="C30" s="522">
        <v>30833333.333333332</v>
      </c>
      <c r="D30" s="522">
        <v>11250000</v>
      </c>
      <c r="E30" s="522">
        <v>0</v>
      </c>
      <c r="F30" s="522">
        <v>42083333.333333328</v>
      </c>
      <c r="I30" s="33">
        <f>IFERROR(
IF(ISBLANK(Table_TSCD_KhauHao[[#This Row],[Tháng]]),
DATE(Table_TSCD_KhauHao[[#This Row],[Năm]],12,1),
DATE(Table_TSCD_KhauHao[[#This Row],[Năm]],Table_TSCD_KhauHao[[#This Row],[Tháng]],1)),0)</f>
        <v>45717</v>
      </c>
      <c r="J30" s="242">
        <v>2025</v>
      </c>
      <c r="K30" s="242">
        <v>3</v>
      </c>
      <c r="L30" s="246">
        <f>+Table_TSCD_KhauHao[[#This Row],[Khấu hao sản xuất]]+Table_TSCD_KhauHao[[#This Row],[Khấu hao bán hàng]]+Table_TSCD_KhauHao[[#This Row],[Khấu hao quản lý]]</f>
        <v>51111111.111111104</v>
      </c>
      <c r="M3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6">
        <f t="shared" si="0"/>
        <v>51111111.111111104</v>
      </c>
      <c r="Q30" s="242"/>
    </row>
    <row r="31" spans="2:17" ht="16.5" x14ac:dyDescent="0.3">
      <c r="B31" s="98" t="s">
        <v>1151</v>
      </c>
      <c r="C31" s="522">
        <v>369999999.99999994</v>
      </c>
      <c r="D31" s="522">
        <v>135000000</v>
      </c>
      <c r="E31" s="522">
        <v>73611111.111111104</v>
      </c>
      <c r="F31" s="522">
        <v>578611111.11111104</v>
      </c>
      <c r="I31" s="33">
        <f>IFERROR(
IF(ISBLANK(Table_TSCD_KhauHao[[#This Row],[Tháng]]),
DATE(Table_TSCD_KhauHao[[#This Row],[Năm]],12,1),
DATE(Table_TSCD_KhauHao[[#This Row],[Năm]],Table_TSCD_KhauHao[[#This Row],[Tháng]],1)),0)</f>
        <v>45689</v>
      </c>
      <c r="J31" s="242">
        <v>2025</v>
      </c>
      <c r="K31" s="242">
        <v>2</v>
      </c>
      <c r="L31" s="246">
        <f>+Table_TSCD_KhauHao[[#This Row],[Khấu hao sản xuất]]+Table_TSCD_KhauHao[[#This Row],[Khấu hao bán hàng]]+Table_TSCD_KhauHao[[#This Row],[Khấu hao quản lý]]</f>
        <v>51111111.111111104</v>
      </c>
      <c r="M3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6">
        <f t="shared" si="0"/>
        <v>51111111.111111104</v>
      </c>
      <c r="Q31" s="242"/>
    </row>
    <row r="32" spans="2:17" ht="16.5" x14ac:dyDescent="0.3">
      <c r="B32" s="510" t="s">
        <v>1154</v>
      </c>
      <c r="C32" s="522">
        <v>30833333.333333332</v>
      </c>
      <c r="D32" s="522">
        <v>11250000</v>
      </c>
      <c r="E32" s="522">
        <v>0</v>
      </c>
      <c r="F32" s="522">
        <v>42083333.333333328</v>
      </c>
      <c r="I32" s="33">
        <f>IFERROR(
IF(ISBLANK(Table_TSCD_KhauHao[[#This Row],[Tháng]]),
DATE(Table_TSCD_KhauHao[[#This Row],[Năm]],12,1),
DATE(Table_TSCD_KhauHao[[#This Row],[Năm]],Table_TSCD_KhauHao[[#This Row],[Tháng]],1)),0)</f>
        <v>45658</v>
      </c>
      <c r="J32" s="242">
        <v>2025</v>
      </c>
      <c r="K32" s="242">
        <v>1</v>
      </c>
      <c r="L32" s="246">
        <f>+Table_TSCD_KhauHao[[#This Row],[Khấu hao sản xuất]]+Table_TSCD_KhauHao[[#This Row],[Khấu hao bán hàng]]+Table_TSCD_KhauHao[[#This Row],[Khấu hao quản lý]]</f>
        <v>51111111.111111104</v>
      </c>
      <c r="M3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6">
        <f t="shared" si="0"/>
        <v>51111111.111111104</v>
      </c>
      <c r="Q32" s="242"/>
    </row>
    <row r="33" spans="2:17" ht="16.5" x14ac:dyDescent="0.3">
      <c r="B33" s="510" t="s">
        <v>1116</v>
      </c>
      <c r="C33" s="522">
        <v>30833333.333333332</v>
      </c>
      <c r="D33" s="522">
        <v>11250000</v>
      </c>
      <c r="E33" s="522">
        <v>0</v>
      </c>
      <c r="F33" s="522">
        <v>42083333.333333328</v>
      </c>
      <c r="I33" s="33">
        <f>IFERROR(
IF(ISBLANK(Table_TSCD_KhauHao[[#This Row],[Tháng]]),
DATE(Table_TSCD_KhauHao[[#This Row],[Năm]],12,1),
DATE(Table_TSCD_KhauHao[[#This Row],[Năm]],Table_TSCD_KhauHao[[#This Row],[Tháng]],1)),0)</f>
        <v>45627</v>
      </c>
      <c r="J33" s="242">
        <v>2024</v>
      </c>
      <c r="K33" s="242">
        <v>12</v>
      </c>
      <c r="L33" s="246">
        <f>+Table_TSCD_KhauHao[[#This Row],[Khấu hao sản xuất]]+Table_TSCD_KhauHao[[#This Row],[Khấu hao bán hàng]]+Table_TSCD_KhauHao[[#This Row],[Khấu hao quản lý]]</f>
        <v>51111111.111111104</v>
      </c>
      <c r="M3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6">
        <f t="shared" si="0"/>
        <v>51111111.111111104</v>
      </c>
      <c r="Q33" s="242"/>
    </row>
    <row r="34" spans="2:17" ht="16.5" x14ac:dyDescent="0.3">
      <c r="B34" s="510" t="s">
        <v>1155</v>
      </c>
      <c r="C34" s="522">
        <v>30833333.333333332</v>
      </c>
      <c r="D34" s="522">
        <v>11250000</v>
      </c>
      <c r="E34" s="522">
        <v>694444.4444444445</v>
      </c>
      <c r="F34" s="522">
        <v>42777777.777777776</v>
      </c>
      <c r="I34" s="33">
        <f>IFERROR(
IF(ISBLANK(Table_TSCD_KhauHao[[#This Row],[Tháng]]),
DATE(Table_TSCD_KhauHao[[#This Row],[Năm]],12,1),
DATE(Table_TSCD_KhauHao[[#This Row],[Năm]],Table_TSCD_KhauHao[[#This Row],[Tháng]],1)),0)</f>
        <v>45597</v>
      </c>
      <c r="J34" s="242">
        <v>2024</v>
      </c>
      <c r="K34" s="242">
        <v>11</v>
      </c>
      <c r="L34" s="246">
        <f>+Table_TSCD_KhauHao[[#This Row],[Khấu hao sản xuất]]+Table_TSCD_KhauHao[[#This Row],[Khấu hao bán hàng]]+Table_TSCD_KhauHao[[#This Row],[Khấu hao quản lý]]</f>
        <v>51111111.111111104</v>
      </c>
      <c r="M3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6">
        <f t="shared" si="0"/>
        <v>51111111.111111104</v>
      </c>
      <c r="Q34" s="242"/>
    </row>
    <row r="35" spans="2:17" ht="16.5" x14ac:dyDescent="0.3">
      <c r="B35" s="510" t="s">
        <v>1117</v>
      </c>
      <c r="C35" s="522">
        <v>30833333.333333332</v>
      </c>
      <c r="D35" s="522">
        <v>11250000</v>
      </c>
      <c r="E35" s="522">
        <v>694444.4444444445</v>
      </c>
      <c r="F35" s="522">
        <v>42777777.777777776</v>
      </c>
      <c r="I35" s="33">
        <f>IFERROR(
IF(ISBLANK(Table_TSCD_KhauHao[[#This Row],[Tháng]]),
DATE(Table_TSCD_KhauHao[[#This Row],[Năm]],12,1),
DATE(Table_TSCD_KhauHao[[#This Row],[Năm]],Table_TSCD_KhauHao[[#This Row],[Tháng]],1)),0)</f>
        <v>45566</v>
      </c>
      <c r="J35" s="242">
        <v>2024</v>
      </c>
      <c r="K35" s="242">
        <v>10</v>
      </c>
      <c r="L35" s="246">
        <f>+Table_TSCD_KhauHao[[#This Row],[Khấu hao sản xuất]]+Table_TSCD_KhauHao[[#This Row],[Khấu hao bán hàng]]+Table_TSCD_KhauHao[[#This Row],[Khấu hao quản lý]]</f>
        <v>51111111.111111104</v>
      </c>
      <c r="M3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6">
        <f t="shared" si="0"/>
        <v>51111111.111111104</v>
      </c>
      <c r="Q35" s="242"/>
    </row>
    <row r="36" spans="2:17" ht="16.5" x14ac:dyDescent="0.3">
      <c r="B36" s="510" t="s">
        <v>1118</v>
      </c>
      <c r="C36" s="522">
        <v>30833333.333333332</v>
      </c>
      <c r="D36" s="522">
        <v>11250000</v>
      </c>
      <c r="E36" s="522">
        <v>9027777.777777778</v>
      </c>
      <c r="F36" s="522">
        <v>51111111.111111104</v>
      </c>
      <c r="I36" s="33">
        <f>IFERROR(
IF(ISBLANK(Table_TSCD_KhauHao[[#This Row],[Tháng]]),
DATE(Table_TSCD_KhauHao[[#This Row],[Năm]],12,1),
DATE(Table_TSCD_KhauHao[[#This Row],[Năm]],Table_TSCD_KhauHao[[#This Row],[Tháng]],1)),0)</f>
        <v>45536</v>
      </c>
      <c r="J36" s="242">
        <v>2024</v>
      </c>
      <c r="K36" s="242">
        <v>9</v>
      </c>
      <c r="L36" s="246">
        <f>+Table_TSCD_KhauHao[[#This Row],[Khấu hao sản xuất]]+Table_TSCD_KhauHao[[#This Row],[Khấu hao bán hàng]]+Table_TSCD_KhauHao[[#This Row],[Khấu hao quản lý]]</f>
        <v>51111111.111111104</v>
      </c>
      <c r="M3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6">
        <f t="shared" si="0"/>
        <v>51111111.111111104</v>
      </c>
      <c r="Q36" s="242"/>
    </row>
    <row r="37" spans="2:17" ht="16.5" x14ac:dyDescent="0.3">
      <c r="B37" s="510" t="s">
        <v>1119</v>
      </c>
      <c r="C37" s="522">
        <v>30833333.333333332</v>
      </c>
      <c r="D37" s="522">
        <v>11250000</v>
      </c>
      <c r="E37" s="522">
        <v>9027777.777777778</v>
      </c>
      <c r="F37" s="522">
        <v>51111111.111111104</v>
      </c>
      <c r="I37" s="33">
        <f>IFERROR(
IF(ISBLANK(Table_TSCD_KhauHao[[#This Row],[Tháng]]),
DATE(Table_TSCD_KhauHao[[#This Row],[Năm]],12,1),
DATE(Table_TSCD_KhauHao[[#This Row],[Năm]],Table_TSCD_KhauHao[[#This Row],[Tháng]],1)),0)</f>
        <v>45505</v>
      </c>
      <c r="J37" s="242">
        <v>2024</v>
      </c>
      <c r="K37" s="242">
        <v>8</v>
      </c>
      <c r="L37" s="246">
        <f>+Table_TSCD_KhauHao[[#This Row],[Khấu hao sản xuất]]+Table_TSCD_KhauHao[[#This Row],[Khấu hao bán hàng]]+Table_TSCD_KhauHao[[#This Row],[Khấu hao quản lý]]</f>
        <v>51111111.111111104</v>
      </c>
      <c r="M3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6">
        <f t="shared" si="0"/>
        <v>51111111.111111104</v>
      </c>
      <c r="Q37" s="242"/>
    </row>
    <row r="38" spans="2:17" ht="16.5" x14ac:dyDescent="0.3">
      <c r="B38" s="510" t="s">
        <v>1120</v>
      </c>
      <c r="C38" s="522">
        <v>30833333.333333332</v>
      </c>
      <c r="D38" s="522">
        <v>11250000</v>
      </c>
      <c r="E38" s="522">
        <v>9027777.777777778</v>
      </c>
      <c r="F38" s="522">
        <v>51111111.111111104</v>
      </c>
      <c r="I38" s="33">
        <f>IFERROR(
IF(ISBLANK(Table_TSCD_KhauHao[[#This Row],[Tháng]]),
DATE(Table_TSCD_KhauHao[[#This Row],[Năm]],12,1),
DATE(Table_TSCD_KhauHao[[#This Row],[Năm]],Table_TSCD_KhauHao[[#This Row],[Tháng]],1)),0)</f>
        <v>45474</v>
      </c>
      <c r="J38" s="242">
        <v>2024</v>
      </c>
      <c r="K38" s="242">
        <v>7</v>
      </c>
      <c r="L38" s="246">
        <f>+Table_TSCD_KhauHao[[#This Row],[Khấu hao sản xuất]]+Table_TSCD_KhauHao[[#This Row],[Khấu hao bán hàng]]+Table_TSCD_KhauHao[[#This Row],[Khấu hao quản lý]]</f>
        <v>51111111.111111104</v>
      </c>
      <c r="M3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6">
        <f t="shared" si="0"/>
        <v>51111111.111111104</v>
      </c>
      <c r="Q38" s="242"/>
    </row>
    <row r="39" spans="2:17" ht="16.5" x14ac:dyDescent="0.3">
      <c r="B39" s="510" t="s">
        <v>1121</v>
      </c>
      <c r="C39" s="522">
        <v>30833333.333333332</v>
      </c>
      <c r="D39" s="522">
        <v>11250000</v>
      </c>
      <c r="E39" s="522">
        <v>9027777.777777778</v>
      </c>
      <c r="F39" s="522">
        <v>51111111.111111104</v>
      </c>
      <c r="I39" s="33">
        <f>IFERROR(
IF(ISBLANK(Table_TSCD_KhauHao[[#This Row],[Tháng]]),
DATE(Table_TSCD_KhauHao[[#This Row],[Năm]],12,1),
DATE(Table_TSCD_KhauHao[[#This Row],[Năm]],Table_TSCD_KhauHao[[#This Row],[Tháng]],1)),0)</f>
        <v>45444</v>
      </c>
      <c r="J39" s="242">
        <v>2024</v>
      </c>
      <c r="K39" s="242">
        <v>6</v>
      </c>
      <c r="L39" s="246">
        <f>+Table_TSCD_KhauHao[[#This Row],[Khấu hao sản xuất]]+Table_TSCD_KhauHao[[#This Row],[Khấu hao bán hàng]]+Table_TSCD_KhauHao[[#This Row],[Khấu hao quản lý]]</f>
        <v>51111111.111111104</v>
      </c>
      <c r="M3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6">
        <f t="shared" si="0"/>
        <v>51111111.111111104</v>
      </c>
      <c r="Q39" s="242"/>
    </row>
    <row r="40" spans="2:17" ht="16.5" x14ac:dyDescent="0.3">
      <c r="B40" s="510" t="s">
        <v>1122</v>
      </c>
      <c r="C40" s="522">
        <v>30833333.333333332</v>
      </c>
      <c r="D40" s="522">
        <v>11250000</v>
      </c>
      <c r="E40" s="522">
        <v>9027777.777777778</v>
      </c>
      <c r="F40" s="522">
        <v>51111111.111111104</v>
      </c>
      <c r="I40" s="33">
        <f>IFERROR(
IF(ISBLANK(Table_TSCD_KhauHao[[#This Row],[Tháng]]),
DATE(Table_TSCD_KhauHao[[#This Row],[Năm]],12,1),
DATE(Table_TSCD_KhauHao[[#This Row],[Năm]],Table_TSCD_KhauHao[[#This Row],[Tháng]],1)),0)</f>
        <v>45413</v>
      </c>
      <c r="J40" s="242">
        <v>2024</v>
      </c>
      <c r="K40" s="242">
        <v>5</v>
      </c>
      <c r="L40" s="246">
        <f>+Table_TSCD_KhauHao[[#This Row],[Khấu hao sản xuất]]+Table_TSCD_KhauHao[[#This Row],[Khấu hao bán hàng]]+Table_TSCD_KhauHao[[#This Row],[Khấu hao quản lý]]</f>
        <v>51111111.111111104</v>
      </c>
      <c r="M4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6">
        <f t="shared" si="0"/>
        <v>51111111.111111104</v>
      </c>
      <c r="Q40" s="242"/>
    </row>
    <row r="41" spans="2:17" ht="16.5" x14ac:dyDescent="0.3">
      <c r="B41" s="510" t="s">
        <v>1123</v>
      </c>
      <c r="C41" s="522">
        <v>30833333.333333332</v>
      </c>
      <c r="D41" s="522">
        <v>11250000</v>
      </c>
      <c r="E41" s="522">
        <v>9027777.777777778</v>
      </c>
      <c r="F41" s="522">
        <v>51111111.111111104</v>
      </c>
      <c r="I41" s="33">
        <f>IFERROR(
IF(ISBLANK(Table_TSCD_KhauHao[[#This Row],[Tháng]]),
DATE(Table_TSCD_KhauHao[[#This Row],[Năm]],12,1),
DATE(Table_TSCD_KhauHao[[#This Row],[Năm]],Table_TSCD_KhauHao[[#This Row],[Tháng]],1)),0)</f>
        <v>45383</v>
      </c>
      <c r="J41" s="242">
        <v>2024</v>
      </c>
      <c r="K41" s="242">
        <v>4</v>
      </c>
      <c r="L41" s="246">
        <f>+Table_TSCD_KhauHao[[#This Row],[Khấu hao sản xuất]]+Table_TSCD_KhauHao[[#This Row],[Khấu hao bán hàng]]+Table_TSCD_KhauHao[[#This Row],[Khấu hao quản lý]]</f>
        <v>42777777.777777776</v>
      </c>
      <c r="M4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6">
        <f t="shared" si="0"/>
        <v>42777777.777777776</v>
      </c>
      <c r="Q41" s="242"/>
    </row>
    <row r="42" spans="2:17" ht="16.5" x14ac:dyDescent="0.3">
      <c r="B42" s="510" t="s">
        <v>1152</v>
      </c>
      <c r="C42" s="522">
        <v>30833333.333333332</v>
      </c>
      <c r="D42" s="522">
        <v>11250000</v>
      </c>
      <c r="E42" s="522">
        <v>9027777.777777778</v>
      </c>
      <c r="F42" s="522">
        <v>51111111.111111104</v>
      </c>
      <c r="I42" s="33">
        <f>IFERROR(
IF(ISBLANK(Table_TSCD_KhauHao[[#This Row],[Tháng]]),
DATE(Table_TSCD_KhauHao[[#This Row],[Năm]],12,1),
DATE(Table_TSCD_KhauHao[[#This Row],[Năm]],Table_TSCD_KhauHao[[#This Row],[Tháng]],1)),0)</f>
        <v>45352</v>
      </c>
      <c r="J42" s="242">
        <v>2024</v>
      </c>
      <c r="K42" s="242">
        <v>3</v>
      </c>
      <c r="L42" s="246">
        <f>+Table_TSCD_KhauHao[[#This Row],[Khấu hao sản xuất]]+Table_TSCD_KhauHao[[#This Row],[Khấu hao bán hàng]]+Table_TSCD_KhauHao[[#This Row],[Khấu hao quản lý]]</f>
        <v>42777777.777777776</v>
      </c>
      <c r="M4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6">
        <f t="shared" si="0"/>
        <v>42777777.777777776</v>
      </c>
      <c r="Q42" s="242"/>
    </row>
    <row r="43" spans="2:17" ht="16.5" x14ac:dyDescent="0.3">
      <c r="B43" s="510" t="s">
        <v>1153</v>
      </c>
      <c r="C43" s="522">
        <v>30833333.333333332</v>
      </c>
      <c r="D43" s="522">
        <v>11250000</v>
      </c>
      <c r="E43" s="522">
        <v>9027777.777777778</v>
      </c>
      <c r="F43" s="522">
        <v>51111111.111111104</v>
      </c>
      <c r="I43" s="33">
        <f>IFERROR(
IF(ISBLANK(Table_TSCD_KhauHao[[#This Row],[Tháng]]),
DATE(Table_TSCD_KhauHao[[#This Row],[Năm]],12,1),
DATE(Table_TSCD_KhauHao[[#This Row],[Năm]],Table_TSCD_KhauHao[[#This Row],[Tháng]],1)),0)</f>
        <v>45323</v>
      </c>
      <c r="J43" s="242">
        <v>2024</v>
      </c>
      <c r="K43" s="242">
        <v>2</v>
      </c>
      <c r="L43" s="246">
        <f>+Table_TSCD_KhauHao[[#This Row],[Khấu hao sản xuất]]+Table_TSCD_KhauHao[[#This Row],[Khấu hao bán hàng]]+Table_TSCD_KhauHao[[#This Row],[Khấu hao quản lý]]</f>
        <v>42083333.333333328</v>
      </c>
      <c r="M4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6">
        <f t="shared" si="0"/>
        <v>42083333.333333328</v>
      </c>
      <c r="Q43" s="242"/>
    </row>
    <row r="44" spans="2:17" ht="16.5" x14ac:dyDescent="0.3">
      <c r="B44" s="98" t="s">
        <v>1112</v>
      </c>
      <c r="C44" s="522">
        <v>522499999.99999988</v>
      </c>
      <c r="D44" s="522">
        <v>160416666.66666666</v>
      </c>
      <c r="E44" s="522">
        <v>73611111.111111104</v>
      </c>
      <c r="F44" s="522">
        <v>756527777.77777791</v>
      </c>
      <c r="I44" s="33">
        <f>IFERROR(
IF(ISBLANK(Table_TSCD_KhauHao[[#This Row],[Tháng]]),
DATE(Table_TSCD_KhauHao[[#This Row],[Năm]],12,1),
DATE(Table_TSCD_KhauHao[[#This Row],[Năm]],Table_TSCD_KhauHao[[#This Row],[Tháng]],1)),0)</f>
        <v>45292</v>
      </c>
      <c r="J44" s="242">
        <v>2024</v>
      </c>
      <c r="K44" s="242">
        <v>1</v>
      </c>
      <c r="L44" s="246">
        <f>+Table_TSCD_KhauHao[[#This Row],[Khấu hao sản xuất]]+Table_TSCD_KhauHao[[#This Row],[Khấu hao bán hàng]]+Table_TSCD_KhauHao[[#This Row],[Khấu hao quản lý]]</f>
        <v>42083333.333333328</v>
      </c>
      <c r="M4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6">
        <f t="shared" si="0"/>
        <v>42083333.333333328</v>
      </c>
      <c r="Q44" s="242"/>
    </row>
    <row r="45" spans="2:17" ht="16.5" x14ac:dyDescent="0.3">
      <c r="B45"/>
      <c r="C45"/>
      <c r="D45"/>
      <c r="E45"/>
      <c r="F45"/>
      <c r="I45" s="33">
        <f>IFERROR(
IF(ISBLANK(Table_TSCD_KhauHao[[#This Row],[Tháng]]),
DATE(Table_TSCD_KhauHao[[#This Row],[Năm]],12,1),
DATE(Table_TSCD_KhauHao[[#This Row],[Năm]],Table_TSCD_KhauHao[[#This Row],[Tháng]],1)),0)</f>
        <v>45261</v>
      </c>
      <c r="J45" s="242">
        <v>2023</v>
      </c>
      <c r="K45" s="242">
        <v>12</v>
      </c>
      <c r="L45" s="246">
        <f>+Table_TSCD_KhauHao[[#This Row],[Khấu hao sản xuất]]+Table_TSCD_KhauHao[[#This Row],[Khấu hao bán hàng]]+Table_TSCD_KhauHao[[#This Row],[Khấu hao quản lý]]</f>
        <v>42083333.333333328</v>
      </c>
      <c r="M4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6">
        <f t="shared" si="0"/>
        <v>42083333.333333328</v>
      </c>
      <c r="Q45" s="242"/>
    </row>
    <row r="46" spans="2:17" ht="16.5" x14ac:dyDescent="0.3">
      <c r="B46"/>
      <c r="C46"/>
      <c r="D46"/>
      <c r="E46"/>
      <c r="F46"/>
      <c r="I46" s="33">
        <f>IFERROR(
IF(ISBLANK(Table_TSCD_KhauHao[[#This Row],[Tháng]]),
DATE(Table_TSCD_KhauHao[[#This Row],[Năm]],12,1),
DATE(Table_TSCD_KhauHao[[#This Row],[Năm]],Table_TSCD_KhauHao[[#This Row],[Tháng]],1)),0)</f>
        <v>45231</v>
      </c>
      <c r="J46" s="242">
        <v>2023</v>
      </c>
      <c r="K46" s="242">
        <v>11</v>
      </c>
      <c r="L46" s="246">
        <f>+Table_TSCD_KhauHao[[#This Row],[Khấu hao sản xuất]]+Table_TSCD_KhauHao[[#This Row],[Khấu hao bán hàng]]+Table_TSCD_KhauHao[[#This Row],[Khấu hao quản lý]]</f>
        <v>42083333.333333328</v>
      </c>
      <c r="M4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6">
        <f t="shared" si="0"/>
        <v>42083333.333333328</v>
      </c>
      <c r="Q46" s="242"/>
    </row>
    <row r="47" spans="2:17" ht="16.5" x14ac:dyDescent="0.3">
      <c r="B47"/>
      <c r="C47"/>
      <c r="D47"/>
      <c r="E47"/>
      <c r="F47"/>
      <c r="I47" s="33">
        <f>IFERROR(
IF(ISBLANK(Table_TSCD_KhauHao[[#This Row],[Tháng]]),
DATE(Table_TSCD_KhauHao[[#This Row],[Năm]],12,1),
DATE(Table_TSCD_KhauHao[[#This Row],[Năm]],Table_TSCD_KhauHao[[#This Row],[Tháng]],1)),0)</f>
        <v>45200</v>
      </c>
      <c r="J47" s="242">
        <v>2023</v>
      </c>
      <c r="K47" s="242">
        <v>10</v>
      </c>
      <c r="L47" s="246">
        <f>+Table_TSCD_KhauHao[[#This Row],[Khấu hao sản xuất]]+Table_TSCD_KhauHao[[#This Row],[Khấu hao bán hàng]]+Table_TSCD_KhauHao[[#This Row],[Khấu hao quản lý]]</f>
        <v>33750000</v>
      </c>
      <c r="M4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6">
        <f t="shared" si="0"/>
        <v>33750000</v>
      </c>
      <c r="Q47" s="242"/>
    </row>
    <row r="48" spans="2:17" ht="16.5" x14ac:dyDescent="0.3">
      <c r="B48"/>
      <c r="C48"/>
      <c r="D48"/>
      <c r="E48"/>
      <c r="F48"/>
      <c r="I48" s="33">
        <f>IFERROR(
IF(ISBLANK(Table_TSCD_KhauHao[[#This Row],[Tháng]]),
DATE(Table_TSCD_KhauHao[[#This Row],[Năm]],12,1),
DATE(Table_TSCD_KhauHao[[#This Row],[Năm]],Table_TSCD_KhauHao[[#This Row],[Tháng]],1)),0)</f>
        <v>45170</v>
      </c>
      <c r="J48" s="242">
        <v>2023</v>
      </c>
      <c r="K48" s="242">
        <v>9</v>
      </c>
      <c r="L48" s="246">
        <f>+Table_TSCD_KhauHao[[#This Row],[Khấu hao sản xuất]]+Table_TSCD_KhauHao[[#This Row],[Khấu hao bán hàng]]+Table_TSCD_KhauHao[[#This Row],[Khấu hao quản lý]]</f>
        <v>10000000</v>
      </c>
      <c r="M4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6">
        <f t="shared" si="0"/>
        <v>10000000</v>
      </c>
      <c r="Q48" s="242"/>
    </row>
    <row r="49" spans="2:17" ht="16.5" x14ac:dyDescent="0.3">
      <c r="B49"/>
      <c r="C49"/>
      <c r="D49"/>
      <c r="E49"/>
      <c r="F49"/>
      <c r="I49" s="33">
        <f>IFERROR(
IF(ISBLANK(Table_TSCD_KhauHao[[#This Row],[Tháng]]),
DATE(Table_TSCD_KhauHao[[#This Row],[Năm]],12,1),
DATE(Table_TSCD_KhauHao[[#This Row],[Năm]],Table_TSCD_KhauHao[[#This Row],[Tháng]],1)),0)</f>
        <v>45139</v>
      </c>
      <c r="J49" s="242">
        <v>2023</v>
      </c>
      <c r="K49" s="242">
        <v>8</v>
      </c>
      <c r="L49" s="246">
        <f>+Table_TSCD_KhauHao[[#This Row],[Khấu hao sản xuất]]+Table_TSCD_KhauHao[[#This Row],[Khấu hao bán hàng]]+Table_TSCD_KhauHao[[#This Row],[Khấu hao quản lý]]</f>
        <v>10000000</v>
      </c>
      <c r="M4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6">
        <f t="shared" si="0"/>
        <v>10000000</v>
      </c>
      <c r="Q49" s="242"/>
    </row>
    <row r="50" spans="2:17" ht="16.5" x14ac:dyDescent="0.3">
      <c r="B50"/>
      <c r="C50"/>
      <c r="D50"/>
      <c r="E50"/>
      <c r="F50"/>
      <c r="I50" s="33">
        <f>IFERROR(
IF(ISBLANK(Table_TSCD_KhauHao[[#This Row],[Tháng]]),
DATE(Table_TSCD_KhauHao[[#This Row],[Năm]],12,1),
DATE(Table_TSCD_KhauHao[[#This Row],[Năm]],Table_TSCD_KhauHao[[#This Row],[Tháng]],1)),0)</f>
        <v>45108</v>
      </c>
      <c r="J50" s="242">
        <v>2023</v>
      </c>
      <c r="K50" s="242">
        <v>7</v>
      </c>
      <c r="L50" s="246">
        <f>+Table_TSCD_KhauHao[[#This Row],[Khấu hao sản xuất]]+Table_TSCD_KhauHao[[#This Row],[Khấu hao bán hàng]]+Table_TSCD_KhauHao[[#This Row],[Khấu hao quản lý]]</f>
        <v>10000000</v>
      </c>
      <c r="M5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6">
        <f t="shared" si="0"/>
        <v>10000000</v>
      </c>
      <c r="Q50" s="242"/>
    </row>
    <row r="51" spans="2:17" ht="16.5" x14ac:dyDescent="0.3">
      <c r="B51"/>
      <c r="C51"/>
      <c r="D51"/>
      <c r="E51"/>
      <c r="F51"/>
      <c r="I51" s="33">
        <f>IFERROR(
IF(ISBLANK(Table_TSCD_KhauHao[[#This Row],[Tháng]]),
DATE(Table_TSCD_KhauHao[[#This Row],[Năm]],12,1),
DATE(Table_TSCD_KhauHao[[#This Row],[Năm]],Table_TSCD_KhauHao[[#This Row],[Tháng]],1)),0)</f>
        <v>45078</v>
      </c>
      <c r="J51" s="242">
        <v>2023</v>
      </c>
      <c r="K51" s="242">
        <v>6</v>
      </c>
      <c r="L51" s="246">
        <f>+Table_TSCD_KhauHao[[#This Row],[Khấu hao sản xuất]]+Table_TSCD_KhauHao[[#This Row],[Khấu hao bán hàng]]+Table_TSCD_KhauHao[[#This Row],[Khấu hao quản lý]]</f>
        <v>10000000</v>
      </c>
      <c r="M5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6">
        <f t="shared" si="0"/>
        <v>10000000</v>
      </c>
      <c r="Q51" s="242"/>
    </row>
    <row r="52" spans="2:17" ht="16.5" x14ac:dyDescent="0.3">
      <c r="B52"/>
      <c r="C52"/>
      <c r="D52"/>
      <c r="E52"/>
      <c r="F52"/>
      <c r="I52" s="33">
        <f>IFERROR(
IF(ISBLANK(Table_TSCD_KhauHao[[#This Row],[Tháng]]),
DATE(Table_TSCD_KhauHao[[#This Row],[Năm]],12,1),
DATE(Table_TSCD_KhauHao[[#This Row],[Năm]],Table_TSCD_KhauHao[[#This Row],[Tháng]],1)),0)</f>
        <v>45047</v>
      </c>
      <c r="J52" s="242">
        <v>2023</v>
      </c>
      <c r="K52" s="242">
        <v>5</v>
      </c>
      <c r="L52" s="246">
        <f>+Table_TSCD_KhauHao[[#This Row],[Khấu hao sản xuất]]+Table_TSCD_KhauHao[[#This Row],[Khấu hao bán hàng]]+Table_TSCD_KhauHao[[#This Row],[Khấu hao quản lý]]</f>
        <v>10000000</v>
      </c>
      <c r="M5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6">
        <f t="shared" si="0"/>
        <v>10000000</v>
      </c>
      <c r="Q52" s="242"/>
    </row>
    <row r="53" spans="2:17" ht="16.5" x14ac:dyDescent="0.3">
      <c r="B53"/>
      <c r="C53"/>
      <c r="D53"/>
      <c r="E53"/>
      <c r="F53"/>
      <c r="I53" s="33">
        <f>IFERROR(
IF(ISBLANK(Table_TSCD_KhauHao[[#This Row],[Tháng]]),
DATE(Table_TSCD_KhauHao[[#This Row],[Năm]],12,1),
DATE(Table_TSCD_KhauHao[[#This Row],[Năm]],Table_TSCD_KhauHao[[#This Row],[Tháng]],1)),0)</f>
        <v>45017</v>
      </c>
      <c r="J53" s="242">
        <v>2023</v>
      </c>
      <c r="K53" s="242">
        <v>4</v>
      </c>
      <c r="L53" s="246">
        <f>+Table_TSCD_KhauHao[[#This Row],[Khấu hao sản xuất]]+Table_TSCD_KhauHao[[#This Row],[Khấu hao bán hàng]]+Table_TSCD_KhauHao[[#This Row],[Khấu hao quản lý]]</f>
        <v>10000000</v>
      </c>
      <c r="M5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6">
        <f t="shared" si="0"/>
        <v>10000000</v>
      </c>
      <c r="Q53" s="242"/>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H25" sqref="H25"/>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2"/>
      <c r="C1" s="242"/>
      <c r="D1" s="242"/>
      <c r="E1" s="242"/>
      <c r="F1" s="242"/>
      <c r="G1" s="242"/>
      <c r="H1" s="242"/>
      <c r="I1" s="242"/>
      <c r="J1" s="242"/>
      <c r="K1" s="242"/>
    </row>
    <row r="2" spans="2:11" ht="18" customHeight="1" collapsed="1" x14ac:dyDescent="0.3">
      <c r="B2" s="242"/>
      <c r="C2" s="242"/>
      <c r="D2" s="242"/>
      <c r="E2" s="242"/>
      <c r="F2" s="242"/>
      <c r="G2" s="242"/>
      <c r="H2" s="242"/>
      <c r="I2" s="242"/>
      <c r="J2" s="242"/>
      <c r="K2" s="242"/>
    </row>
    <row r="3" spans="2:11" ht="18" hidden="1" customHeight="1" outlineLevel="1" x14ac:dyDescent="0.3">
      <c r="B3" s="242"/>
      <c r="C3" s="242"/>
      <c r="D3" s="242"/>
      <c r="E3" s="42" t="s">
        <v>668</v>
      </c>
      <c r="F3" s="42" t="s">
        <v>669</v>
      </c>
      <c r="G3" s="242"/>
      <c r="H3" s="242"/>
      <c r="I3" s="242"/>
      <c r="J3" s="242"/>
      <c r="K3" s="242"/>
    </row>
    <row r="4" spans="2:11" ht="18" hidden="1" customHeight="1" outlineLevel="1" x14ac:dyDescent="0.3">
      <c r="B4" s="242"/>
      <c r="C4" s="242"/>
      <c r="D4" s="242"/>
      <c r="E4" s="177" t="s">
        <v>670</v>
      </c>
      <c r="F4" s="245"/>
      <c r="G4" s="242"/>
      <c r="H4" s="242"/>
      <c r="I4" s="242"/>
      <c r="J4" s="242"/>
      <c r="K4" s="242"/>
    </row>
    <row r="5" spans="2:11" ht="18" hidden="1" customHeight="1" outlineLevel="1" x14ac:dyDescent="0.3">
      <c r="B5" s="242"/>
      <c r="C5" s="242"/>
      <c r="D5" s="242"/>
      <c r="E5" s="177" t="s">
        <v>671</v>
      </c>
      <c r="F5" s="245"/>
      <c r="G5" s="242"/>
      <c r="H5" s="242"/>
      <c r="I5" s="242"/>
      <c r="J5" s="242"/>
      <c r="K5" s="242"/>
    </row>
    <row r="6" spans="2:11" ht="18" hidden="1" customHeight="1" outlineLevel="1" x14ac:dyDescent="0.3">
      <c r="B6" s="242"/>
      <c r="C6" s="242"/>
      <c r="D6" s="242"/>
      <c r="E6" s="177" t="s">
        <v>653</v>
      </c>
      <c r="F6" s="245"/>
      <c r="G6" s="242"/>
      <c r="H6" s="242"/>
      <c r="I6" s="242"/>
      <c r="J6" s="242"/>
      <c r="K6" s="242"/>
    </row>
    <row r="7" spans="2:11" ht="18" hidden="1" customHeight="1" outlineLevel="1" x14ac:dyDescent="0.3">
      <c r="B7" s="242"/>
      <c r="C7" s="242"/>
      <c r="D7" s="242"/>
      <c r="E7" s="177" t="s">
        <v>672</v>
      </c>
      <c r="F7" s="245"/>
      <c r="G7" s="242"/>
      <c r="H7" s="242"/>
      <c r="I7" s="242"/>
      <c r="J7" s="242"/>
      <c r="K7" s="242"/>
    </row>
    <row r="8" spans="2:11" ht="18" hidden="1" customHeight="1" outlineLevel="1" x14ac:dyDescent="0.3">
      <c r="B8" s="242"/>
      <c r="C8" s="242"/>
      <c r="D8" s="242"/>
      <c r="E8" s="178" t="s">
        <v>673</v>
      </c>
      <c r="F8" s="245"/>
      <c r="G8" s="242"/>
      <c r="H8" s="242"/>
      <c r="I8" s="242"/>
      <c r="J8" s="242"/>
      <c r="K8" s="242"/>
    </row>
    <row r="9" spans="2:11" ht="18" hidden="1" customHeight="1" outlineLevel="1" x14ac:dyDescent="0.3">
      <c r="B9" s="242"/>
      <c r="C9" s="242"/>
      <c r="D9" s="242"/>
      <c r="E9" s="177" t="s">
        <v>674</v>
      </c>
      <c r="F9" s="245"/>
      <c r="G9" s="242"/>
      <c r="H9" s="242"/>
      <c r="I9" s="242"/>
      <c r="J9" s="242"/>
      <c r="K9" s="242"/>
    </row>
    <row r="10" spans="2:11" ht="18" hidden="1" customHeight="1" outlineLevel="1" x14ac:dyDescent="0.3">
      <c r="B10" s="242"/>
      <c r="C10" s="242"/>
      <c r="D10" s="242"/>
      <c r="E10" s="178" t="s">
        <v>281</v>
      </c>
      <c r="F10" s="261"/>
      <c r="G10" s="242"/>
      <c r="H10" s="242"/>
      <c r="I10" s="242"/>
      <c r="J10" s="242"/>
      <c r="K10" s="242"/>
    </row>
    <row r="11" spans="2:11" ht="18" hidden="1" customHeight="1" outlineLevel="1" x14ac:dyDescent="0.3">
      <c r="B11" s="242"/>
      <c r="C11" s="242"/>
      <c r="D11" s="242"/>
      <c r="E11" s="305"/>
      <c r="F11" s="242"/>
      <c r="G11" s="242"/>
      <c r="H11" s="242"/>
      <c r="I11" s="242"/>
      <c r="J11" s="242"/>
      <c r="K11" s="242"/>
    </row>
    <row r="12" spans="2:11" ht="18" customHeight="1" x14ac:dyDescent="0.3">
      <c r="B12" s="7" t="s">
        <v>3</v>
      </c>
      <c r="C12" s="7" t="s">
        <v>2</v>
      </c>
      <c r="D12" s="7" t="s">
        <v>1</v>
      </c>
      <c r="E12" s="7" t="s">
        <v>675</v>
      </c>
      <c r="F12" s="7" t="s">
        <v>676</v>
      </c>
      <c r="G12" s="7" t="s">
        <v>658</v>
      </c>
      <c r="H12" s="7" t="s">
        <v>677</v>
      </c>
      <c r="I12" s="7" t="s">
        <v>678</v>
      </c>
      <c r="J12" s="7" t="s">
        <v>1253</v>
      </c>
      <c r="K12" s="7" t="s">
        <v>883</v>
      </c>
    </row>
    <row r="13" spans="2:11" ht="18" customHeight="1" x14ac:dyDescent="0.3">
      <c r="B13" s="304">
        <f>IFERROR(
DATE(C13,D13,1),0)</f>
        <v>0</v>
      </c>
      <c r="C13" s="242"/>
      <c r="D13" s="242"/>
      <c r="E13" s="242"/>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2"/>
    </row>
  </sheetData>
  <sheetProtection algorithmName="SHA-512" hashValue="viqvmoVtELV7j73rn/kZOg9Yx/LU2fVtNpDj0iCkN92vhs/ViTVjsQQoAO1HcSWEW3AQ0VM64FafRGRADB0aiQ==" saltValue="T3JjYCA1P1cKLbhDMspEC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78"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2"/>
      <c r="K1" s="242"/>
      <c r="L1" s="242"/>
      <c r="M1" s="242"/>
      <c r="N1" s="242"/>
      <c r="O1" s="242"/>
      <c r="P1" s="242"/>
      <c r="Q1" s="242"/>
      <c r="R1" s="242"/>
      <c r="S1" s="242"/>
      <c r="T1" s="242"/>
      <c r="U1" s="242"/>
      <c r="V1" s="242"/>
      <c r="W1" s="242"/>
      <c r="X1" s="242"/>
      <c r="Y1" s="242"/>
      <c r="Z1" s="242"/>
      <c r="AA1" s="242"/>
    </row>
    <row r="2" spans="10:27" ht="18" customHeight="1" x14ac:dyDescent="0.3">
      <c r="J2" s="242"/>
      <c r="K2" s="242"/>
      <c r="L2" s="242"/>
      <c r="M2" s="242"/>
      <c r="N2" s="242"/>
      <c r="O2" s="242"/>
      <c r="P2" s="242"/>
      <c r="Q2" s="242"/>
      <c r="R2" s="242"/>
      <c r="S2" s="242"/>
      <c r="T2" s="242"/>
      <c r="U2" s="242"/>
      <c r="V2" s="242"/>
      <c r="W2" s="242"/>
      <c r="X2" s="242"/>
      <c r="Y2" s="242"/>
      <c r="Z2" s="242"/>
      <c r="AA2" s="242"/>
    </row>
    <row r="3" spans="10:27" ht="18" customHeight="1" outlineLevel="1" x14ac:dyDescent="0.3">
      <c r="J3" s="242"/>
      <c r="K3" s="242"/>
      <c r="L3" s="242"/>
      <c r="M3" s="242"/>
      <c r="N3" s="242"/>
      <c r="O3" s="242"/>
      <c r="P3" s="242"/>
      <c r="Q3" s="242"/>
      <c r="R3" s="242"/>
      <c r="S3" s="242"/>
      <c r="T3" s="242"/>
      <c r="U3" s="242"/>
      <c r="V3" s="242"/>
      <c r="W3" s="242"/>
      <c r="X3" s="242"/>
      <c r="Y3" s="242"/>
      <c r="Z3" s="242"/>
      <c r="AA3" s="242"/>
    </row>
    <row r="4" spans="10:27" ht="18" customHeight="1" outlineLevel="1" x14ac:dyDescent="0.3">
      <c r="J4" s="242"/>
      <c r="K4" s="242"/>
      <c r="L4" s="242"/>
      <c r="M4" s="242"/>
      <c r="N4" s="242"/>
      <c r="O4" s="242"/>
      <c r="P4" s="242"/>
      <c r="Q4" s="242"/>
      <c r="R4" s="242"/>
      <c r="S4" s="242"/>
      <c r="T4" s="242"/>
      <c r="U4" s="242"/>
      <c r="V4" s="242"/>
      <c r="W4" s="242"/>
      <c r="X4" s="242"/>
      <c r="Y4" s="242"/>
      <c r="Z4" s="242"/>
      <c r="AA4" s="242"/>
    </row>
    <row r="5" spans="10:27" ht="18" customHeight="1" outlineLevel="1" x14ac:dyDescent="0.3">
      <c r="J5" s="242"/>
      <c r="K5" s="242"/>
      <c r="L5" s="242"/>
      <c r="M5" s="242"/>
      <c r="N5" s="242"/>
      <c r="O5" s="242"/>
      <c r="P5" s="242"/>
      <c r="Q5" s="242"/>
      <c r="R5" s="242"/>
      <c r="S5" s="242"/>
      <c r="T5" s="242"/>
      <c r="U5" s="242"/>
      <c r="V5" s="242"/>
      <c r="W5" s="242"/>
      <c r="X5" s="242"/>
      <c r="Y5" s="242"/>
      <c r="Z5" s="242"/>
      <c r="AA5" s="242"/>
    </row>
    <row r="6" spans="10:27" ht="18" customHeight="1" outlineLevel="1" x14ac:dyDescent="0.3">
      <c r="J6" s="242"/>
      <c r="K6" s="242"/>
      <c r="L6" s="242"/>
      <c r="M6" s="242"/>
      <c r="N6" s="242"/>
      <c r="O6" s="242"/>
      <c r="P6" s="242"/>
      <c r="Q6" s="242"/>
      <c r="R6" s="242"/>
      <c r="S6" s="242"/>
      <c r="T6" s="242"/>
      <c r="U6" s="242"/>
      <c r="V6" s="242"/>
      <c r="W6" s="242"/>
      <c r="X6" s="242"/>
      <c r="Y6" s="242"/>
      <c r="Z6" s="242"/>
      <c r="AA6" s="242"/>
    </row>
    <row r="7" spans="10:27" ht="18" customHeight="1" outlineLevel="1" x14ac:dyDescent="0.3">
      <c r="J7" s="242"/>
      <c r="K7" s="242"/>
      <c r="L7" s="242"/>
      <c r="M7" s="242"/>
      <c r="N7" s="242"/>
      <c r="O7" s="242"/>
      <c r="P7" s="242"/>
      <c r="Q7" s="242"/>
      <c r="R7" s="242"/>
      <c r="S7" s="242"/>
      <c r="T7" s="242"/>
      <c r="U7" s="242"/>
      <c r="V7" s="242"/>
      <c r="W7" s="242"/>
      <c r="X7" s="242"/>
      <c r="Y7" s="242"/>
      <c r="Z7" s="242"/>
      <c r="AA7" s="242"/>
    </row>
    <row r="8" spans="10:27" ht="18" customHeight="1" outlineLevel="1" x14ac:dyDescent="0.3">
      <c r="J8" s="242"/>
      <c r="K8" s="242"/>
      <c r="L8" s="242"/>
      <c r="M8" s="242"/>
      <c r="N8" s="242"/>
      <c r="O8" s="242"/>
      <c r="P8" s="242"/>
      <c r="Q8" s="242"/>
      <c r="R8" s="242"/>
      <c r="S8" s="242"/>
      <c r="T8" s="242"/>
      <c r="U8" s="242"/>
      <c r="V8" s="242"/>
      <c r="W8" s="242"/>
      <c r="X8" s="242"/>
      <c r="Y8" s="242"/>
      <c r="Z8" s="242"/>
      <c r="AA8" s="242"/>
    </row>
    <row r="9" spans="10:27" ht="18" customHeight="1" outlineLevel="1" x14ac:dyDescent="0.3">
      <c r="J9" s="242"/>
      <c r="K9" s="242"/>
      <c r="L9" s="242"/>
      <c r="M9" s="242"/>
      <c r="N9" s="242"/>
      <c r="O9" s="242"/>
      <c r="P9" s="242"/>
      <c r="Q9" s="242"/>
      <c r="R9" s="242"/>
      <c r="S9" s="242"/>
      <c r="T9" s="242"/>
      <c r="U9" s="242"/>
      <c r="V9" s="242"/>
      <c r="W9" s="242"/>
      <c r="X9" s="242"/>
      <c r="Y9" s="242"/>
      <c r="Z9" s="242"/>
      <c r="AA9" s="242"/>
    </row>
    <row r="10" spans="10:27" ht="18" customHeight="1" outlineLevel="1" x14ac:dyDescent="0.3">
      <c r="J10" s="242"/>
      <c r="K10" s="242"/>
      <c r="L10" s="242"/>
      <c r="M10" s="242"/>
      <c r="N10" s="242"/>
      <c r="O10" s="242"/>
      <c r="P10" s="242"/>
      <c r="Q10" s="242"/>
      <c r="R10" s="242"/>
      <c r="S10" s="242"/>
      <c r="T10" s="242"/>
      <c r="U10" s="242"/>
      <c r="V10" s="242"/>
      <c r="W10" s="242"/>
      <c r="X10" s="242"/>
      <c r="Y10" s="242"/>
      <c r="Z10" s="242"/>
      <c r="AA10" s="242"/>
    </row>
    <row r="11" spans="10:27" ht="18" customHeight="1" outlineLevel="1" x14ac:dyDescent="0.3">
      <c r="J11" s="242"/>
      <c r="K11" s="242"/>
      <c r="L11" s="242"/>
      <c r="M11" s="242"/>
      <c r="N11" s="242"/>
      <c r="O11" s="242"/>
      <c r="P11" s="242"/>
      <c r="Q11" s="242"/>
      <c r="R11" s="242"/>
      <c r="S11" s="242"/>
      <c r="T11" s="242"/>
      <c r="U11" s="242"/>
      <c r="V11" s="242"/>
      <c r="W11" s="242"/>
      <c r="X11" s="242"/>
      <c r="Y11" s="242"/>
      <c r="Z11" s="242"/>
      <c r="AA11" s="242"/>
    </row>
    <row r="12" spans="10:27" ht="18" customHeight="1" outlineLevel="1" x14ac:dyDescent="0.3">
      <c r="J12" s="242"/>
      <c r="K12" s="242"/>
      <c r="L12" s="242"/>
      <c r="M12" s="242"/>
      <c r="N12" s="242"/>
      <c r="O12" s="242"/>
      <c r="P12" s="242"/>
      <c r="Q12" s="242"/>
      <c r="R12" s="242"/>
      <c r="S12" s="242"/>
      <c r="T12" s="242"/>
      <c r="U12" s="242"/>
      <c r="V12" s="242"/>
      <c r="W12" s="242"/>
      <c r="X12" s="242"/>
      <c r="Y12" s="242"/>
      <c r="Z12" s="242"/>
      <c r="AA12" s="242"/>
    </row>
    <row r="13" spans="10:27" ht="18" customHeight="1" outlineLevel="1" x14ac:dyDescent="0.3">
      <c r="J13" s="242"/>
      <c r="K13" s="242"/>
      <c r="L13" s="242"/>
      <c r="M13" s="242"/>
      <c r="N13" s="242"/>
      <c r="O13" s="242"/>
      <c r="P13" s="242"/>
      <c r="Q13" s="242"/>
      <c r="R13" s="242"/>
      <c r="S13" s="242"/>
      <c r="T13" s="242"/>
      <c r="U13" s="242"/>
      <c r="V13" s="242"/>
      <c r="W13" s="242"/>
      <c r="X13" s="242"/>
      <c r="Y13" s="242"/>
      <c r="Z13" s="242"/>
      <c r="AA13" s="242"/>
    </row>
    <row r="14" spans="10:27" ht="18" customHeight="1" outlineLevel="1" x14ac:dyDescent="0.3">
      <c r="J14" s="242"/>
      <c r="K14" s="242"/>
      <c r="L14" s="242"/>
      <c r="M14" s="242"/>
      <c r="N14" s="242"/>
      <c r="O14" s="242"/>
      <c r="P14" s="242"/>
      <c r="Q14" s="242"/>
      <c r="R14" s="242"/>
      <c r="S14" s="242"/>
      <c r="T14" s="242"/>
      <c r="U14" s="242"/>
      <c r="V14" s="242"/>
      <c r="W14" s="242"/>
      <c r="X14" s="242"/>
      <c r="Y14" s="242"/>
      <c r="Z14" s="242"/>
      <c r="AA14" s="242"/>
    </row>
    <row r="15" spans="10:27" ht="18" customHeight="1" outlineLevel="1" x14ac:dyDescent="0.3">
      <c r="J15" s="242"/>
      <c r="K15" s="242"/>
      <c r="L15" s="242"/>
      <c r="M15" s="242"/>
      <c r="N15" s="242"/>
      <c r="O15" s="242"/>
      <c r="P15" s="242"/>
      <c r="Q15" s="242"/>
      <c r="R15" s="242"/>
      <c r="S15" s="242"/>
      <c r="T15" s="242"/>
      <c r="U15" s="242"/>
      <c r="V15" s="242"/>
      <c r="W15" s="242"/>
      <c r="X15" s="242"/>
      <c r="Y15" s="242"/>
      <c r="Z15" s="242"/>
      <c r="AA15" s="242"/>
    </row>
    <row r="16" spans="10:27" ht="18" customHeight="1" outlineLevel="1" x14ac:dyDescent="0.3">
      <c r="J16" s="242"/>
      <c r="K16" s="242"/>
      <c r="L16" s="242"/>
      <c r="M16" s="242"/>
      <c r="N16" s="242"/>
      <c r="O16" s="242"/>
      <c r="P16" s="242"/>
      <c r="Q16" s="242"/>
      <c r="R16" s="242"/>
      <c r="S16" s="242"/>
      <c r="T16" s="242"/>
      <c r="U16" s="242"/>
      <c r="V16" s="242"/>
      <c r="W16" s="242"/>
      <c r="X16" s="242"/>
      <c r="Y16" s="242"/>
      <c r="Z16" s="242"/>
      <c r="AA16" s="242"/>
    </row>
    <row r="17" spans="2:27" ht="18" customHeight="1" outlineLevel="1" x14ac:dyDescent="0.3">
      <c r="G17" s="97" t="s">
        <v>1127</v>
      </c>
      <c r="H17" t="s">
        <v>1130</v>
      </c>
      <c r="J17" s="242"/>
      <c r="K17" s="242"/>
      <c r="L17" s="242"/>
      <c r="M17" s="242"/>
      <c r="N17" s="242"/>
      <c r="O17" s="242"/>
      <c r="P17" s="242"/>
      <c r="Q17" s="242"/>
      <c r="R17" s="242"/>
      <c r="S17" s="242"/>
      <c r="T17" s="242"/>
      <c r="U17" s="242"/>
      <c r="V17" s="242"/>
      <c r="W17" s="242"/>
      <c r="X17" s="242"/>
      <c r="Y17" s="242"/>
      <c r="Z17" s="242"/>
      <c r="AA17" s="242"/>
    </row>
    <row r="18" spans="2:27" ht="18" customHeight="1" outlineLevel="1" x14ac:dyDescent="0.3">
      <c r="G18" s="97" t="s">
        <v>1128</v>
      </c>
      <c r="H18" t="s">
        <v>1126</v>
      </c>
      <c r="J18" s="242"/>
      <c r="K18" s="242"/>
      <c r="L18" s="242"/>
      <c r="M18" s="242"/>
      <c r="N18" s="242"/>
      <c r="O18" s="242"/>
      <c r="P18" s="242"/>
      <c r="Q18" s="242"/>
      <c r="R18" s="242"/>
      <c r="S18" s="242"/>
      <c r="T18" s="242"/>
      <c r="U18" s="242"/>
      <c r="V18" s="242"/>
      <c r="W18" s="242"/>
      <c r="X18" s="242"/>
      <c r="Y18" s="242"/>
      <c r="Z18" s="242"/>
      <c r="AA18" s="242"/>
    </row>
    <row r="19" spans="2:27" ht="18" customHeight="1" outlineLevel="1" x14ac:dyDescent="0.3">
      <c r="G19" s="97" t="s">
        <v>933</v>
      </c>
      <c r="H19" t="s">
        <v>1126</v>
      </c>
      <c r="J19" s="242"/>
      <c r="K19" s="242"/>
      <c r="L19" s="242"/>
      <c r="M19" s="242"/>
      <c r="N19" s="242"/>
      <c r="O19" s="242"/>
      <c r="P19" s="242"/>
      <c r="Q19" s="242"/>
      <c r="R19" s="242"/>
      <c r="S19" s="242"/>
      <c r="T19" s="242"/>
      <c r="U19" s="242"/>
      <c r="V19" s="242"/>
      <c r="W19" s="242"/>
      <c r="X19" s="242"/>
      <c r="Y19" s="242"/>
      <c r="Z19" s="242"/>
      <c r="AA19" s="242"/>
    </row>
    <row r="20" spans="2:27" ht="18" customHeight="1" x14ac:dyDescent="0.3">
      <c r="J20" s="242"/>
      <c r="K20" s="242"/>
      <c r="L20" s="242"/>
      <c r="M20" s="242"/>
      <c r="N20" s="242"/>
      <c r="O20" s="242"/>
      <c r="P20" s="242"/>
      <c r="Q20" s="242"/>
      <c r="R20" s="242"/>
      <c r="S20" s="242"/>
      <c r="T20" s="242"/>
      <c r="U20" s="242"/>
      <c r="V20" s="242"/>
      <c r="W20" s="242"/>
      <c r="X20" s="242"/>
      <c r="Y20" s="242"/>
      <c r="Z20" s="242"/>
      <c r="AA20" s="242"/>
    </row>
    <row r="21" spans="2:27" ht="16.5" x14ac:dyDescent="0.3">
      <c r="B21" s="97" t="s">
        <v>23</v>
      </c>
      <c r="C21" t="s">
        <v>1124</v>
      </c>
      <c r="D21" t="s">
        <v>1125</v>
      </c>
      <c r="E21" t="s">
        <v>69</v>
      </c>
      <c r="G21" s="97" t="s">
        <v>23</v>
      </c>
      <c r="H21" t="s">
        <v>1129</v>
      </c>
      <c r="J21" s="7" t="s">
        <v>3</v>
      </c>
      <c r="K21" s="7" t="s">
        <v>2</v>
      </c>
      <c r="L21" s="7" t="s">
        <v>1</v>
      </c>
      <c r="M21" s="7" t="s">
        <v>659</v>
      </c>
      <c r="N21" s="7" t="s">
        <v>1013</v>
      </c>
      <c r="O21" s="7" t="s">
        <v>660</v>
      </c>
      <c r="P21" s="7" t="s">
        <v>889</v>
      </c>
      <c r="Q21" s="7" t="s">
        <v>661</v>
      </c>
      <c r="R21" s="7" t="s">
        <v>798</v>
      </c>
      <c r="S21" s="46" t="s">
        <v>662</v>
      </c>
      <c r="T21" s="46" t="s">
        <v>663</v>
      </c>
      <c r="U21" s="46" t="s">
        <v>152</v>
      </c>
      <c r="V21" s="46" t="s">
        <v>905</v>
      </c>
      <c r="W21" s="46" t="s">
        <v>559</v>
      </c>
      <c r="X21" s="46" t="s">
        <v>657</v>
      </c>
      <c r="Y21" s="46" t="s">
        <v>933</v>
      </c>
      <c r="Z21" s="7" t="s">
        <v>1253</v>
      </c>
      <c r="AA21" s="7" t="s">
        <v>883</v>
      </c>
    </row>
    <row r="22" spans="2:27" ht="16.5" x14ac:dyDescent="0.3">
      <c r="B22" s="98" t="s">
        <v>1113</v>
      </c>
      <c r="C22" s="511">
        <v>1966666666.6666663</v>
      </c>
      <c r="D22" s="511">
        <v>505583333.33333331</v>
      </c>
      <c r="E22" s="511">
        <v>2472250000</v>
      </c>
      <c r="G22" s="98" t="s">
        <v>1110</v>
      </c>
      <c r="H22" s="511">
        <v>833333333.33333325</v>
      </c>
      <c r="J22" s="49">
        <f t="shared" ref="J22:J34" si="0">IFERROR(
IF(ISBLANK(L22),
DATE(K22,12,1),
DATE(K22,L22,1)),0)</f>
        <v>45931</v>
      </c>
      <c r="K22" s="242">
        <v>2025</v>
      </c>
      <c r="L22" s="242">
        <v>10</v>
      </c>
      <c r="M22" s="242" t="s">
        <v>1102</v>
      </c>
      <c r="N22" s="248" t="str">
        <f xml:space="preserve">
IFERROR(
VLOOKUP(
Table_VayNo_LichTra[[#This Row],[Khoản vay]],
Table_VayNo[],
COUNTA(Table_VayNo[[#Headers],[Mã khoản vay]:[Tần suất trả nợ]]),
0),
0)</f>
        <v>Một lần</v>
      </c>
      <c r="O22" s="306">
        <f xml:space="preserve">
IFERROR(
VLOOKUP(
Table_VayNo_LichTra[[#This Row],[Khoản vay]],
Table_VayNo[],
COUNTA(Table_VayNo[[#Headers],[Mã khoản vay]:[Ngày vay]]),
0),
0)</f>
        <v>45869</v>
      </c>
      <c r="P22" s="306">
        <f xml:space="preserve">
IFERROR(
VLOOKUP(
Table_VayNo_LichTra[[#This Row],[Khoản vay]],
Table_VayNo[],
COUNTA(Table_VayNo[[#Headers],[Mã khoản vay]:[Bắt đầu trả gốc]]),
0),
0)</f>
        <v>0</v>
      </c>
      <c r="Q22" s="306">
        <f xml:space="preserve">
IFERROR(
VLOOKUP(
Table_VayNo_LichTra[[#This Row],[Khoản vay]],
Table_VayNo[],
COUNTA(Table_VayNo[[#Headers],[Mã khoản vay]:[Kết thúc trả gốc]]),
0),
0)</f>
        <v>45960</v>
      </c>
      <c r="R22" s="456">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2"/>
    </row>
    <row r="23" spans="2:27" ht="16.5" x14ac:dyDescent="0.3">
      <c r="B23" s="513" t="s">
        <v>1116</v>
      </c>
      <c r="C23" s="511">
        <v>1666666666.6666667</v>
      </c>
      <c r="D23" s="511">
        <v>500000000</v>
      </c>
      <c r="E23" s="511">
        <v>2166666666.666667</v>
      </c>
      <c r="G23" s="98" t="s">
        <v>1107</v>
      </c>
      <c r="H23" s="511">
        <v>4083333.333333334</v>
      </c>
      <c r="J23" s="49">
        <f t="shared" si="0"/>
        <v>45901</v>
      </c>
      <c r="K23" s="242">
        <v>2025</v>
      </c>
      <c r="L23" s="242">
        <v>9</v>
      </c>
      <c r="M23" s="242" t="s">
        <v>1102</v>
      </c>
      <c r="N23" s="248" t="str">
        <f xml:space="preserve">
IFERROR(
VLOOKUP(
Table_VayNo_LichTra[[#This Row],[Khoản vay]],
Table_VayNo[],
COUNTA(Table_VayNo[[#Headers],[Mã khoản vay]:[Tần suất trả nợ]]),
0),
0)</f>
        <v>Một lần</v>
      </c>
      <c r="O23" s="306">
        <f xml:space="preserve">
IFERROR(
VLOOKUP(
Table_VayNo_LichTra[[#This Row],[Khoản vay]],
Table_VayNo[],
COUNTA(Table_VayNo[[#Headers],[Mã khoản vay]:[Ngày vay]]),
0),
0)</f>
        <v>45869</v>
      </c>
      <c r="P23" s="306">
        <f xml:space="preserve">
IFERROR(
VLOOKUP(
Table_VayNo_LichTra[[#This Row],[Khoản vay]],
Table_VayNo[],
COUNTA(Table_VayNo[[#Headers],[Mã khoản vay]:[Bắt đầu trả gốc]]),
0),
0)</f>
        <v>0</v>
      </c>
      <c r="Q23" s="306">
        <f xml:space="preserve">
IFERROR(
VLOOKUP(
Table_VayNo_LichTra[[#This Row],[Khoản vay]],
Table_VayNo[],
COUNTA(Table_VayNo[[#Headers],[Mã khoản vay]:[Kết thúc trả gốc]]),
0),
0)</f>
        <v>45960</v>
      </c>
      <c r="R23" s="456">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2"/>
    </row>
    <row r="24" spans="2:27" ht="18" customHeight="1" x14ac:dyDescent="0.3">
      <c r="B24" s="512">
        <v>45713</v>
      </c>
      <c r="C24" s="511">
        <v>1666666666.6666667</v>
      </c>
      <c r="D24" s="511">
        <v>500000000</v>
      </c>
      <c r="E24" s="511">
        <v>2166666666.666667</v>
      </c>
      <c r="G24" s="98" t="s">
        <v>1105</v>
      </c>
      <c r="H24" s="511">
        <v>52000000</v>
      </c>
      <c r="J24" s="49">
        <f t="shared" si="0"/>
        <v>45870</v>
      </c>
      <c r="K24" s="242">
        <v>2025</v>
      </c>
      <c r="L24" s="242">
        <v>8</v>
      </c>
      <c r="M24" s="242" t="s">
        <v>1102</v>
      </c>
      <c r="N24" s="248" t="str">
        <f xml:space="preserve">
IFERROR(
VLOOKUP(
Table_VayNo_LichTra[[#This Row],[Khoản vay]],
Table_VayNo[],
COUNTA(Table_VayNo[[#Headers],[Mã khoản vay]:[Tần suất trả nợ]]),
0),
0)</f>
        <v>Một lần</v>
      </c>
      <c r="O24" s="306">
        <f xml:space="preserve">
IFERROR(
VLOOKUP(
Table_VayNo_LichTra[[#This Row],[Khoản vay]],
Table_VayNo[],
COUNTA(Table_VayNo[[#Headers],[Mã khoản vay]:[Ngày vay]]),
0),
0)</f>
        <v>45869</v>
      </c>
      <c r="P24" s="306">
        <f xml:space="preserve">
IFERROR(
VLOOKUP(
Table_VayNo_LichTra[[#This Row],[Khoản vay]],
Table_VayNo[],
COUNTA(Table_VayNo[[#Headers],[Mã khoản vay]:[Bắt đầu trả gốc]]),
0),
0)</f>
        <v>0</v>
      </c>
      <c r="Q24" s="306">
        <f xml:space="preserve">
IFERROR(
VLOOKUP(
Table_VayNo_LichTra[[#This Row],[Khoản vay]],
Table_VayNo[],
COUNTA(Table_VayNo[[#Headers],[Mã khoản vay]:[Kết thúc trả gốc]]),
0),
0)</f>
        <v>45960</v>
      </c>
      <c r="R24" s="456">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2"/>
    </row>
    <row r="25" spans="2:27" ht="16.5" x14ac:dyDescent="0.3">
      <c r="B25" s="513" t="s">
        <v>1117</v>
      </c>
      <c r="C25" s="511">
        <v>33333333.333333332</v>
      </c>
      <c r="D25" s="511">
        <v>1166666.6666666667</v>
      </c>
      <c r="E25" s="511">
        <v>34500000</v>
      </c>
      <c r="G25" s="98" t="s">
        <v>1102</v>
      </c>
      <c r="H25" s="511">
        <v>1500000</v>
      </c>
      <c r="J25" s="49">
        <f t="shared" si="0"/>
        <v>46357</v>
      </c>
      <c r="K25" s="242">
        <v>2026</v>
      </c>
      <c r="L25" s="242"/>
      <c r="M25" s="242" t="s">
        <v>1105</v>
      </c>
      <c r="N25" s="248" t="str">
        <f xml:space="preserve">
IFERROR(
VLOOKUP(
Table_VayNo_LichTra[[#This Row],[Khoản vay]],
Table_VayNo[],
COUNTA(Table_VayNo[[#Headers],[Mã khoản vay]:[Tần suất trả nợ]]),
0),
0)</f>
        <v>Một lần</v>
      </c>
      <c r="O25" s="306">
        <f xml:space="preserve">
IFERROR(
VLOOKUP(
Table_VayNo_LichTra[[#This Row],[Khoản vay]],
Table_VayNo[],
COUNTA(Table_VayNo[[#Headers],[Mã khoản vay]:[Ngày vay]]),
0),
0)</f>
        <v>45792</v>
      </c>
      <c r="P25" s="306">
        <f xml:space="preserve">
IFERROR(
VLOOKUP(
Table_VayNo_LichTra[[#This Row],[Khoản vay]],
Table_VayNo[],
COUNTA(Table_VayNo[[#Headers],[Mã khoản vay]:[Bắt đầu trả gốc]]),
0),
0)</f>
        <v>0</v>
      </c>
      <c r="Q25" s="306">
        <f xml:space="preserve">
IFERROR(
VLOOKUP(
Table_VayNo_LichTra[[#This Row],[Khoản vay]],
Table_VayNo[],
COUNTA(Table_VayNo[[#Headers],[Mã khoản vay]:[Kết thúc trả gốc]]),
0),
0)</f>
        <v>46157</v>
      </c>
      <c r="R25" s="456">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2"/>
    </row>
    <row r="26" spans="2:27" ht="16.5" x14ac:dyDescent="0.3">
      <c r="B26" s="512">
        <v>45748</v>
      </c>
      <c r="C26" s="511">
        <v>33333333.333333332</v>
      </c>
      <c r="D26" s="511">
        <v>1166666.6666666667</v>
      </c>
      <c r="E26" s="511">
        <v>34500000</v>
      </c>
      <c r="G26" s="98" t="s">
        <v>1112</v>
      </c>
      <c r="H26" s="511">
        <v>890916666.66666663</v>
      </c>
      <c r="J26" s="49">
        <f t="shared" si="0"/>
        <v>45901</v>
      </c>
      <c r="K26" s="242">
        <v>2025</v>
      </c>
      <c r="L26" s="242">
        <v>9</v>
      </c>
      <c r="M26" s="242" t="s">
        <v>1107</v>
      </c>
      <c r="N26" s="248" t="str">
        <f xml:space="preserve">
IFERROR(
VLOOKUP(
Table_VayNo_LichTra[[#This Row],[Khoản vay]],
Table_VayNo[],
COUNTA(Table_VayNo[[#Headers],[Mã khoản vay]:[Tần suất trả nợ]]),
0),
0)</f>
        <v>Theo tháng</v>
      </c>
      <c r="O26" s="306">
        <f xml:space="preserve">
IFERROR(
VLOOKUP(
Table_VayNo_LichTra[[#This Row],[Khoản vay]],
Table_VayNo[],
COUNTA(Table_VayNo[[#Headers],[Mã khoản vay]:[Ngày vay]]),
0),
0)</f>
        <v>45718</v>
      </c>
      <c r="P26" s="306">
        <f xml:space="preserve">
IFERROR(
VLOOKUP(
Table_VayNo_LichTra[[#This Row],[Khoản vay]],
Table_VayNo[],
COUNTA(Table_VayNo[[#Headers],[Mã khoản vay]:[Bắt đầu trả gốc]]),
0),
0)</f>
        <v>45749</v>
      </c>
      <c r="Q26" s="306">
        <f xml:space="preserve">
IFERROR(
VLOOKUP(
Table_VayNo_LichTra[[#This Row],[Khoản vay]],
Table_VayNo[],
COUNTA(Table_VayNo[[#Headers],[Mã khoản vay]:[Kết thúc trả gốc]]),
0),
0)</f>
        <v>45901</v>
      </c>
      <c r="R26" s="456">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2"/>
    </row>
    <row r="27" spans="2:27" ht="16.5" x14ac:dyDescent="0.3">
      <c r="B27" s="513" t="s">
        <v>1118</v>
      </c>
      <c r="C27" s="511">
        <v>33333333.333333332</v>
      </c>
      <c r="D27" s="511">
        <v>972222.22222222236</v>
      </c>
      <c r="E27" s="511">
        <v>34305555.555555552</v>
      </c>
      <c r="J27" s="49">
        <f t="shared" si="0"/>
        <v>45870</v>
      </c>
      <c r="K27" s="242">
        <v>2025</v>
      </c>
      <c r="L27" s="242">
        <v>8</v>
      </c>
      <c r="M27" s="242" t="s">
        <v>1107</v>
      </c>
      <c r="N27" s="248" t="str">
        <f xml:space="preserve">
IFERROR(
VLOOKUP(
Table_VayNo_LichTra[[#This Row],[Khoản vay]],
Table_VayNo[],
COUNTA(Table_VayNo[[#Headers],[Mã khoản vay]:[Tần suất trả nợ]]),
0),
0)</f>
        <v>Theo tháng</v>
      </c>
      <c r="O27" s="306">
        <f xml:space="preserve">
IFERROR(
VLOOKUP(
Table_VayNo_LichTra[[#This Row],[Khoản vay]],
Table_VayNo[],
COUNTA(Table_VayNo[[#Headers],[Mã khoản vay]:[Ngày vay]]),
0),
0)</f>
        <v>45718</v>
      </c>
      <c r="P27" s="306">
        <f xml:space="preserve">
IFERROR(
VLOOKUP(
Table_VayNo_LichTra[[#This Row],[Khoản vay]],
Table_VayNo[],
COUNTA(Table_VayNo[[#Headers],[Mã khoản vay]:[Bắt đầu trả gốc]]),
0),
0)</f>
        <v>45749</v>
      </c>
      <c r="Q27" s="306">
        <f xml:space="preserve">
IFERROR(
VLOOKUP(
Table_VayNo_LichTra[[#This Row],[Khoản vay]],
Table_VayNo[],
COUNTA(Table_VayNo[[#Headers],[Mã khoản vay]:[Kết thúc trả gốc]]),
0),
0)</f>
        <v>45901</v>
      </c>
      <c r="R27" s="456">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2"/>
    </row>
    <row r="28" spans="2:27" ht="16.5" x14ac:dyDescent="0.3">
      <c r="B28" s="512">
        <v>45778</v>
      </c>
      <c r="C28" s="511">
        <v>33333333.333333332</v>
      </c>
      <c r="D28" s="511">
        <v>972222.22222222236</v>
      </c>
      <c r="E28" s="511">
        <v>34305555.555555552</v>
      </c>
      <c r="J28" s="49">
        <f t="shared" si="0"/>
        <v>45839</v>
      </c>
      <c r="K28" s="242">
        <v>2025</v>
      </c>
      <c r="L28" s="242">
        <v>7</v>
      </c>
      <c r="M28" s="242" t="s">
        <v>1107</v>
      </c>
      <c r="N28" s="248" t="str">
        <f xml:space="preserve">
IFERROR(
VLOOKUP(
Table_VayNo_LichTra[[#This Row],[Khoản vay]],
Table_VayNo[],
COUNTA(Table_VayNo[[#Headers],[Mã khoản vay]:[Tần suất trả nợ]]),
0),
0)</f>
        <v>Theo tháng</v>
      </c>
      <c r="O28" s="306">
        <f xml:space="preserve">
IFERROR(
VLOOKUP(
Table_VayNo_LichTra[[#This Row],[Khoản vay]],
Table_VayNo[],
COUNTA(Table_VayNo[[#Headers],[Mã khoản vay]:[Ngày vay]]),
0),
0)</f>
        <v>45718</v>
      </c>
      <c r="P28" s="306">
        <f xml:space="preserve">
IFERROR(
VLOOKUP(
Table_VayNo_LichTra[[#This Row],[Khoản vay]],
Table_VayNo[],
COUNTA(Table_VayNo[[#Headers],[Mã khoản vay]:[Bắt đầu trả gốc]]),
0),
0)</f>
        <v>45749</v>
      </c>
      <c r="Q28" s="306">
        <f xml:space="preserve">
IFERROR(
VLOOKUP(
Table_VayNo_LichTra[[#This Row],[Khoản vay]],
Table_VayNo[],
COUNTA(Table_VayNo[[#Headers],[Mã khoản vay]:[Kết thúc trả gốc]]),
0),
0)</f>
        <v>45901</v>
      </c>
      <c r="R28" s="456">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2"/>
    </row>
    <row r="29" spans="2:27" ht="16.5" x14ac:dyDescent="0.3">
      <c r="B29" s="513" t="s">
        <v>1119</v>
      </c>
      <c r="C29" s="511">
        <v>33333333.333333332</v>
      </c>
      <c r="D29" s="511">
        <v>777777.77777777798</v>
      </c>
      <c r="E29" s="511">
        <v>34111111.111111112</v>
      </c>
      <c r="J29" s="49">
        <f t="shared" si="0"/>
        <v>45809</v>
      </c>
      <c r="K29" s="242">
        <v>2025</v>
      </c>
      <c r="L29" s="242">
        <v>6</v>
      </c>
      <c r="M29" s="242" t="s">
        <v>1107</v>
      </c>
      <c r="N29" s="248" t="str">
        <f xml:space="preserve">
IFERROR(
VLOOKUP(
Table_VayNo_LichTra[[#This Row],[Khoản vay]],
Table_VayNo[],
COUNTA(Table_VayNo[[#Headers],[Mã khoản vay]:[Tần suất trả nợ]]),
0),
0)</f>
        <v>Theo tháng</v>
      </c>
      <c r="O29" s="306">
        <f xml:space="preserve">
IFERROR(
VLOOKUP(
Table_VayNo_LichTra[[#This Row],[Khoản vay]],
Table_VayNo[],
COUNTA(Table_VayNo[[#Headers],[Mã khoản vay]:[Ngày vay]]),
0),
0)</f>
        <v>45718</v>
      </c>
      <c r="P29" s="306">
        <f xml:space="preserve">
IFERROR(
VLOOKUP(
Table_VayNo_LichTra[[#This Row],[Khoản vay]],
Table_VayNo[],
COUNTA(Table_VayNo[[#Headers],[Mã khoản vay]:[Bắt đầu trả gốc]]),
0),
0)</f>
        <v>45749</v>
      </c>
      <c r="Q29" s="306">
        <f xml:space="preserve">
IFERROR(
VLOOKUP(
Table_VayNo_LichTra[[#This Row],[Khoản vay]],
Table_VayNo[],
COUNTA(Table_VayNo[[#Headers],[Mã khoản vay]:[Kết thúc trả gốc]]),
0),
0)</f>
        <v>45901</v>
      </c>
      <c r="R29" s="456">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2"/>
    </row>
    <row r="30" spans="2:27" ht="16.5" x14ac:dyDescent="0.3">
      <c r="B30" s="512">
        <v>45809</v>
      </c>
      <c r="C30" s="511">
        <v>33333333.333333332</v>
      </c>
      <c r="D30" s="511">
        <v>777777.77777777798</v>
      </c>
      <c r="E30" s="511">
        <v>34111111.111111112</v>
      </c>
      <c r="J30" s="49">
        <f t="shared" si="0"/>
        <v>45778</v>
      </c>
      <c r="K30" s="242">
        <v>2025</v>
      </c>
      <c r="L30" s="242">
        <v>5</v>
      </c>
      <c r="M30" s="242" t="s">
        <v>1107</v>
      </c>
      <c r="N30" s="248" t="str">
        <f xml:space="preserve">
IFERROR(
VLOOKUP(
Table_VayNo_LichTra[[#This Row],[Khoản vay]],
Table_VayNo[],
COUNTA(Table_VayNo[[#Headers],[Mã khoản vay]:[Tần suất trả nợ]]),
0),
0)</f>
        <v>Theo tháng</v>
      </c>
      <c r="O30" s="306">
        <f xml:space="preserve">
IFERROR(
VLOOKUP(
Table_VayNo_LichTra[[#This Row],[Khoản vay]],
Table_VayNo[],
COUNTA(Table_VayNo[[#Headers],[Mã khoản vay]:[Ngày vay]]),
0),
0)</f>
        <v>45718</v>
      </c>
      <c r="P30" s="306">
        <f xml:space="preserve">
IFERROR(
VLOOKUP(
Table_VayNo_LichTra[[#This Row],[Khoản vay]],
Table_VayNo[],
COUNTA(Table_VayNo[[#Headers],[Mã khoản vay]:[Bắt đầu trả gốc]]),
0),
0)</f>
        <v>45749</v>
      </c>
      <c r="Q30" s="306">
        <f xml:space="preserve">
IFERROR(
VLOOKUP(
Table_VayNo_LichTra[[#This Row],[Khoản vay]],
Table_VayNo[],
COUNTA(Table_VayNo[[#Headers],[Mã khoản vay]:[Kết thúc trả gốc]]),
0),
0)</f>
        <v>45901</v>
      </c>
      <c r="R30" s="456">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2"/>
    </row>
    <row r="31" spans="2:27" ht="16.5" x14ac:dyDescent="0.3">
      <c r="B31" s="513" t="s">
        <v>1120</v>
      </c>
      <c r="C31" s="511">
        <v>33333333.333333332</v>
      </c>
      <c r="D31" s="511">
        <v>583333.33333333337</v>
      </c>
      <c r="E31" s="511">
        <v>33916666.666666664</v>
      </c>
      <c r="G31"/>
      <c r="H31"/>
      <c r="J31" s="49">
        <f t="shared" si="0"/>
        <v>45748</v>
      </c>
      <c r="K31" s="242">
        <v>2025</v>
      </c>
      <c r="L31" s="242">
        <v>4</v>
      </c>
      <c r="M31" s="242" t="s">
        <v>1107</v>
      </c>
      <c r="N31" s="248" t="str">
        <f xml:space="preserve">
IFERROR(
VLOOKUP(
Table_VayNo_LichTra[[#This Row],[Khoản vay]],
Table_VayNo[],
COUNTA(Table_VayNo[[#Headers],[Mã khoản vay]:[Tần suất trả nợ]]),
0),
0)</f>
        <v>Theo tháng</v>
      </c>
      <c r="O31" s="306">
        <f xml:space="preserve">
IFERROR(
VLOOKUP(
Table_VayNo_LichTra[[#This Row],[Khoản vay]],
Table_VayNo[],
COUNTA(Table_VayNo[[#Headers],[Mã khoản vay]:[Ngày vay]]),
0),
0)</f>
        <v>45718</v>
      </c>
      <c r="P31" s="306">
        <f xml:space="preserve">
IFERROR(
VLOOKUP(
Table_VayNo_LichTra[[#This Row],[Khoản vay]],
Table_VayNo[],
COUNTA(Table_VayNo[[#Headers],[Mã khoản vay]:[Bắt đầu trả gốc]]),
0),
0)</f>
        <v>45749</v>
      </c>
      <c r="Q31" s="306">
        <f xml:space="preserve">
IFERROR(
VLOOKUP(
Table_VayNo_LichTra[[#This Row],[Khoản vay]],
Table_VayNo[],
COUNTA(Table_VayNo[[#Headers],[Mã khoản vay]:[Kết thúc trả gốc]]),
0),
0)</f>
        <v>45901</v>
      </c>
      <c r="R31" s="456">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2"/>
    </row>
    <row r="32" spans="2:27" ht="16.5" x14ac:dyDescent="0.3">
      <c r="B32" s="512">
        <v>45839</v>
      </c>
      <c r="C32" s="511">
        <v>33333333.333333332</v>
      </c>
      <c r="D32" s="511">
        <v>583333.33333333337</v>
      </c>
      <c r="E32" s="511">
        <v>33916666.666666664</v>
      </c>
      <c r="G32"/>
      <c r="H32"/>
      <c r="J32" s="49">
        <f t="shared" si="0"/>
        <v>46722</v>
      </c>
      <c r="K32" s="242">
        <v>2027</v>
      </c>
      <c r="L32" s="242"/>
      <c r="M32" s="242" t="s">
        <v>1110</v>
      </c>
      <c r="N32" s="248" t="str">
        <f xml:space="preserve">
IFERROR(
VLOOKUP(
Table_VayNo_LichTra[[#This Row],[Khoản vay]],
Table_VayNo[],
COUNTA(Table_VayNo[[#Headers],[Mã khoản vay]:[Tần suất trả nợ]]),
0),
0)</f>
        <v>Theo năm</v>
      </c>
      <c r="O32" s="306">
        <f xml:space="preserve">
IFERROR(
VLOOKUP(
Table_VayNo_LichTra[[#This Row],[Khoản vay]],
Table_VayNo[],
COUNTA(Table_VayNo[[#Headers],[Mã khoản vay]:[Ngày vay]]),
0),
0)</f>
        <v>45346</v>
      </c>
      <c r="P32" s="306">
        <f xml:space="preserve">
IFERROR(
VLOOKUP(
Table_VayNo_LichTra[[#This Row],[Khoản vay]],
Table_VayNo[],
COUNTA(Table_VayNo[[#Headers],[Mã khoản vay]:[Bắt đầu trả gốc]]),
0),
0)</f>
        <v>45712</v>
      </c>
      <c r="Q32" s="306">
        <f xml:space="preserve">
IFERROR(
VLOOKUP(
Table_VayNo_LichTra[[#This Row],[Khoản vay]],
Table_VayNo[],
COUNTA(Table_VayNo[[#Headers],[Mã khoản vay]:[Kết thúc trả gốc]]),
0),
0)</f>
        <v>46443</v>
      </c>
      <c r="R32" s="456">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2"/>
    </row>
    <row r="33" spans="2:27" ht="16.5" x14ac:dyDescent="0.3">
      <c r="B33" s="513" t="s">
        <v>1121</v>
      </c>
      <c r="C33" s="511">
        <v>33333333.333333332</v>
      </c>
      <c r="D33" s="511">
        <v>888888.88888888899</v>
      </c>
      <c r="E33" s="511">
        <v>34222222.222222224</v>
      </c>
      <c r="G33"/>
      <c r="H33"/>
      <c r="J33" s="49">
        <f t="shared" si="0"/>
        <v>46357</v>
      </c>
      <c r="K33" s="242">
        <v>2026</v>
      </c>
      <c r="L33" s="242"/>
      <c r="M33" s="242" t="s">
        <v>1110</v>
      </c>
      <c r="N33" s="248" t="str">
        <f xml:space="preserve">
IFERROR(
VLOOKUP(
Table_VayNo_LichTra[[#This Row],[Khoản vay]],
Table_VayNo[],
COUNTA(Table_VayNo[[#Headers],[Mã khoản vay]:[Tần suất trả nợ]]),
0),
0)</f>
        <v>Theo năm</v>
      </c>
      <c r="O33" s="306">
        <f xml:space="preserve">
IFERROR(
VLOOKUP(
Table_VayNo_LichTra[[#This Row],[Khoản vay]],
Table_VayNo[],
COUNTA(Table_VayNo[[#Headers],[Mã khoản vay]:[Ngày vay]]),
0),
0)</f>
        <v>45346</v>
      </c>
      <c r="P33" s="306">
        <f xml:space="preserve">
IFERROR(
VLOOKUP(
Table_VayNo_LichTra[[#This Row],[Khoản vay]],
Table_VayNo[],
COUNTA(Table_VayNo[[#Headers],[Mã khoản vay]:[Bắt đầu trả gốc]]),
0),
0)</f>
        <v>45712</v>
      </c>
      <c r="Q33" s="306">
        <f xml:space="preserve">
IFERROR(
VLOOKUP(
Table_VayNo_LichTra[[#This Row],[Khoản vay]],
Table_VayNo[],
COUNTA(Table_VayNo[[#Headers],[Mã khoản vay]:[Kết thúc trả gốc]]),
0),
0)</f>
        <v>46443</v>
      </c>
      <c r="R33" s="456">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2"/>
    </row>
    <row r="34" spans="2:27" ht="16.5" x14ac:dyDescent="0.3">
      <c r="B34" s="512">
        <v>45870</v>
      </c>
      <c r="C34" s="511">
        <v>33333333.333333332</v>
      </c>
      <c r="D34" s="511">
        <v>388888.88888888899</v>
      </c>
      <c r="E34" s="511">
        <v>33722222.222222224</v>
      </c>
      <c r="G34"/>
      <c r="H34"/>
      <c r="J34" s="49">
        <f t="shared" si="0"/>
        <v>45992</v>
      </c>
      <c r="K34" s="242">
        <v>2025</v>
      </c>
      <c r="L34" s="242"/>
      <c r="M34" s="242" t="s">
        <v>1110</v>
      </c>
      <c r="N34" s="248" t="str">
        <f xml:space="preserve">
IFERROR(
VLOOKUP(
Table_VayNo_LichTra[[#This Row],[Khoản vay]],
Table_VayNo[],
COUNTA(Table_VayNo[[#Headers],[Mã khoản vay]:[Tần suất trả nợ]]),
0),
0)</f>
        <v>Theo năm</v>
      </c>
      <c r="O34" s="306">
        <f xml:space="preserve">
IFERROR(
VLOOKUP(
Table_VayNo_LichTra[[#This Row],[Khoản vay]],
Table_VayNo[],
COUNTA(Table_VayNo[[#Headers],[Mã khoản vay]:[Ngày vay]]),
0),
0)</f>
        <v>45346</v>
      </c>
      <c r="P34" s="306">
        <f xml:space="preserve">
IFERROR(
VLOOKUP(
Table_VayNo_LichTra[[#This Row],[Khoản vay]],
Table_VayNo[],
COUNTA(Table_VayNo[[#Headers],[Mã khoản vay]:[Bắt đầu trả gốc]]),
0),
0)</f>
        <v>45712</v>
      </c>
      <c r="Q34" s="306">
        <f xml:space="preserve">
IFERROR(
VLOOKUP(
Table_VayNo_LichTra[[#This Row],[Khoản vay]],
Table_VayNo[],
COUNTA(Table_VayNo[[#Headers],[Mã khoản vay]:[Kết thúc trả gốc]]),
0),
0)</f>
        <v>46443</v>
      </c>
      <c r="R34" s="456">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2"/>
    </row>
    <row r="35" spans="2:27" ht="16.5" x14ac:dyDescent="0.3">
      <c r="B35" s="512">
        <v>45900</v>
      </c>
      <c r="C35" s="511">
        <v>0</v>
      </c>
      <c r="D35" s="511">
        <v>500000</v>
      </c>
      <c r="E35" s="511">
        <v>500000</v>
      </c>
      <c r="G35"/>
      <c r="H35"/>
    </row>
    <row r="36" spans="2:27" ht="16.5" x14ac:dyDescent="0.3">
      <c r="B36" s="513" t="s">
        <v>1122</v>
      </c>
      <c r="C36" s="511">
        <v>33333333.333333332</v>
      </c>
      <c r="D36" s="511">
        <v>194444.44444444453</v>
      </c>
      <c r="E36" s="511">
        <v>33527777.777777776</v>
      </c>
      <c r="G36"/>
      <c r="H36"/>
    </row>
    <row r="37" spans="2:27" ht="16.5" x14ac:dyDescent="0.3">
      <c r="B37" s="512">
        <v>45901</v>
      </c>
      <c r="C37" s="511">
        <v>33333333.333333332</v>
      </c>
      <c r="D37" s="511">
        <v>194444.44444444453</v>
      </c>
      <c r="E37" s="511">
        <v>33527777.777777776</v>
      </c>
      <c r="G37"/>
      <c r="H37"/>
    </row>
    <row r="38" spans="2:27" ht="16.5" x14ac:dyDescent="0.3">
      <c r="B38" s="513" t="s">
        <v>1123</v>
      </c>
      <c r="C38" s="511">
        <v>100000000</v>
      </c>
      <c r="D38" s="511">
        <v>1000000</v>
      </c>
      <c r="E38" s="511">
        <v>101000000</v>
      </c>
      <c r="G38"/>
      <c r="H38"/>
    </row>
    <row r="39" spans="2:27" ht="16.5" x14ac:dyDescent="0.3">
      <c r="B39" s="512">
        <v>45931</v>
      </c>
      <c r="C39" s="511">
        <v>0</v>
      </c>
      <c r="D39" s="511">
        <v>500000</v>
      </c>
      <c r="E39" s="511">
        <v>500000</v>
      </c>
      <c r="G39"/>
      <c r="H39"/>
      <c r="T39" s="22"/>
    </row>
    <row r="40" spans="2:27" ht="16.5" x14ac:dyDescent="0.3">
      <c r="B40" s="512">
        <v>45961</v>
      </c>
      <c r="C40" s="511">
        <v>100000000</v>
      </c>
      <c r="D40" s="511">
        <v>500000</v>
      </c>
      <c r="E40" s="511">
        <v>100500000</v>
      </c>
      <c r="G40"/>
      <c r="H40"/>
    </row>
    <row r="41" spans="2:27" ht="16.5" x14ac:dyDescent="0.3">
      <c r="B41" s="98" t="s">
        <v>1114</v>
      </c>
      <c r="C41" s="511">
        <v>2316666666.666667</v>
      </c>
      <c r="D41" s="511">
        <v>385333333.33333331</v>
      </c>
      <c r="E41" s="511">
        <v>2702000000</v>
      </c>
      <c r="G41"/>
      <c r="H41"/>
    </row>
    <row r="42" spans="2:27" ht="16.5" x14ac:dyDescent="0.3">
      <c r="B42" s="513" t="s">
        <v>1116</v>
      </c>
      <c r="C42" s="511">
        <v>1666666666.6666667</v>
      </c>
      <c r="D42" s="511">
        <v>333333333.33333331</v>
      </c>
      <c r="E42" s="511">
        <v>2000000000</v>
      </c>
      <c r="G42"/>
      <c r="H42"/>
      <c r="W42" s="211"/>
    </row>
    <row r="43" spans="2:27" ht="16.5" x14ac:dyDescent="0.3">
      <c r="B43" s="512">
        <v>46078</v>
      </c>
      <c r="C43" s="511">
        <v>1666666666.6666667</v>
      </c>
      <c r="D43" s="511">
        <v>333333333.33333331</v>
      </c>
      <c r="E43" s="511">
        <v>2000000000</v>
      </c>
      <c r="T43" s="211"/>
    </row>
    <row r="44" spans="2:27" ht="16.5" x14ac:dyDescent="0.3">
      <c r="B44" s="513" t="s">
        <v>1118</v>
      </c>
      <c r="C44" s="511">
        <v>650000000</v>
      </c>
      <c r="D44" s="511">
        <v>52000000</v>
      </c>
      <c r="E44" s="511">
        <v>702000000</v>
      </c>
    </row>
    <row r="45" spans="2:27" ht="16.5" x14ac:dyDescent="0.3">
      <c r="B45" s="512">
        <v>46157</v>
      </c>
      <c r="C45" s="511">
        <v>650000000</v>
      </c>
      <c r="D45" s="511">
        <v>52000000</v>
      </c>
      <c r="E45" s="511">
        <v>702000000</v>
      </c>
    </row>
    <row r="46" spans="2:27" ht="16.5" x14ac:dyDescent="0.3">
      <c r="B46" s="98" t="s">
        <v>1115</v>
      </c>
      <c r="C46" s="511">
        <v>1666666666.6666665</v>
      </c>
      <c r="D46" s="511">
        <v>27777777.777777776</v>
      </c>
      <c r="E46" s="511">
        <v>1694444444.4444442</v>
      </c>
      <c r="U46" s="211"/>
      <c r="X46" s="211"/>
    </row>
    <row r="47" spans="2:27" ht="16.5" x14ac:dyDescent="0.3">
      <c r="B47" s="513" t="s">
        <v>1116</v>
      </c>
      <c r="C47" s="511">
        <v>1666666666.6666665</v>
      </c>
      <c r="D47" s="511">
        <v>27777777.777777776</v>
      </c>
      <c r="E47" s="511">
        <v>1694444444.4444442</v>
      </c>
    </row>
    <row r="48" spans="2:27" ht="16.5" x14ac:dyDescent="0.3">
      <c r="B48" s="512">
        <v>46443</v>
      </c>
      <c r="C48" s="511">
        <v>1666666666.6666665</v>
      </c>
      <c r="D48" s="511">
        <v>27777777.777777776</v>
      </c>
      <c r="E48" s="511">
        <v>1694444444.4444442</v>
      </c>
    </row>
    <row r="49" spans="2:5" ht="16.5" x14ac:dyDescent="0.3">
      <c r="B49" s="98" t="s">
        <v>1112</v>
      </c>
      <c r="C49" s="511">
        <v>5950000000</v>
      </c>
      <c r="D49" s="511">
        <v>918694444.44444442</v>
      </c>
      <c r="E49" s="511">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2"/>
      <c r="C1" s="242"/>
      <c r="D1" s="242"/>
      <c r="E1" s="242"/>
      <c r="F1" s="243"/>
      <c r="G1" s="242"/>
      <c r="H1" s="242"/>
      <c r="I1" s="242"/>
      <c r="J1" s="242"/>
      <c r="K1" s="242"/>
    </row>
    <row r="2" spans="2:11" ht="18" customHeight="1" x14ac:dyDescent="0.3">
      <c r="B2" s="242"/>
      <c r="C2" s="242"/>
      <c r="D2" s="242"/>
      <c r="E2" s="242"/>
      <c r="F2" s="242"/>
      <c r="G2" s="242"/>
      <c r="H2" s="242"/>
      <c r="I2" s="242"/>
      <c r="J2" s="242"/>
      <c r="K2" s="242"/>
    </row>
    <row r="3" spans="2:11" ht="18" customHeight="1" x14ac:dyDescent="0.3">
      <c r="B3" s="7" t="s">
        <v>3</v>
      </c>
      <c r="C3" s="7" t="s">
        <v>2</v>
      </c>
      <c r="D3" s="7" t="s">
        <v>1</v>
      </c>
      <c r="E3" s="7" t="s">
        <v>664</v>
      </c>
      <c r="F3" s="46" t="s">
        <v>665</v>
      </c>
      <c r="G3" s="46" t="s">
        <v>666</v>
      </c>
      <c r="H3" s="46" t="s">
        <v>553</v>
      </c>
      <c r="I3" s="46" t="s">
        <v>667</v>
      </c>
      <c r="J3" s="7" t="s">
        <v>883</v>
      </c>
      <c r="K3" s="7" t="s">
        <v>1253</v>
      </c>
    </row>
    <row r="4" spans="2:11" ht="18" customHeight="1" x14ac:dyDescent="0.3">
      <c r="B4" s="49">
        <f>IFERROR(
IF(ISBLANK(D4),
DATE(C4,12,1),
DATE(C4,D4,1)),0)</f>
        <v>336</v>
      </c>
      <c r="C4" s="242"/>
      <c r="D4" s="242"/>
      <c r="E4" s="242"/>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7"/>
      <c r="K4" s="308"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U81"/>
  <sheetViews>
    <sheetView showGridLines="0" zoomScaleNormal="100" workbookViewId="0">
      <selection activeCell="A2" sqref="A2"/>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7.375" style="7" customWidth="1" outlineLevel="1"/>
    <col min="33" max="33" width="7.875" style="44" customWidth="1" outlineLevel="1"/>
    <col min="34" max="34" width="9" style="44" customWidth="1" outlineLevel="1"/>
    <col min="35" max="38" width="9" style="7" customWidth="1" outlineLevel="1"/>
    <col min="39" max="39" width="15.875" style="7" customWidth="1"/>
    <col min="40" max="40" width="6.75" style="7" bestFit="1" customWidth="1" collapsed="1"/>
    <col min="41" max="45" width="9" style="7" hidden="1" customWidth="1" outlineLevel="1"/>
    <col min="46" max="46" width="11" style="7" hidden="1" customWidth="1" outlineLevel="1"/>
    <col min="47" max="47" width="12.75" style="7" hidden="1" customWidth="1" outlineLevel="1"/>
    <col min="48" max="16384" width="9" style="7"/>
  </cols>
  <sheetData>
    <row r="1" spans="1:47" ht="22.5" customHeight="1" x14ac:dyDescent="0.15">
      <c r="A1" s="21"/>
      <c r="K1" s="7"/>
      <c r="L1" s="44"/>
      <c r="M1" s="44"/>
      <c r="N1" s="44"/>
      <c r="O1" s="7"/>
      <c r="Q1" s="44"/>
      <c r="AD1" s="7"/>
      <c r="AF1" s="44"/>
      <c r="AH1" s="7"/>
    </row>
    <row r="2" spans="1:47" ht="18" customHeight="1" x14ac:dyDescent="0.15">
      <c r="A2" s="21"/>
      <c r="K2" s="7"/>
      <c r="L2" s="44"/>
      <c r="M2" s="44"/>
      <c r="N2" s="44"/>
      <c r="O2" s="7"/>
      <c r="Q2" s="44"/>
      <c r="AD2" s="7"/>
      <c r="AF2" s="44"/>
      <c r="AH2" s="7"/>
    </row>
    <row r="3" spans="1:47" s="21" customFormat="1" ht="18" customHeight="1" x14ac:dyDescent="0.3">
      <c r="B3" s="237"/>
      <c r="C3" s="238"/>
      <c r="D3" s="536">
        <f>IF(ISBLANK(B3),C3,B3)</f>
        <v>0</v>
      </c>
      <c r="E3" s="420"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20"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20"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20"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20">
        <f>IFERROR(G3/E3,0)</f>
        <v>0</v>
      </c>
      <c r="J3" s="420">
        <f>IFERROR(H3/F3,0)</f>
        <v>0</v>
      </c>
      <c r="K3" s="415"/>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4"/>
      <c r="R3" s="239"/>
      <c r="S3" s="538">
        <f>IFERROR(VLOOKUP(R3,Table_DonMua[[Mã Đơn mua]:[Add]],COUNTA(Table_DonMua[[#Headers],[Mã Đơn mua]:[Mã Đối tác]]),0),0)</f>
        <v>0</v>
      </c>
      <c r="T3" s="409"/>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6"/>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48">
        <f xml:space="preserve">
IF(X3="", 0,
IFERROR(
VLOOKUP(B3,Table_SKU[[Mã SKU]:[Tỷ suất VAT]],COUNTA(Table_SKU[[#Headers],[Mã SKU]:[Tỷ suất VAT]]),0),0)*AE3)</f>
        <v>0</v>
      </c>
      <c r="AG3" s="226">
        <f>IFERROR(VLOOKUP(X3,Table_DonBan[[Mã Đơn bán]:[Add]],COUNTA(Table_DonBan[[#Headers],[Mã Đơn bán]:[Mã NV]]),0),0)</f>
        <v>0</v>
      </c>
      <c r="AH3" s="66" cm="1">
        <f t="array" ref="AH3">IF(ISBLANK(X3),0,
IFERROR(
IFERROR(
IFERROR(
MAX(_xlfn._xlws.FILTER(Table_HoaHong[Tỷ lệ],
(Table_HoaHong[Đối tượng] = "Nhân viên") *
(NOT(ISBLANK(Table_HoaHong[SKU] )))*
(Table_HoaHong[SKU] = B3) *
(NOT(ISBLANK(Table_HoaHong[Mã Nhân viên] )))*
(Table_HoaHong[Mã Nhân viên] = AG3)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AG3)
))
),0))</f>
        <v>0</v>
      </c>
      <c r="AI3" s="48">
        <f>IFERROR(AH3*AE3,"")</f>
        <v>0</v>
      </c>
      <c r="AJ3" s="48">
        <f>IFERROR(VLOOKUP(X3,Table_DonBan[[Mã Đơn bán]:[Add]],COUNTA(Table_DonBan[[#Headers],[Mã Đơn bán]:[Kênh]]),0),0)</f>
        <v>0</v>
      </c>
      <c r="AK3" s="64" cm="1">
        <f t="array" ref="AK3">IF(ISBLANK(X3),0,
IFERROR(
IFERROR(
IFERROR(
MAX(_xlfn._xlws.FILTER(Table_HoaHong[Tỷ lệ],
(Table_HoaHong[Đối tượng] = "Kênh") *
(NOT(ISBLANK(Table_HoaHong[SKU] )))*
(Table_HoaHong[SKU] = B3) *
(NOT(ISBLANK(Table_HoaHong[Mã Kênh] )))*
(Table_HoaHong[Mã Kênh] =AJ3)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AJ3)
))
),0))</f>
        <v>0</v>
      </c>
      <c r="AL3" s="48">
        <f>IFERROR(AE3*AK3,"")</f>
        <v>0</v>
      </c>
      <c r="AM3" s="236"/>
      <c r="AN3" s="232"/>
      <c r="AO3" s="21">
        <f>AP3*AQ3*AR3*AS3*AT3*AU3</f>
        <v>1</v>
      </c>
      <c r="AP3" s="21">
        <f xml:space="preserve">
IF(ISBLANK( $AB$3),1,
IF(VLOOKUP( $AB$3,Table_ChuongTrinh[[Mã Chương trình]:[Đối tượng CK]],Sheet_ChuongTrinh!$C$1,0) = "Sản phẩm",1,0))</f>
        <v>1</v>
      </c>
      <c r="AQ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R3" s="21">
        <f>IF(ISBLANK( $AB$3),
1,
IF(ISBLANK(VLOOKUP( $AB$3,Table_ChuongTrinh[],Sheet_ChuongTrinh!$J$1,0)),
1,
IF(AE3&gt;= VLOOKUP( $AB$3,Table_ChuongTrinh[],Sheet_ChuongTrinh!$J$1,0),
1,
0)))</f>
        <v>1</v>
      </c>
      <c r="AS3" s="21">
        <f>IF(ISBLANK( $AB$3),
1,
IF(ISBLANK(VLOOKUP( $AB$3,Table_ChuongTrinh[],Sheet_ChuongTrinh!$I$1,0)),
1,
IF(COUNTIF(Table_Main[Chương trình], $AB$3)+1
&lt;= VLOOKUP( $AB$3,Table_ChuongTrinh[],Sheet_ChuongTrinh!$I$1,0),
1,
0)))</f>
        <v>1</v>
      </c>
      <c r="AT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U3" s="21" cm="1">
        <f t="array" ref="AU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7" ht="18" customHeight="1" x14ac:dyDescent="0.3">
      <c r="B4" s="46" t="s">
        <v>31</v>
      </c>
      <c r="C4" s="46" t="s">
        <v>679</v>
      </c>
      <c r="D4" s="46" t="s">
        <v>886</v>
      </c>
      <c r="E4" s="46" t="s">
        <v>1021</v>
      </c>
      <c r="F4" s="46" t="s">
        <v>1022</v>
      </c>
      <c r="G4" s="46" t="s">
        <v>1023</v>
      </c>
      <c r="H4" s="46" t="s">
        <v>1024</v>
      </c>
      <c r="I4" s="46" t="s">
        <v>1025</v>
      </c>
      <c r="J4" s="46" t="s">
        <v>1026</v>
      </c>
      <c r="K4" s="46" t="s">
        <v>680</v>
      </c>
      <c r="L4" s="46" t="s">
        <v>548</v>
      </c>
      <c r="M4" s="46" t="s">
        <v>681</v>
      </c>
      <c r="N4" s="46" t="s">
        <v>1249</v>
      </c>
      <c r="O4" s="46" t="s">
        <v>32</v>
      </c>
      <c r="P4" s="46" t="s">
        <v>583</v>
      </c>
      <c r="Q4" s="46" t="s">
        <v>30</v>
      </c>
      <c r="R4" s="46" t="s">
        <v>682</v>
      </c>
      <c r="S4" s="46" t="s">
        <v>1245</v>
      </c>
      <c r="T4" s="46" t="s">
        <v>683</v>
      </c>
      <c r="U4" s="46" t="s">
        <v>684</v>
      </c>
      <c r="V4" s="46" t="s">
        <v>685</v>
      </c>
      <c r="W4" s="46" t="s">
        <v>686</v>
      </c>
      <c r="X4" s="46" t="s">
        <v>687</v>
      </c>
      <c r="Y4" s="46" t="s">
        <v>173</v>
      </c>
      <c r="Z4" s="46" t="s">
        <v>688</v>
      </c>
      <c r="AA4" s="46" t="s">
        <v>689</v>
      </c>
      <c r="AB4" s="46" t="s">
        <v>237</v>
      </c>
      <c r="AC4" s="46" t="s">
        <v>690</v>
      </c>
      <c r="AD4" s="46" t="s">
        <v>691</v>
      </c>
      <c r="AE4" s="46" t="s">
        <v>692</v>
      </c>
      <c r="AF4" s="46" t="s">
        <v>693</v>
      </c>
      <c r="AG4" s="46" t="s">
        <v>694</v>
      </c>
      <c r="AH4" s="46" t="s">
        <v>695</v>
      </c>
      <c r="AI4" s="46" t="s">
        <v>141</v>
      </c>
      <c r="AJ4" s="46" t="s">
        <v>38</v>
      </c>
      <c r="AK4" s="46" t="s">
        <v>740</v>
      </c>
      <c r="AL4" s="46" t="s">
        <v>887</v>
      </c>
      <c r="AM4" s="46" t="s">
        <v>696</v>
      </c>
      <c r="AN4" s="46" t="s">
        <v>883</v>
      </c>
      <c r="AO4" s="7" t="s">
        <v>729</v>
      </c>
      <c r="AP4" s="7" t="s">
        <v>730</v>
      </c>
      <c r="AQ4" s="7" t="s">
        <v>731</v>
      </c>
      <c r="AR4" s="7" t="s">
        <v>732</v>
      </c>
      <c r="AS4" s="7" t="s">
        <v>733</v>
      </c>
      <c r="AT4" s="46" t="s">
        <v>930</v>
      </c>
      <c r="AU4" s="46" t="s">
        <v>931</v>
      </c>
    </row>
    <row r="5" spans="1:47" ht="18" customHeight="1" x14ac:dyDescent="0.3">
      <c r="B5" s="523" t="s">
        <v>1161</v>
      </c>
      <c r="C5" s="523"/>
      <c r="D5" s="537" t="str">
        <f>IF(ISBLANK(Table_Main[[#This Row],[Mã SKU]]),Table_Main[[#This Row],[Mã Nguyên liệu]],Table_Main[[#This Row],[Mã SKU]])</f>
        <v>TP2</v>
      </c>
      <c r="E5" s="420"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20"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20"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20"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20">
        <f>IFERROR(Table_Main[[#This Row],[Giá trị tồn đầu ngày]]/Table_Main[[#This Row],[Tồn kho đầu ngày]],0)</f>
        <v>0</v>
      </c>
      <c r="J5" s="420">
        <f>IFERROR(Table_Main[[#This Row],[Giá trị tồn cuối ngày]]/Table_Main[[#This Row],[Tồn kho cuối ngày]],0)</f>
        <v>0</v>
      </c>
      <c r="K5" s="415">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1164</v>
      </c>
      <c r="P5" s="230" t="s">
        <v>1165</v>
      </c>
      <c r="Q5" s="408">
        <v>23</v>
      </c>
      <c r="R5" s="523"/>
      <c r="S5" s="537">
        <f>IFERROR(VLOOKUP(Table_Main[[#This Row],[Đơn Mua]],Table_DonMua[[Mã Đơn mua]:[Add]],COUNTA(Table_DonMua[[#Headers],[Mã Đơn mua]:[Mã Đối tác]]),0),0)</f>
        <v>0</v>
      </c>
      <c r="T5" s="409"/>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23"/>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48">
        <f xml:space="preserve">
IF(Table_Main[[#This Row],[Đơn bán]]="", 0,
IFERROR(
VLOOKUP(Table_Main[[#This Row],[Mã SKU]],Table_SKU[[Mã SKU]:[Tỷ suất VAT]],COUNTA(Table_SKU[[#Headers],[Mã SKU]:[Tỷ suất VAT]]),0),0)*Table_Main[[#This Row],[Giá trị bán trước VAT]])</f>
        <v>0</v>
      </c>
      <c r="AG5" s="51">
        <f>IFERROR(VLOOKUP(Table_Main[[#This Row],[Đơn bán]],Table_DonBan[[Mã Đơn bán]:[Add]],COUNTA(Table_DonBan[[#Headers],[Mã Đơn bán]:[Mã NV]]),0),0)</f>
        <v>0</v>
      </c>
      <c r="AH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 s="48">
        <f>IFERROR(Table_Main[[#This Row],[Giá trị bán trước VAT]]*Table_Main[[#This Row],[Tỷ lệ hoa hồng]],"")</f>
        <v>0</v>
      </c>
      <c r="AJ5" s="48">
        <f>IFERROR(VLOOKUP(Table_Main[[#This Row],[Đơn bán]],Table_DonBan[[Mã Đơn bán]:[Add]],COUNTA(Table_DonBan[[#Headers],[Mã Đơn bán]:[Kênh]]),0),0)</f>
        <v>0</v>
      </c>
      <c r="AK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 s="48">
        <f>IFERROR(Table_Main[[#This Row],[Giá trị bán trước VAT]]*Table_Main[[#This Row],[Tỷ lệ CK kênh]],"")</f>
        <v>0</v>
      </c>
      <c r="AM5" s="230"/>
      <c r="AN5" s="232"/>
      <c r="AO5" s="226">
        <f>Table_Main[[#This Row],[ĐK - Phân loại]]*Table_Main[[#This Row],[ĐK - Thời gian]]*Table_Main[[#This Row],[ĐK - Giá trị]]*Table_Main[[#This Row],[ĐK - Số lượng]]*Table_Main[[#This Row],[ĐK - Sinh nhật]]*Table_Main[[#This Row],[ĐK - Ngày mua cuối]]</f>
        <v>1</v>
      </c>
      <c r="AP5" s="226">
        <f xml:space="preserve">
IF(ISBLANK(Table_Main[[#This Row],[Chương trình]]),1,
IF(VLOOKUP(Table_Main[[#This Row],[Chương trình]],Table_ChuongTrinh[[Mã Chương trình]:[Đối tượng CK]],Sheet_ChuongTrinh!$C$1,0) = "Sản phẩm",1,0))</f>
        <v>1</v>
      </c>
      <c r="AQ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7" ht="18" customHeight="1" x14ac:dyDescent="0.3">
      <c r="B6" s="523" t="s">
        <v>1160</v>
      </c>
      <c r="C6" s="523"/>
      <c r="D6" s="537" t="str">
        <f>IF(ISBLANK(Table_Main[[#This Row],[Mã SKU]]),Table_Main[[#This Row],[Mã Nguyên liệu]],Table_Main[[#This Row],[Mã SKU]])</f>
        <v>TP1</v>
      </c>
      <c r="E6" s="420"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20"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20"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20"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20">
        <f>IFERROR(Table_Main[[#This Row],[Giá trị tồn đầu ngày]]/Table_Main[[#This Row],[Tồn kho đầu ngày]],0)</f>
        <v>0</v>
      </c>
      <c r="J6" s="420">
        <f>IFERROR(Table_Main[[#This Row],[Giá trị tồn cuối ngày]]/Table_Main[[#This Row],[Tồn kho cuối ngày]],0)</f>
        <v>0</v>
      </c>
      <c r="K6" s="415">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1165</v>
      </c>
      <c r="Q6" s="408">
        <v>19</v>
      </c>
      <c r="R6" s="523"/>
      <c r="S6" s="537">
        <f>IFERROR(VLOOKUP(Table_Main[[#This Row],[Đơn Mua]],Table_DonMua[[Mã Đơn mua]:[Add]],COUNTA(Table_DonMua[[#Headers],[Mã Đơn mua]:[Mã Đối tác]]),0),0)</f>
        <v>0</v>
      </c>
      <c r="T6" s="409"/>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23" t="s">
        <v>1231</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48">
        <f xml:space="preserve">
IF(Table_Main[[#This Row],[Đơn bán]]="", 0,
IFERROR(
VLOOKUP(Table_Main[[#This Row],[Mã SKU]],Table_SKU[[Mã SKU]:[Tỷ suất VAT]],COUNTA(Table_SKU[[#Headers],[Mã SKU]:[Tỷ suất VAT]]),0),0)*Table_Main[[#This Row],[Giá trị bán trước VAT]])</f>
        <v>0</v>
      </c>
      <c r="AG6" s="51">
        <f>IFERROR(VLOOKUP(Table_Main[[#This Row],[Đơn bán]],Table_DonBan[[Mã Đơn bán]:[Add]],COUNTA(Table_DonBan[[#Headers],[Mã Đơn bán]:[Mã NV]]),0),0)</f>
        <v>0</v>
      </c>
      <c r="AH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 s="48">
        <f>IFERROR(Table_Main[[#This Row],[Giá trị bán trước VAT]]*Table_Main[[#This Row],[Tỷ lệ hoa hồng]],"")</f>
        <v>0</v>
      </c>
      <c r="AJ6" s="48">
        <f>IFERROR(VLOOKUP(Table_Main[[#This Row],[Đơn bán]],Table_DonBan[[Mã Đơn bán]:[Add]],COUNTA(Table_DonBan[[#Headers],[Mã Đơn bán]:[Kênh]]),0),0)</f>
        <v>0</v>
      </c>
      <c r="AK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 s="48">
        <f>IFERROR(Table_Main[[#This Row],[Giá trị bán trước VAT]]*Table_Main[[#This Row],[Tỷ lệ CK kênh]],"")</f>
        <v>0</v>
      </c>
      <c r="AM6" s="230"/>
      <c r="AN6" s="232"/>
      <c r="AO6" s="226">
        <f>Table_Main[[#This Row],[ĐK - Phân loại]]*Table_Main[[#This Row],[ĐK - Thời gian]]*Table_Main[[#This Row],[ĐK - Giá trị]]*Table_Main[[#This Row],[ĐK - Số lượng]]*Table_Main[[#This Row],[ĐK - Sinh nhật]]*Table_Main[[#This Row],[ĐK - Ngày mua cuối]]</f>
        <v>1</v>
      </c>
      <c r="AP6" s="226">
        <f xml:space="preserve">
IF(ISBLANK(Table_Main[[#This Row],[Chương trình]]),1,
IF(VLOOKUP(Table_Main[[#This Row],[Chương trình]],Table_ChuongTrinh[[Mã Chương trình]:[Đối tượng CK]],Sheet_ChuongTrinh!$C$1,0) = "Sản phẩm",1,0))</f>
        <v>1</v>
      </c>
      <c r="AQ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7" ht="18" customHeight="1" x14ac:dyDescent="0.3">
      <c r="B7" s="530"/>
      <c r="C7" s="239" t="s">
        <v>1163</v>
      </c>
      <c r="D7" s="538" t="str">
        <f>IF(ISBLANK(Table_Main[[#This Row],[Mã SKU]]),Table_Main[[#This Row],[Mã Nguyên liệu]],Table_Main[[#This Row],[Mã SKU]])</f>
        <v>NL1</v>
      </c>
      <c r="E7" s="420"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20"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20"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20"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20">
        <f>IFERROR(Table_Main[[#This Row],[Giá trị tồn đầu ngày]]/Table_Main[[#This Row],[Tồn kho đầu ngày]],0)</f>
        <v>106213.67880461096</v>
      </c>
      <c r="J7" s="420">
        <f>IFERROR(Table_Main[[#This Row],[Giá trị tồn cuối ngày]]/Table_Main[[#This Row],[Tồn kho cuối ngày]],0)</f>
        <v>106213.67880461096</v>
      </c>
      <c r="K7" s="415">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1165</v>
      </c>
      <c r="Q7" s="408">
        <v>7</v>
      </c>
      <c r="R7" s="523"/>
      <c r="S7" s="537">
        <f>IFERROR(VLOOKUP(Table_Main[[#This Row],[Đơn Mua]],Table_DonMua[[Mã Đơn mua]:[Add]],COUNTA(Table_DonMua[[#Headers],[Mã Đơn mua]:[Mã Đối tác]]),0),0)</f>
        <v>0</v>
      </c>
      <c r="T7" s="409"/>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23"/>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48">
        <f xml:space="preserve">
IF(Table_Main[[#This Row],[Đơn bán]]="", 0,
IFERROR(
VLOOKUP(Table_Main[[#This Row],[Mã SKU]],Table_SKU[[Mã SKU]:[Tỷ suất VAT]],COUNTA(Table_SKU[[#Headers],[Mã SKU]:[Tỷ suất VAT]]),0),0)*Table_Main[[#This Row],[Giá trị bán trước VAT]])</f>
        <v>0</v>
      </c>
      <c r="AG7" s="51">
        <f>IFERROR(VLOOKUP(Table_Main[[#This Row],[Đơn bán]],Table_DonBan[[Mã Đơn bán]:[Add]],COUNTA(Table_DonBan[[#Headers],[Mã Đơn bán]:[Mã NV]]),0),0)</f>
        <v>0</v>
      </c>
      <c r="AH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 s="48">
        <f>IFERROR(Table_Main[[#This Row],[Giá trị bán trước VAT]]*Table_Main[[#This Row],[Tỷ lệ hoa hồng]],"")</f>
        <v>0</v>
      </c>
      <c r="AJ7" s="48">
        <f>IFERROR(VLOOKUP(Table_Main[[#This Row],[Đơn bán]],Table_DonBan[[Mã Đơn bán]:[Add]],COUNTA(Table_DonBan[[#Headers],[Mã Đơn bán]:[Kênh]]),0),0)</f>
        <v>0</v>
      </c>
      <c r="AK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 s="48">
        <f>IFERROR(Table_Main[[#This Row],[Giá trị bán trước VAT]]*Table_Main[[#This Row],[Tỷ lệ CK kênh]],"")</f>
        <v>0</v>
      </c>
      <c r="AM7" s="230"/>
      <c r="AN7" s="232"/>
      <c r="AO7" s="226">
        <f>Table_Main[[#This Row],[ĐK - Phân loại]]*Table_Main[[#This Row],[ĐK - Thời gian]]*Table_Main[[#This Row],[ĐK - Giá trị]]*Table_Main[[#This Row],[ĐK - Số lượng]]*Table_Main[[#This Row],[ĐK - Sinh nhật]]*Table_Main[[#This Row],[ĐK - Ngày mua cuối]]</f>
        <v>1</v>
      </c>
      <c r="AP7" s="226">
        <f xml:space="preserve">
IF(ISBLANK(Table_Main[[#This Row],[Chương trình]]),1,
IF(VLOOKUP(Table_Main[[#This Row],[Chương trình]],Table_ChuongTrinh[[Mã Chương trình]:[Đối tượng CK]],Sheet_ChuongTrinh!$C$1,0) = "Sản phẩm",1,0))</f>
        <v>1</v>
      </c>
      <c r="AQ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7" ht="18" customHeight="1" x14ac:dyDescent="0.3">
      <c r="B8" s="523" t="s">
        <v>1160</v>
      </c>
      <c r="C8" s="523"/>
      <c r="D8" s="537" t="str">
        <f>IF(ISBLANK(Table_Main[[#This Row],[Mã SKU]]),Table_Main[[#This Row],[Mã Nguyên liệu]],Table_Main[[#This Row],[Mã SKU]])</f>
        <v>TP1</v>
      </c>
      <c r="E8" s="420"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20"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20"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20"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20">
        <f>IFERROR(Table_Main[[#This Row],[Giá trị tồn đầu ngày]]/Table_Main[[#This Row],[Tồn kho đầu ngày]],0)</f>
        <v>0</v>
      </c>
      <c r="J8" s="420">
        <f>IFERROR(Table_Main[[#This Row],[Giá trị tồn cuối ngày]]/Table_Main[[#This Row],[Tồn kho cuối ngày]],0)</f>
        <v>0</v>
      </c>
      <c r="K8" s="415">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1164</v>
      </c>
      <c r="P8" s="230" t="s">
        <v>1165</v>
      </c>
      <c r="Q8" s="408">
        <v>6</v>
      </c>
      <c r="R8" s="523"/>
      <c r="S8" s="537">
        <f>IFERROR(VLOOKUP(Table_Main[[#This Row],[Đơn Mua]],Table_DonMua[[Mã Đơn mua]:[Add]],COUNTA(Table_DonMua[[#Headers],[Mã Đơn mua]:[Mã Đối tác]]),0),0)</f>
        <v>0</v>
      </c>
      <c r="T8" s="409"/>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23"/>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48">
        <f xml:space="preserve">
IF(Table_Main[[#This Row],[Đơn bán]]="", 0,
IFERROR(
VLOOKUP(Table_Main[[#This Row],[Mã SKU]],Table_SKU[[Mã SKU]:[Tỷ suất VAT]],COUNTA(Table_SKU[[#Headers],[Mã SKU]:[Tỷ suất VAT]]),0),0)*Table_Main[[#This Row],[Giá trị bán trước VAT]])</f>
        <v>0</v>
      </c>
      <c r="AG8" s="51">
        <f>IFERROR(VLOOKUP(Table_Main[[#This Row],[Đơn bán]],Table_DonBan[[Mã Đơn bán]:[Add]],COUNTA(Table_DonBan[[#Headers],[Mã Đơn bán]:[Mã NV]]),0),0)</f>
        <v>0</v>
      </c>
      <c r="AH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 s="48">
        <f>IFERROR(Table_Main[[#This Row],[Giá trị bán trước VAT]]*Table_Main[[#This Row],[Tỷ lệ hoa hồng]],"")</f>
        <v>0</v>
      </c>
      <c r="AJ8" s="48">
        <f>IFERROR(VLOOKUP(Table_Main[[#This Row],[Đơn bán]],Table_DonBan[[Mã Đơn bán]:[Add]],COUNTA(Table_DonBan[[#Headers],[Mã Đơn bán]:[Kênh]]),0),0)</f>
        <v>0</v>
      </c>
      <c r="AK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 s="48">
        <f>IFERROR(Table_Main[[#This Row],[Giá trị bán trước VAT]]*Table_Main[[#This Row],[Tỷ lệ CK kênh]],"")</f>
        <v>0</v>
      </c>
      <c r="AM8" s="230"/>
      <c r="AN8" s="232"/>
      <c r="AO8" s="226">
        <f>Table_Main[[#This Row],[ĐK - Phân loại]]*Table_Main[[#This Row],[ĐK - Thời gian]]*Table_Main[[#This Row],[ĐK - Giá trị]]*Table_Main[[#This Row],[ĐK - Số lượng]]*Table_Main[[#This Row],[ĐK - Sinh nhật]]*Table_Main[[#This Row],[ĐK - Ngày mua cuối]]</f>
        <v>1</v>
      </c>
      <c r="AP8" s="226">
        <f xml:space="preserve">
IF(ISBLANK(Table_Main[[#This Row],[Chương trình]]),1,
IF(VLOOKUP(Table_Main[[#This Row],[Chương trình]],Table_ChuongTrinh[[Mã Chương trình]:[Đối tượng CK]],Sheet_ChuongTrinh!$C$1,0) = "Sản phẩm",1,0))</f>
        <v>1</v>
      </c>
      <c r="AQ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7" ht="18" customHeight="1" x14ac:dyDescent="0.3">
      <c r="B9" s="530"/>
      <c r="C9" s="239" t="s">
        <v>1162</v>
      </c>
      <c r="D9" s="538" t="str">
        <f>IF(ISBLANK(Table_Main[[#This Row],[Mã SKU]]),Table_Main[[#This Row],[Mã Nguyên liệu]],Table_Main[[#This Row],[Mã SKU]])</f>
        <v>NL2</v>
      </c>
      <c r="E9" s="420"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20"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20"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20"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20">
        <f>IFERROR(Table_Main[[#This Row],[Giá trị tồn đầu ngày]]/Table_Main[[#This Row],[Tồn kho đầu ngày]],0)</f>
        <v>119047.60542941959</v>
      </c>
      <c r="J9" s="420">
        <f>IFERROR(Table_Main[[#This Row],[Giá trị tồn cuối ngày]]/Table_Main[[#This Row],[Tồn kho cuối ngày]],0)</f>
        <v>119047.60542941962</v>
      </c>
      <c r="K9" s="415">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1165</v>
      </c>
      <c r="Q9" s="408">
        <v>20</v>
      </c>
      <c r="R9" s="523"/>
      <c r="S9" s="537">
        <f>IFERROR(VLOOKUP(Table_Main[[#This Row],[Đơn Mua]],Table_DonMua[[Mã Đơn mua]:[Add]],COUNTA(Table_DonMua[[#Headers],[Mã Đơn mua]:[Mã Đối tác]]),0),0)</f>
        <v>0</v>
      </c>
      <c r="T9" s="409"/>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23"/>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48">
        <f xml:space="preserve">
IF(Table_Main[[#This Row],[Đơn bán]]="", 0,
IFERROR(
VLOOKUP(Table_Main[[#This Row],[Mã SKU]],Table_SKU[[Mã SKU]:[Tỷ suất VAT]],COUNTA(Table_SKU[[#Headers],[Mã SKU]:[Tỷ suất VAT]]),0),0)*Table_Main[[#This Row],[Giá trị bán trước VAT]])</f>
        <v>0</v>
      </c>
      <c r="AG9" s="51">
        <f>IFERROR(VLOOKUP(Table_Main[[#This Row],[Đơn bán]],Table_DonBan[[Mã Đơn bán]:[Add]],COUNTA(Table_DonBan[[#Headers],[Mã Đơn bán]:[Mã NV]]),0),0)</f>
        <v>0</v>
      </c>
      <c r="AH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9" s="48">
        <f>IFERROR(Table_Main[[#This Row],[Giá trị bán trước VAT]]*Table_Main[[#This Row],[Tỷ lệ hoa hồng]],"")</f>
        <v>0</v>
      </c>
      <c r="AJ9" s="48">
        <f>IFERROR(VLOOKUP(Table_Main[[#This Row],[Đơn bán]],Table_DonBan[[Mã Đơn bán]:[Add]],COUNTA(Table_DonBan[[#Headers],[Mã Đơn bán]:[Kênh]]),0),0)</f>
        <v>0</v>
      </c>
      <c r="AK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9" s="48">
        <f>IFERROR(Table_Main[[#This Row],[Giá trị bán trước VAT]]*Table_Main[[#This Row],[Tỷ lệ CK kênh]],"")</f>
        <v>0</v>
      </c>
      <c r="AM9" s="230"/>
      <c r="AN9" s="232"/>
      <c r="AO9" s="226">
        <f>Table_Main[[#This Row],[ĐK - Phân loại]]*Table_Main[[#This Row],[ĐK - Thời gian]]*Table_Main[[#This Row],[ĐK - Giá trị]]*Table_Main[[#This Row],[ĐK - Số lượng]]*Table_Main[[#This Row],[ĐK - Sinh nhật]]*Table_Main[[#This Row],[ĐK - Ngày mua cuối]]</f>
        <v>1</v>
      </c>
      <c r="AP9" s="226">
        <f xml:space="preserve">
IF(ISBLANK(Table_Main[[#This Row],[Chương trình]]),1,
IF(VLOOKUP(Table_Main[[#This Row],[Chương trình]],Table_ChuongTrinh[[Mã Chương trình]:[Đối tượng CK]],Sheet_ChuongTrinh!$C$1,0) = "Sản phẩm",1,0))</f>
        <v>1</v>
      </c>
      <c r="AQ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7" ht="18" customHeight="1" x14ac:dyDescent="0.3">
      <c r="B10" s="530"/>
      <c r="C10" s="239" t="s">
        <v>1162</v>
      </c>
      <c r="D10" s="538" t="str">
        <f>IF(ISBLANK(Table_Main[[#This Row],[Mã SKU]]),Table_Main[[#This Row],[Mã Nguyên liệu]],Table_Main[[#This Row],[Mã SKU]])</f>
        <v>NL2</v>
      </c>
      <c r="E10" s="420"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20"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20"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20"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20">
        <f>IFERROR(Table_Main[[#This Row],[Giá trị tồn đầu ngày]]/Table_Main[[#This Row],[Tồn kho đầu ngày]],0)</f>
        <v>119047.60542941962</v>
      </c>
      <c r="J10" s="420">
        <f>IFERROR(Table_Main[[#This Row],[Giá trị tồn cuối ngày]]/Table_Main[[#This Row],[Tồn kho cuối ngày]],0)</f>
        <v>128804.14006551338</v>
      </c>
      <c r="K10" s="415">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1164</v>
      </c>
      <c r="P10" s="230" t="s">
        <v>1165</v>
      </c>
      <c r="Q10" s="408">
        <v>28</v>
      </c>
      <c r="R10" s="523" t="s">
        <v>1189</v>
      </c>
      <c r="S10" s="537" t="str">
        <f>IFERROR(VLOOKUP(Table_Main[[#This Row],[Đơn Mua]],Table_DonMua[[Mã Đơn mua]:[Add]],COUNTA(Table_DonMua[[#Headers],[Mã Đơn mua]:[Mã Đối tác]]),0),0)</f>
        <v>NCC1</v>
      </c>
      <c r="T10" s="409">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23"/>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48">
        <f xml:space="preserve">
IF(Table_Main[[#This Row],[Đơn bán]]="", 0,
IFERROR(
VLOOKUP(Table_Main[[#This Row],[Mã SKU]],Table_SKU[[Mã SKU]:[Tỷ suất VAT]],COUNTA(Table_SKU[[#Headers],[Mã SKU]:[Tỷ suất VAT]]),0),0)*Table_Main[[#This Row],[Giá trị bán trước VAT]])</f>
        <v>0</v>
      </c>
      <c r="AG10" s="51">
        <f>IFERROR(VLOOKUP(Table_Main[[#This Row],[Đơn bán]],Table_DonBan[[Mã Đơn bán]:[Add]],COUNTA(Table_DonBan[[#Headers],[Mã Đơn bán]:[Mã NV]]),0),0)</f>
        <v>0</v>
      </c>
      <c r="AH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0" s="48">
        <f>IFERROR(Table_Main[[#This Row],[Giá trị bán trước VAT]]*Table_Main[[#This Row],[Tỷ lệ hoa hồng]],"")</f>
        <v>0</v>
      </c>
      <c r="AJ10" s="48">
        <f>IFERROR(VLOOKUP(Table_Main[[#This Row],[Đơn bán]],Table_DonBan[[Mã Đơn bán]:[Add]],COUNTA(Table_DonBan[[#Headers],[Mã Đơn bán]:[Kênh]]),0),0)</f>
        <v>0</v>
      </c>
      <c r="AK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0" s="48">
        <f>IFERROR(Table_Main[[#This Row],[Giá trị bán trước VAT]]*Table_Main[[#This Row],[Tỷ lệ CK kênh]],"")</f>
        <v>0</v>
      </c>
      <c r="AM10" s="230"/>
      <c r="AN10" s="232"/>
      <c r="AO10" s="226">
        <f>Table_Main[[#This Row],[ĐK - Phân loại]]*Table_Main[[#This Row],[ĐK - Thời gian]]*Table_Main[[#This Row],[ĐK - Giá trị]]*Table_Main[[#This Row],[ĐK - Số lượng]]*Table_Main[[#This Row],[ĐK - Sinh nhật]]*Table_Main[[#This Row],[ĐK - Ngày mua cuối]]</f>
        <v>1</v>
      </c>
      <c r="AP10" s="226">
        <f xml:space="preserve">
IF(ISBLANK(Table_Main[[#This Row],[Chương trình]]),1,
IF(VLOOKUP(Table_Main[[#This Row],[Chương trình]],Table_ChuongTrinh[[Mã Chương trình]:[Đối tượng CK]],Sheet_ChuongTrinh!$C$1,0) = "Sản phẩm",1,0))</f>
        <v>1</v>
      </c>
      <c r="AQ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7" ht="18" customHeight="1" x14ac:dyDescent="0.3">
      <c r="B11" s="523" t="s">
        <v>1159</v>
      </c>
      <c r="C11" s="523"/>
      <c r="D11" s="537" t="str">
        <f>IF(ISBLANK(Table_Main[[#This Row],[Mã SKU]]),Table_Main[[#This Row],[Mã Nguyên liệu]],Table_Main[[#This Row],[Mã SKU]])</f>
        <v>HH1</v>
      </c>
      <c r="E11" s="420"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20"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20"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20"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20">
        <f>IFERROR(Table_Main[[#This Row],[Giá trị tồn đầu ngày]]/Table_Main[[#This Row],[Tồn kho đầu ngày]],0)</f>
        <v>74384.128277531243</v>
      </c>
      <c r="J11" s="420">
        <f>IFERROR(Table_Main[[#This Row],[Giá trị tồn cuối ngày]]/Table_Main[[#This Row],[Tồn kho cuối ngày]],0)</f>
        <v>87281.460090850087</v>
      </c>
      <c r="K11" s="415">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1164</v>
      </c>
      <c r="P11" s="230" t="s">
        <v>1165</v>
      </c>
      <c r="Q11" s="408">
        <v>32</v>
      </c>
      <c r="R11" s="523" t="s">
        <v>1188</v>
      </c>
      <c r="S11" s="537" t="str">
        <f>IFERROR(VLOOKUP(Table_Main[[#This Row],[Đơn Mua]],Table_DonMua[[Mã Đơn mua]:[Add]],COUNTA(Table_DonMua[[#Headers],[Mã Đơn mua]:[Mã Đối tác]]),0),0)</f>
        <v>NCC2</v>
      </c>
      <c r="T11" s="409">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23"/>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48">
        <f xml:space="preserve">
IF(Table_Main[[#This Row],[Đơn bán]]="", 0,
IFERROR(
VLOOKUP(Table_Main[[#This Row],[Mã SKU]],Table_SKU[[Mã SKU]:[Tỷ suất VAT]],COUNTA(Table_SKU[[#Headers],[Mã SKU]:[Tỷ suất VAT]]),0),0)*Table_Main[[#This Row],[Giá trị bán trước VAT]])</f>
        <v>0</v>
      </c>
      <c r="AG11" s="51">
        <f>IFERROR(VLOOKUP(Table_Main[[#This Row],[Đơn bán]],Table_DonBan[[Mã Đơn bán]:[Add]],COUNTA(Table_DonBan[[#Headers],[Mã Đơn bán]:[Mã NV]]),0),0)</f>
        <v>0</v>
      </c>
      <c r="AH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1" s="48">
        <f>IFERROR(Table_Main[[#This Row],[Giá trị bán trước VAT]]*Table_Main[[#This Row],[Tỷ lệ hoa hồng]],"")</f>
        <v>0</v>
      </c>
      <c r="AJ11" s="48">
        <f>IFERROR(VLOOKUP(Table_Main[[#This Row],[Đơn bán]],Table_DonBan[[Mã Đơn bán]:[Add]],COUNTA(Table_DonBan[[#Headers],[Mã Đơn bán]:[Kênh]]),0),0)</f>
        <v>0</v>
      </c>
      <c r="AK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1" s="48">
        <f>IFERROR(Table_Main[[#This Row],[Giá trị bán trước VAT]]*Table_Main[[#This Row],[Tỷ lệ CK kênh]],"")</f>
        <v>0</v>
      </c>
      <c r="AM11" s="230"/>
      <c r="AN11" s="232"/>
      <c r="AO11" s="226">
        <f>Table_Main[[#This Row],[ĐK - Phân loại]]*Table_Main[[#This Row],[ĐK - Thời gian]]*Table_Main[[#This Row],[ĐK - Giá trị]]*Table_Main[[#This Row],[ĐK - Số lượng]]*Table_Main[[#This Row],[ĐK - Sinh nhật]]*Table_Main[[#This Row],[ĐK - Ngày mua cuối]]</f>
        <v>1</v>
      </c>
      <c r="AP11" s="226">
        <f xml:space="preserve">
IF(ISBLANK(Table_Main[[#This Row],[Chương trình]]),1,
IF(VLOOKUP(Table_Main[[#This Row],[Chương trình]],Table_ChuongTrinh[[Mã Chương trình]:[Đối tượng CK]],Sheet_ChuongTrinh!$C$1,0) = "Sản phẩm",1,0))</f>
        <v>1</v>
      </c>
      <c r="AQ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7" ht="18" customHeight="1" x14ac:dyDescent="0.3">
      <c r="B12" s="530"/>
      <c r="C12" s="239" t="s">
        <v>1162</v>
      </c>
      <c r="D12" s="538" t="str">
        <f>IF(ISBLANK(Table_Main[[#This Row],[Mã SKU]]),Table_Main[[#This Row],[Mã Nguyên liệu]],Table_Main[[#This Row],[Mã SKU]])</f>
        <v>NL2</v>
      </c>
      <c r="E12" s="420"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20"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20"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20"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20">
        <f>IFERROR(Table_Main[[#This Row],[Giá trị tồn đầu ngày]]/Table_Main[[#This Row],[Tồn kho đầu ngày]],0)</f>
        <v>119047.60542941962</v>
      </c>
      <c r="J12" s="420">
        <f>IFERROR(Table_Main[[#This Row],[Giá trị tồn cuối ngày]]/Table_Main[[#This Row],[Tồn kho cuối ngày]],0)</f>
        <v>119047.60542941959</v>
      </c>
      <c r="K12" s="415">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1165</v>
      </c>
      <c r="Q12" s="408">
        <v>23</v>
      </c>
      <c r="R12" s="523"/>
      <c r="S12" s="537">
        <f>IFERROR(VLOOKUP(Table_Main[[#This Row],[Đơn Mua]],Table_DonMua[[Mã Đơn mua]:[Add]],COUNTA(Table_DonMua[[#Headers],[Mã Đơn mua]:[Mã Đối tác]]),0),0)</f>
        <v>0</v>
      </c>
      <c r="T12" s="409"/>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23"/>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48">
        <f xml:space="preserve">
IF(Table_Main[[#This Row],[Đơn bán]]="", 0,
IFERROR(
VLOOKUP(Table_Main[[#This Row],[Mã SKU]],Table_SKU[[Mã SKU]:[Tỷ suất VAT]],COUNTA(Table_SKU[[#Headers],[Mã SKU]:[Tỷ suất VAT]]),0),0)*Table_Main[[#This Row],[Giá trị bán trước VAT]])</f>
        <v>0</v>
      </c>
      <c r="AG12" s="51">
        <f>IFERROR(VLOOKUP(Table_Main[[#This Row],[Đơn bán]],Table_DonBan[[Mã Đơn bán]:[Add]],COUNTA(Table_DonBan[[#Headers],[Mã Đơn bán]:[Mã NV]]),0),0)</f>
        <v>0</v>
      </c>
      <c r="AH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2" s="48">
        <f>IFERROR(Table_Main[[#This Row],[Giá trị bán trước VAT]]*Table_Main[[#This Row],[Tỷ lệ hoa hồng]],"")</f>
        <v>0</v>
      </c>
      <c r="AJ12" s="48">
        <f>IFERROR(VLOOKUP(Table_Main[[#This Row],[Đơn bán]],Table_DonBan[[Mã Đơn bán]:[Add]],COUNTA(Table_DonBan[[#Headers],[Mã Đơn bán]:[Kênh]]),0),0)</f>
        <v>0</v>
      </c>
      <c r="AK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2" s="48">
        <f>IFERROR(Table_Main[[#This Row],[Giá trị bán trước VAT]]*Table_Main[[#This Row],[Tỷ lệ CK kênh]],"")</f>
        <v>0</v>
      </c>
      <c r="AM12" s="230"/>
      <c r="AN12" s="232"/>
      <c r="AO12" s="226">
        <f>Table_Main[[#This Row],[ĐK - Phân loại]]*Table_Main[[#This Row],[ĐK - Thời gian]]*Table_Main[[#This Row],[ĐK - Giá trị]]*Table_Main[[#This Row],[ĐK - Số lượng]]*Table_Main[[#This Row],[ĐK - Sinh nhật]]*Table_Main[[#This Row],[ĐK - Ngày mua cuối]]</f>
        <v>1</v>
      </c>
      <c r="AP12" s="226">
        <f xml:space="preserve">
IF(ISBLANK(Table_Main[[#This Row],[Chương trình]]),1,
IF(VLOOKUP(Table_Main[[#This Row],[Chương trình]],Table_ChuongTrinh[[Mã Chương trình]:[Đối tượng CK]],Sheet_ChuongTrinh!$C$1,0) = "Sản phẩm",1,0))</f>
        <v>1</v>
      </c>
      <c r="AQ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7" ht="18" customHeight="1" x14ac:dyDescent="0.3">
      <c r="B13" s="523" t="s">
        <v>1159</v>
      </c>
      <c r="C13" s="523"/>
      <c r="D13" s="537" t="str">
        <f>IF(ISBLANK(Table_Main[[#This Row],[Mã SKU]]),Table_Main[[#This Row],[Mã Nguyên liệu]],Table_Main[[#This Row],[Mã SKU]])</f>
        <v>HH1</v>
      </c>
      <c r="E13" s="420"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20"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20"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20"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20">
        <f>IFERROR(Table_Main[[#This Row],[Giá trị tồn đầu ngày]]/Table_Main[[#This Row],[Tồn kho đầu ngày]],0)</f>
        <v>59403.864427860673</v>
      </c>
      <c r="J13" s="420">
        <f>IFERROR(Table_Main[[#This Row],[Giá trị tồn cuối ngày]]/Table_Main[[#This Row],[Tồn kho cuối ngày]],0)</f>
        <v>74384.128277531243</v>
      </c>
      <c r="K13" s="415">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1164</v>
      </c>
      <c r="P13" s="230" t="s">
        <v>1165</v>
      </c>
      <c r="Q13" s="408">
        <v>13</v>
      </c>
      <c r="R13" s="523" t="s">
        <v>1187</v>
      </c>
      <c r="S13" s="537" t="str">
        <f>IFERROR(VLOOKUP(Table_Main[[#This Row],[Đơn Mua]],Table_DonMua[[Mã Đơn mua]:[Add]],COUNTA(Table_DonMua[[#Headers],[Mã Đơn mua]:[Mã Đối tác]]),0),0)</f>
        <v>NCC3</v>
      </c>
      <c r="T13" s="409">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23"/>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48">
        <f xml:space="preserve">
IF(Table_Main[[#This Row],[Đơn bán]]="", 0,
IFERROR(
VLOOKUP(Table_Main[[#This Row],[Mã SKU]],Table_SKU[[Mã SKU]:[Tỷ suất VAT]],COUNTA(Table_SKU[[#Headers],[Mã SKU]:[Tỷ suất VAT]]),0),0)*Table_Main[[#This Row],[Giá trị bán trước VAT]])</f>
        <v>0</v>
      </c>
      <c r="AG13" s="51">
        <f>IFERROR(VLOOKUP(Table_Main[[#This Row],[Đơn bán]],Table_DonBan[[Mã Đơn bán]:[Add]],COUNTA(Table_DonBan[[#Headers],[Mã Đơn bán]:[Mã NV]]),0),0)</f>
        <v>0</v>
      </c>
      <c r="AH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3" s="48">
        <f>IFERROR(Table_Main[[#This Row],[Giá trị bán trước VAT]]*Table_Main[[#This Row],[Tỷ lệ hoa hồng]],"")</f>
        <v>0</v>
      </c>
      <c r="AJ13" s="48">
        <f>IFERROR(VLOOKUP(Table_Main[[#This Row],[Đơn bán]],Table_DonBan[[Mã Đơn bán]:[Add]],COUNTA(Table_DonBan[[#Headers],[Mã Đơn bán]:[Kênh]]),0),0)</f>
        <v>0</v>
      </c>
      <c r="AK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3" s="48">
        <f>IFERROR(Table_Main[[#This Row],[Giá trị bán trước VAT]]*Table_Main[[#This Row],[Tỷ lệ CK kênh]],"")</f>
        <v>0</v>
      </c>
      <c r="AM13" s="230"/>
      <c r="AN13" s="232"/>
      <c r="AO13" s="226">
        <f>Table_Main[[#This Row],[ĐK - Phân loại]]*Table_Main[[#This Row],[ĐK - Thời gian]]*Table_Main[[#This Row],[ĐK - Giá trị]]*Table_Main[[#This Row],[ĐK - Số lượng]]*Table_Main[[#This Row],[ĐK - Sinh nhật]]*Table_Main[[#This Row],[ĐK - Ngày mua cuối]]</f>
        <v>1</v>
      </c>
      <c r="AP13" s="226">
        <f xml:space="preserve">
IF(ISBLANK(Table_Main[[#This Row],[Chương trình]]),1,
IF(VLOOKUP(Table_Main[[#This Row],[Chương trình]],Table_ChuongTrinh[[Mã Chương trình]:[Đối tượng CK]],Sheet_ChuongTrinh!$C$1,0) = "Sản phẩm",1,0))</f>
        <v>1</v>
      </c>
      <c r="AQ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7" ht="18" customHeight="1" x14ac:dyDescent="0.3">
      <c r="B14" s="530"/>
      <c r="C14" s="239" t="s">
        <v>1162</v>
      </c>
      <c r="D14" s="538" t="str">
        <f>IF(ISBLANK(Table_Main[[#This Row],[Mã SKU]]),Table_Main[[#This Row],[Mã Nguyên liệu]],Table_Main[[#This Row],[Mã SKU]])</f>
        <v>NL2</v>
      </c>
      <c r="E14" s="420"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20"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20"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20"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20">
        <f>IFERROR(Table_Main[[#This Row],[Giá trị tồn đầu ngày]]/Table_Main[[#This Row],[Tồn kho đầu ngày]],0)</f>
        <v>124977.61214215468</v>
      </c>
      <c r="J14" s="420">
        <f>IFERROR(Table_Main[[#This Row],[Giá trị tồn cuối ngày]]/Table_Main[[#This Row],[Tồn kho cuối ngày]],0)</f>
        <v>119047.60542941962</v>
      </c>
      <c r="K14" s="415">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1164</v>
      </c>
      <c r="P14" s="230" t="s">
        <v>1165</v>
      </c>
      <c r="Q14" s="408">
        <v>24</v>
      </c>
      <c r="R14" s="523" t="s">
        <v>1186</v>
      </c>
      <c r="S14" s="537" t="str">
        <f>IFERROR(VLOOKUP(Table_Main[[#This Row],[Đơn Mua]],Table_DonMua[[Mã Đơn mua]:[Add]],COUNTA(Table_DonMua[[#Headers],[Mã Đơn mua]:[Mã Đối tác]]),0),0)</f>
        <v>NCC2</v>
      </c>
      <c r="T14" s="409">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23"/>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48">
        <f xml:space="preserve">
IF(Table_Main[[#This Row],[Đơn bán]]="", 0,
IFERROR(
VLOOKUP(Table_Main[[#This Row],[Mã SKU]],Table_SKU[[Mã SKU]:[Tỷ suất VAT]],COUNTA(Table_SKU[[#Headers],[Mã SKU]:[Tỷ suất VAT]]),0),0)*Table_Main[[#This Row],[Giá trị bán trước VAT]])</f>
        <v>0</v>
      </c>
      <c r="AG14" s="51">
        <f>IFERROR(VLOOKUP(Table_Main[[#This Row],[Đơn bán]],Table_DonBan[[Mã Đơn bán]:[Add]],COUNTA(Table_DonBan[[#Headers],[Mã Đơn bán]:[Mã NV]]),0),0)</f>
        <v>0</v>
      </c>
      <c r="AH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4" s="48">
        <f>IFERROR(Table_Main[[#This Row],[Giá trị bán trước VAT]]*Table_Main[[#This Row],[Tỷ lệ hoa hồng]],"")</f>
        <v>0</v>
      </c>
      <c r="AJ14" s="48">
        <f>IFERROR(VLOOKUP(Table_Main[[#This Row],[Đơn bán]],Table_DonBan[[Mã Đơn bán]:[Add]],COUNTA(Table_DonBan[[#Headers],[Mã Đơn bán]:[Kênh]]),0),0)</f>
        <v>0</v>
      </c>
      <c r="AK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4" s="48">
        <f>IFERROR(Table_Main[[#This Row],[Giá trị bán trước VAT]]*Table_Main[[#This Row],[Tỷ lệ CK kênh]],"")</f>
        <v>0</v>
      </c>
      <c r="AM14" s="230"/>
      <c r="AN14" s="232"/>
      <c r="AO14" s="226">
        <f>Table_Main[[#This Row],[ĐK - Phân loại]]*Table_Main[[#This Row],[ĐK - Thời gian]]*Table_Main[[#This Row],[ĐK - Giá trị]]*Table_Main[[#This Row],[ĐK - Số lượng]]*Table_Main[[#This Row],[ĐK - Sinh nhật]]*Table_Main[[#This Row],[ĐK - Ngày mua cuối]]</f>
        <v>1</v>
      </c>
      <c r="AP14" s="226">
        <f xml:space="preserve">
IF(ISBLANK(Table_Main[[#This Row],[Chương trình]]),1,
IF(VLOOKUP(Table_Main[[#This Row],[Chương trình]],Table_ChuongTrinh[[Mã Chương trình]:[Đối tượng CK]],Sheet_ChuongTrinh!$C$1,0) = "Sản phẩm",1,0))</f>
        <v>1</v>
      </c>
      <c r="AQ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7" ht="18" customHeight="1" x14ac:dyDescent="0.3">
      <c r="B15" s="530"/>
      <c r="C15" s="239" t="s">
        <v>1163</v>
      </c>
      <c r="D15" s="538" t="str">
        <f>IF(ISBLANK(Table_Main[[#This Row],[Mã SKU]]),Table_Main[[#This Row],[Mã Nguyên liệu]],Table_Main[[#This Row],[Mã SKU]])</f>
        <v>NL1</v>
      </c>
      <c r="E15" s="420"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20"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20"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20"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20">
        <f>IFERROR(Table_Main[[#This Row],[Giá trị tồn đầu ngày]]/Table_Main[[#This Row],[Tồn kho đầu ngày]],0)</f>
        <v>97256.577798663333</v>
      </c>
      <c r="J15" s="420">
        <f>IFERROR(Table_Main[[#This Row],[Giá trị tồn cuối ngày]]/Table_Main[[#This Row],[Tồn kho cuối ngày]],0)</f>
        <v>106213.67880461096</v>
      </c>
      <c r="K15" s="415">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1164</v>
      </c>
      <c r="P15" s="230" t="s">
        <v>1165</v>
      </c>
      <c r="Q15" s="408">
        <v>35</v>
      </c>
      <c r="R15" s="523" t="s">
        <v>1185</v>
      </c>
      <c r="S15" s="537" t="str">
        <f>IFERROR(VLOOKUP(Table_Main[[#This Row],[Đơn Mua]],Table_DonMua[[Mã Đơn mua]:[Add]],COUNTA(Table_DonMua[[#Headers],[Mã Đơn mua]:[Mã Đối tác]]),0),0)</f>
        <v>NCC2</v>
      </c>
      <c r="T15" s="409">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23"/>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48">
        <f xml:space="preserve">
IF(Table_Main[[#This Row],[Đơn bán]]="", 0,
IFERROR(
VLOOKUP(Table_Main[[#This Row],[Mã SKU]],Table_SKU[[Mã SKU]:[Tỷ suất VAT]],COUNTA(Table_SKU[[#Headers],[Mã SKU]:[Tỷ suất VAT]]),0),0)*Table_Main[[#This Row],[Giá trị bán trước VAT]])</f>
        <v>0</v>
      </c>
      <c r="AG15" s="51">
        <f>IFERROR(VLOOKUP(Table_Main[[#This Row],[Đơn bán]],Table_DonBan[[Mã Đơn bán]:[Add]],COUNTA(Table_DonBan[[#Headers],[Mã Đơn bán]:[Mã NV]]),0),0)</f>
        <v>0</v>
      </c>
      <c r="AH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5" s="48">
        <f>IFERROR(Table_Main[[#This Row],[Giá trị bán trước VAT]]*Table_Main[[#This Row],[Tỷ lệ hoa hồng]],"")</f>
        <v>0</v>
      </c>
      <c r="AJ15" s="48">
        <f>IFERROR(VLOOKUP(Table_Main[[#This Row],[Đơn bán]],Table_DonBan[[Mã Đơn bán]:[Add]],COUNTA(Table_DonBan[[#Headers],[Mã Đơn bán]:[Kênh]]),0),0)</f>
        <v>0</v>
      </c>
      <c r="AK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5" s="48">
        <f>IFERROR(Table_Main[[#This Row],[Giá trị bán trước VAT]]*Table_Main[[#This Row],[Tỷ lệ CK kênh]],"")</f>
        <v>0</v>
      </c>
      <c r="AM15" s="230"/>
      <c r="AN15" s="232"/>
      <c r="AO15" s="226">
        <f>Table_Main[[#This Row],[ĐK - Phân loại]]*Table_Main[[#This Row],[ĐK - Thời gian]]*Table_Main[[#This Row],[ĐK - Giá trị]]*Table_Main[[#This Row],[ĐK - Số lượng]]*Table_Main[[#This Row],[ĐK - Sinh nhật]]*Table_Main[[#This Row],[ĐK - Ngày mua cuối]]</f>
        <v>1</v>
      </c>
      <c r="AP15" s="226">
        <f xml:space="preserve">
IF(ISBLANK(Table_Main[[#This Row],[Chương trình]]),1,
IF(VLOOKUP(Table_Main[[#This Row],[Chương trình]],Table_ChuongTrinh[[Mã Chương trình]:[Đối tượng CK]],Sheet_ChuongTrinh!$C$1,0) = "Sản phẩm",1,0))</f>
        <v>1</v>
      </c>
      <c r="AQ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7" ht="18" customHeight="1" x14ac:dyDescent="0.3">
      <c r="B16" s="523" t="s">
        <v>1160</v>
      </c>
      <c r="C16" s="523"/>
      <c r="D16" s="537" t="str">
        <f>IF(ISBLANK(Table_Main[[#This Row],[Mã SKU]]),Table_Main[[#This Row],[Mã Nguyên liệu]],Table_Main[[#This Row],[Mã SKU]])</f>
        <v>TP1</v>
      </c>
      <c r="E16" s="420"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20"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20"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20"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20">
        <f>IFERROR(Table_Main[[#This Row],[Giá trị tồn đầu ngày]]/Table_Main[[#This Row],[Tồn kho đầu ngày]],0)</f>
        <v>0</v>
      </c>
      <c r="J16" s="420">
        <f>IFERROR(Table_Main[[#This Row],[Giá trị tồn cuối ngày]]/Table_Main[[#This Row],[Tồn kho cuối ngày]],0)</f>
        <v>0</v>
      </c>
      <c r="K16" s="415">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1165</v>
      </c>
      <c r="Q16" s="408">
        <v>34</v>
      </c>
      <c r="R16" s="523"/>
      <c r="S16" s="537">
        <f>IFERROR(VLOOKUP(Table_Main[[#This Row],[Đơn Mua]],Table_DonMua[[Mã Đơn mua]:[Add]],COUNTA(Table_DonMua[[#Headers],[Mã Đơn mua]:[Mã Đối tác]]),0),0)</f>
        <v>0</v>
      </c>
      <c r="T16" s="409"/>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23" t="s">
        <v>1230</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48">
        <f xml:space="preserve">
IF(Table_Main[[#This Row],[Đơn bán]]="", 0,
IFERROR(
VLOOKUP(Table_Main[[#This Row],[Mã SKU]],Table_SKU[[Mã SKU]:[Tỷ suất VAT]],COUNTA(Table_SKU[[#Headers],[Mã SKU]:[Tỷ suất VAT]]),0),0)*Table_Main[[#This Row],[Giá trị bán trước VAT]])</f>
        <v>0</v>
      </c>
      <c r="AG16" s="51">
        <f>IFERROR(VLOOKUP(Table_Main[[#This Row],[Đơn bán]],Table_DonBan[[Mã Đơn bán]:[Add]],COUNTA(Table_DonBan[[#Headers],[Mã Đơn bán]:[Mã NV]]),0),0)</f>
        <v>0</v>
      </c>
      <c r="AH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6" s="48">
        <f>IFERROR(Table_Main[[#This Row],[Giá trị bán trước VAT]]*Table_Main[[#This Row],[Tỷ lệ hoa hồng]],"")</f>
        <v>0</v>
      </c>
      <c r="AJ16" s="48">
        <f>IFERROR(VLOOKUP(Table_Main[[#This Row],[Đơn bán]],Table_DonBan[[Mã Đơn bán]:[Add]],COUNTA(Table_DonBan[[#Headers],[Mã Đơn bán]:[Kênh]]),0),0)</f>
        <v>0</v>
      </c>
      <c r="AK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6" s="48">
        <f>IFERROR(Table_Main[[#This Row],[Giá trị bán trước VAT]]*Table_Main[[#This Row],[Tỷ lệ CK kênh]],"")</f>
        <v>0</v>
      </c>
      <c r="AM16" s="230"/>
      <c r="AN16" s="232"/>
      <c r="AO16" s="226">
        <f>Table_Main[[#This Row],[ĐK - Phân loại]]*Table_Main[[#This Row],[ĐK - Thời gian]]*Table_Main[[#This Row],[ĐK - Giá trị]]*Table_Main[[#This Row],[ĐK - Số lượng]]*Table_Main[[#This Row],[ĐK - Sinh nhật]]*Table_Main[[#This Row],[ĐK - Ngày mua cuối]]</f>
        <v>1</v>
      </c>
      <c r="AP16" s="226">
        <f xml:space="preserve">
IF(ISBLANK(Table_Main[[#This Row],[Chương trình]]),1,
IF(VLOOKUP(Table_Main[[#This Row],[Chương trình]],Table_ChuongTrinh[[Mã Chương trình]:[Đối tượng CK]],Sheet_ChuongTrinh!$C$1,0) = "Sản phẩm",1,0))</f>
        <v>1</v>
      </c>
      <c r="AQ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7" ht="18" customHeight="1" x14ac:dyDescent="0.3">
      <c r="B17" s="523" t="s">
        <v>1159</v>
      </c>
      <c r="C17" s="523"/>
      <c r="D17" s="537" t="str">
        <f>IF(ISBLANK(Table_Main[[#This Row],[Mã SKU]]),Table_Main[[#This Row],[Mã Nguyên liệu]],Table_Main[[#This Row],[Mã SKU]])</f>
        <v>HH1</v>
      </c>
      <c r="E17" s="420"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20"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20"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20"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20">
        <f>IFERROR(Table_Main[[#This Row],[Giá trị tồn đầu ngày]]/Table_Main[[#This Row],[Tồn kho đầu ngày]],0)</f>
        <v>59403.864427860703</v>
      </c>
      <c r="J17" s="420">
        <f>IFERROR(Table_Main[[#This Row],[Giá trị tồn cuối ngày]]/Table_Main[[#This Row],[Tồn kho cuối ngày]],0)</f>
        <v>59403.864427860673</v>
      </c>
      <c r="K17" s="415">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1165</v>
      </c>
      <c r="Q17" s="408">
        <v>22</v>
      </c>
      <c r="R17" s="523"/>
      <c r="S17" s="537">
        <f>IFERROR(VLOOKUP(Table_Main[[#This Row],[Đơn Mua]],Table_DonMua[[Mã Đơn mua]:[Add]],COUNTA(Table_DonMua[[#Headers],[Mã Đơn mua]:[Mã Đối tác]]),0),0)</f>
        <v>0</v>
      </c>
      <c r="T17" s="409"/>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23" t="s">
        <v>1229</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48">
        <f xml:space="preserve">
IF(Table_Main[[#This Row],[Đơn bán]]="", 0,
IFERROR(
VLOOKUP(Table_Main[[#This Row],[Mã SKU]],Table_SKU[[Mã SKU]:[Tỷ suất VAT]],COUNTA(Table_SKU[[#Headers],[Mã SKU]:[Tỷ suất VAT]]),0),0)*Table_Main[[#This Row],[Giá trị bán trước VAT]])</f>
        <v>0</v>
      </c>
      <c r="AG17" s="51">
        <f>IFERROR(VLOOKUP(Table_Main[[#This Row],[Đơn bán]],Table_DonBan[[Mã Đơn bán]:[Add]],COUNTA(Table_DonBan[[#Headers],[Mã Đơn bán]:[Mã NV]]),0),0)</f>
        <v>0</v>
      </c>
      <c r="AH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7" s="48">
        <f>IFERROR(Table_Main[[#This Row],[Giá trị bán trước VAT]]*Table_Main[[#This Row],[Tỷ lệ hoa hồng]],"")</f>
        <v>0</v>
      </c>
      <c r="AJ17" s="48">
        <f>IFERROR(VLOOKUP(Table_Main[[#This Row],[Đơn bán]],Table_DonBan[[Mã Đơn bán]:[Add]],COUNTA(Table_DonBan[[#Headers],[Mã Đơn bán]:[Kênh]]),0),0)</f>
        <v>0</v>
      </c>
      <c r="AK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7" s="48">
        <f>IFERROR(Table_Main[[#This Row],[Giá trị bán trước VAT]]*Table_Main[[#This Row],[Tỷ lệ CK kênh]],"")</f>
        <v>0</v>
      </c>
      <c r="AM17" s="230"/>
      <c r="AN17" s="232"/>
      <c r="AO17" s="226">
        <f>Table_Main[[#This Row],[ĐK - Phân loại]]*Table_Main[[#This Row],[ĐK - Thời gian]]*Table_Main[[#This Row],[ĐK - Giá trị]]*Table_Main[[#This Row],[ĐK - Số lượng]]*Table_Main[[#This Row],[ĐK - Sinh nhật]]*Table_Main[[#This Row],[ĐK - Ngày mua cuối]]</f>
        <v>1</v>
      </c>
      <c r="AP17" s="226">
        <f xml:space="preserve">
IF(ISBLANK(Table_Main[[#This Row],[Chương trình]]),1,
IF(VLOOKUP(Table_Main[[#This Row],[Chương trình]],Table_ChuongTrinh[[Mã Chương trình]:[Đối tượng CK]],Sheet_ChuongTrinh!$C$1,0) = "Sản phẩm",1,0))</f>
        <v>1</v>
      </c>
      <c r="AQ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7" ht="18" customHeight="1" x14ac:dyDescent="0.3">
      <c r="B18" s="523" t="s">
        <v>1159</v>
      </c>
      <c r="C18" s="523"/>
      <c r="D18" s="537" t="str">
        <f>IF(ISBLANK(Table_Main[[#This Row],[Mã SKU]]),Table_Main[[#This Row],[Mã Nguyên liệu]],Table_Main[[#This Row],[Mã SKU]])</f>
        <v>HH1</v>
      </c>
      <c r="E18" s="420"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20"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20"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20"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20">
        <f>IFERROR(Table_Main[[#This Row],[Giá trị tồn đầu ngày]]/Table_Main[[#This Row],[Tồn kho đầu ngày]],0)</f>
        <v>59403.86442786071</v>
      </c>
      <c r="J18" s="420">
        <f>IFERROR(Table_Main[[#This Row],[Giá trị tồn cuối ngày]]/Table_Main[[#This Row],[Tồn kho cuối ngày]],0)</f>
        <v>59403.864427860703</v>
      </c>
      <c r="K18" s="415">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1165</v>
      </c>
      <c r="Q18" s="408">
        <v>2</v>
      </c>
      <c r="R18" s="523"/>
      <c r="S18" s="537">
        <f>IFERROR(VLOOKUP(Table_Main[[#This Row],[Đơn Mua]],Table_DonMua[[Mã Đơn mua]:[Add]],COUNTA(Table_DonMua[[#Headers],[Mã Đơn mua]:[Mã Đối tác]]),0),0)</f>
        <v>0</v>
      </c>
      <c r="T18" s="409"/>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23" t="s">
        <v>1228</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48">
        <f xml:space="preserve">
IF(Table_Main[[#This Row],[Đơn bán]]="", 0,
IFERROR(
VLOOKUP(Table_Main[[#This Row],[Mã SKU]],Table_SKU[[Mã SKU]:[Tỷ suất VAT]],COUNTA(Table_SKU[[#Headers],[Mã SKU]:[Tỷ suất VAT]]),0),0)*Table_Main[[#This Row],[Giá trị bán trước VAT]])</f>
        <v>0</v>
      </c>
      <c r="AG18" s="51">
        <f>IFERROR(VLOOKUP(Table_Main[[#This Row],[Đơn bán]],Table_DonBan[[Mã Đơn bán]:[Add]],COUNTA(Table_DonBan[[#Headers],[Mã Đơn bán]:[Mã NV]]),0),0)</f>
        <v>0</v>
      </c>
      <c r="AH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8" s="48">
        <f>IFERROR(Table_Main[[#This Row],[Giá trị bán trước VAT]]*Table_Main[[#This Row],[Tỷ lệ hoa hồng]],"")</f>
        <v>0</v>
      </c>
      <c r="AJ18" s="48">
        <f>IFERROR(VLOOKUP(Table_Main[[#This Row],[Đơn bán]],Table_DonBan[[Mã Đơn bán]:[Add]],COUNTA(Table_DonBan[[#Headers],[Mã Đơn bán]:[Kênh]]),0),0)</f>
        <v>0</v>
      </c>
      <c r="AK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8" s="48">
        <f>IFERROR(Table_Main[[#This Row],[Giá trị bán trước VAT]]*Table_Main[[#This Row],[Tỷ lệ CK kênh]],"")</f>
        <v>0</v>
      </c>
      <c r="AM18" s="230"/>
      <c r="AN18" s="232"/>
      <c r="AO18" s="226">
        <f>Table_Main[[#This Row],[ĐK - Phân loại]]*Table_Main[[#This Row],[ĐK - Thời gian]]*Table_Main[[#This Row],[ĐK - Giá trị]]*Table_Main[[#This Row],[ĐK - Số lượng]]*Table_Main[[#This Row],[ĐK - Sinh nhật]]*Table_Main[[#This Row],[ĐK - Ngày mua cuối]]</f>
        <v>1</v>
      </c>
      <c r="AP18" s="226">
        <f xml:space="preserve">
IF(ISBLANK(Table_Main[[#This Row],[Chương trình]]),1,
IF(VLOOKUP(Table_Main[[#This Row],[Chương trình]],Table_ChuongTrinh[[Mã Chương trình]:[Đối tượng CK]],Sheet_ChuongTrinh!$C$1,0) = "Sản phẩm",1,0))</f>
        <v>1</v>
      </c>
      <c r="AQ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7" ht="18" customHeight="1" x14ac:dyDescent="0.3">
      <c r="B19" s="523" t="s">
        <v>1161</v>
      </c>
      <c r="C19" s="523"/>
      <c r="D19" s="537" t="str">
        <f>IF(ISBLANK(Table_Main[[#This Row],[Mã SKU]]),Table_Main[[#This Row],[Mã Nguyên liệu]],Table_Main[[#This Row],[Mã SKU]])</f>
        <v>TP2</v>
      </c>
      <c r="E19" s="420"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20"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20"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20"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20">
        <f>IFERROR(Table_Main[[#This Row],[Giá trị tồn đầu ngày]]/Table_Main[[#This Row],[Tồn kho đầu ngày]],0)</f>
        <v>0</v>
      </c>
      <c r="J19" s="420">
        <f>IFERROR(Table_Main[[#This Row],[Giá trị tồn cuối ngày]]/Table_Main[[#This Row],[Tồn kho cuối ngày]],0)</f>
        <v>0</v>
      </c>
      <c r="K19" s="415">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1164</v>
      </c>
      <c r="P19" s="230" t="s">
        <v>1165</v>
      </c>
      <c r="Q19" s="408">
        <v>15</v>
      </c>
      <c r="R19" s="523"/>
      <c r="S19" s="537">
        <f>IFERROR(VLOOKUP(Table_Main[[#This Row],[Đơn Mua]],Table_DonMua[[Mã Đơn mua]:[Add]],COUNTA(Table_DonMua[[#Headers],[Mã Đơn mua]:[Mã Đối tác]]),0),0)</f>
        <v>0</v>
      </c>
      <c r="T19" s="409"/>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23"/>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48">
        <f xml:space="preserve">
IF(Table_Main[[#This Row],[Đơn bán]]="", 0,
IFERROR(
VLOOKUP(Table_Main[[#This Row],[Mã SKU]],Table_SKU[[Mã SKU]:[Tỷ suất VAT]],COUNTA(Table_SKU[[#Headers],[Mã SKU]:[Tỷ suất VAT]]),0),0)*Table_Main[[#This Row],[Giá trị bán trước VAT]])</f>
        <v>0</v>
      </c>
      <c r="AG19" s="51">
        <f>IFERROR(VLOOKUP(Table_Main[[#This Row],[Đơn bán]],Table_DonBan[[Mã Đơn bán]:[Add]],COUNTA(Table_DonBan[[#Headers],[Mã Đơn bán]:[Mã NV]]),0),0)</f>
        <v>0</v>
      </c>
      <c r="AH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9" s="48">
        <f>IFERROR(Table_Main[[#This Row],[Giá trị bán trước VAT]]*Table_Main[[#This Row],[Tỷ lệ hoa hồng]],"")</f>
        <v>0</v>
      </c>
      <c r="AJ19" s="48">
        <f>IFERROR(VLOOKUP(Table_Main[[#This Row],[Đơn bán]],Table_DonBan[[Mã Đơn bán]:[Add]],COUNTA(Table_DonBan[[#Headers],[Mã Đơn bán]:[Kênh]]),0),0)</f>
        <v>0</v>
      </c>
      <c r="AK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9" s="48">
        <f>IFERROR(Table_Main[[#This Row],[Giá trị bán trước VAT]]*Table_Main[[#This Row],[Tỷ lệ CK kênh]],"")</f>
        <v>0</v>
      </c>
      <c r="AM19" s="230"/>
      <c r="AN19" s="232"/>
      <c r="AO19" s="226">
        <f>Table_Main[[#This Row],[ĐK - Phân loại]]*Table_Main[[#This Row],[ĐK - Thời gian]]*Table_Main[[#This Row],[ĐK - Giá trị]]*Table_Main[[#This Row],[ĐK - Số lượng]]*Table_Main[[#This Row],[ĐK - Sinh nhật]]*Table_Main[[#This Row],[ĐK - Ngày mua cuối]]</f>
        <v>1</v>
      </c>
      <c r="AP19" s="226">
        <f xml:space="preserve">
IF(ISBLANK(Table_Main[[#This Row],[Chương trình]]),1,
IF(VLOOKUP(Table_Main[[#This Row],[Chương trình]],Table_ChuongTrinh[[Mã Chương trình]:[Đối tượng CK]],Sheet_ChuongTrinh!$C$1,0) = "Sản phẩm",1,0))</f>
        <v>1</v>
      </c>
      <c r="AQ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7" ht="18" customHeight="1" x14ac:dyDescent="0.3">
      <c r="B20" s="530"/>
      <c r="C20" s="239" t="s">
        <v>1163</v>
      </c>
      <c r="D20" s="538" t="str">
        <f>IF(ISBLANK(Table_Main[[#This Row],[Mã SKU]]),Table_Main[[#This Row],[Mã Nguyên liệu]],Table_Main[[#This Row],[Mã SKU]])</f>
        <v>NL1</v>
      </c>
      <c r="E20" s="420"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20"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20"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20"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20">
        <f>IFERROR(Table_Main[[#This Row],[Giá trị tồn đầu ngày]]/Table_Main[[#This Row],[Tồn kho đầu ngày]],0)</f>
        <v>97256.577798663333</v>
      </c>
      <c r="J20" s="420">
        <f>IFERROR(Table_Main[[#This Row],[Giá trị tồn cuối ngày]]/Table_Main[[#This Row],[Tồn kho cuối ngày]],0)</f>
        <v>97256.577798663333</v>
      </c>
      <c r="K20" s="415">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1165</v>
      </c>
      <c r="Q20" s="408">
        <v>27</v>
      </c>
      <c r="R20" s="523"/>
      <c r="S20" s="537">
        <f>IFERROR(VLOOKUP(Table_Main[[#This Row],[Đơn Mua]],Table_DonMua[[Mã Đơn mua]:[Add]],COUNTA(Table_DonMua[[#Headers],[Mã Đơn mua]:[Mã Đối tác]]),0),0)</f>
        <v>0</v>
      </c>
      <c r="T20" s="409"/>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23"/>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48">
        <f xml:space="preserve">
IF(Table_Main[[#This Row],[Đơn bán]]="", 0,
IFERROR(
VLOOKUP(Table_Main[[#This Row],[Mã SKU]],Table_SKU[[Mã SKU]:[Tỷ suất VAT]],COUNTA(Table_SKU[[#Headers],[Mã SKU]:[Tỷ suất VAT]]),0),0)*Table_Main[[#This Row],[Giá trị bán trước VAT]])</f>
        <v>0</v>
      </c>
      <c r="AG20" s="51">
        <f>IFERROR(VLOOKUP(Table_Main[[#This Row],[Đơn bán]],Table_DonBan[[Mã Đơn bán]:[Add]],COUNTA(Table_DonBan[[#Headers],[Mã Đơn bán]:[Mã NV]]),0),0)</f>
        <v>0</v>
      </c>
      <c r="AH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0" s="48">
        <f>IFERROR(Table_Main[[#This Row],[Giá trị bán trước VAT]]*Table_Main[[#This Row],[Tỷ lệ hoa hồng]],"")</f>
        <v>0</v>
      </c>
      <c r="AJ20" s="48">
        <f>IFERROR(VLOOKUP(Table_Main[[#This Row],[Đơn bán]],Table_DonBan[[Mã Đơn bán]:[Add]],COUNTA(Table_DonBan[[#Headers],[Mã Đơn bán]:[Kênh]]),0),0)</f>
        <v>0</v>
      </c>
      <c r="AK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0" s="48">
        <f>IFERROR(Table_Main[[#This Row],[Giá trị bán trước VAT]]*Table_Main[[#This Row],[Tỷ lệ CK kênh]],"")</f>
        <v>0</v>
      </c>
      <c r="AM20" s="230"/>
      <c r="AN20" s="232"/>
      <c r="AO20" s="226">
        <f>Table_Main[[#This Row],[ĐK - Phân loại]]*Table_Main[[#This Row],[ĐK - Thời gian]]*Table_Main[[#This Row],[ĐK - Giá trị]]*Table_Main[[#This Row],[ĐK - Số lượng]]*Table_Main[[#This Row],[ĐK - Sinh nhật]]*Table_Main[[#This Row],[ĐK - Ngày mua cuối]]</f>
        <v>1</v>
      </c>
      <c r="AP20" s="226">
        <f xml:space="preserve">
IF(ISBLANK(Table_Main[[#This Row],[Chương trình]]),1,
IF(VLOOKUP(Table_Main[[#This Row],[Chương trình]],Table_ChuongTrinh[[Mã Chương trình]:[Đối tượng CK]],Sheet_ChuongTrinh!$C$1,0) = "Sản phẩm",1,0))</f>
        <v>1</v>
      </c>
      <c r="AQ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7" ht="18" customHeight="1" x14ac:dyDescent="0.3">
      <c r="B21" s="530"/>
      <c r="C21" s="239" t="s">
        <v>1162</v>
      </c>
      <c r="D21" s="538" t="str">
        <f>IF(ISBLANK(Table_Main[[#This Row],[Mã SKU]]),Table_Main[[#This Row],[Mã Nguyên liệu]],Table_Main[[#This Row],[Mã SKU]])</f>
        <v>NL2</v>
      </c>
      <c r="E21" s="420"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20"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20"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20"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20">
        <f>IFERROR(Table_Main[[#This Row],[Giá trị tồn đầu ngày]]/Table_Main[[#This Row],[Tồn kho đầu ngày]],0)</f>
        <v>124434.76478973628</v>
      </c>
      <c r="J21" s="420">
        <f>IFERROR(Table_Main[[#This Row],[Giá trị tồn cuối ngày]]/Table_Main[[#This Row],[Tồn kho cuối ngày]],0)</f>
        <v>124977.61214215468</v>
      </c>
      <c r="K21" s="415">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1164</v>
      </c>
      <c r="P21" s="230" t="s">
        <v>1165</v>
      </c>
      <c r="Q21" s="408">
        <v>4</v>
      </c>
      <c r="R21" s="523" t="s">
        <v>1184</v>
      </c>
      <c r="S21" s="537" t="str">
        <f>IFERROR(VLOOKUP(Table_Main[[#This Row],[Đơn Mua]],Table_DonMua[[Mã Đơn mua]:[Add]],COUNTA(Table_DonMua[[#Headers],[Mã Đơn mua]:[Mã Đối tác]]),0),0)</f>
        <v>NCC2</v>
      </c>
      <c r="T21" s="409">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23"/>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48">
        <f xml:space="preserve">
IF(Table_Main[[#This Row],[Đơn bán]]="", 0,
IFERROR(
VLOOKUP(Table_Main[[#This Row],[Mã SKU]],Table_SKU[[Mã SKU]:[Tỷ suất VAT]],COUNTA(Table_SKU[[#Headers],[Mã SKU]:[Tỷ suất VAT]]),0),0)*Table_Main[[#This Row],[Giá trị bán trước VAT]])</f>
        <v>0</v>
      </c>
      <c r="AG21" s="51">
        <f>IFERROR(VLOOKUP(Table_Main[[#This Row],[Đơn bán]],Table_DonBan[[Mã Đơn bán]:[Add]],COUNTA(Table_DonBan[[#Headers],[Mã Đơn bán]:[Mã NV]]),0),0)</f>
        <v>0</v>
      </c>
      <c r="AH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1" s="48">
        <f>IFERROR(Table_Main[[#This Row],[Giá trị bán trước VAT]]*Table_Main[[#This Row],[Tỷ lệ hoa hồng]],"")</f>
        <v>0</v>
      </c>
      <c r="AJ21" s="48">
        <f>IFERROR(VLOOKUP(Table_Main[[#This Row],[Đơn bán]],Table_DonBan[[Mã Đơn bán]:[Add]],COUNTA(Table_DonBan[[#Headers],[Mã Đơn bán]:[Kênh]]),0),0)</f>
        <v>0</v>
      </c>
      <c r="AK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1" s="48">
        <f>IFERROR(Table_Main[[#This Row],[Giá trị bán trước VAT]]*Table_Main[[#This Row],[Tỷ lệ CK kênh]],"")</f>
        <v>0</v>
      </c>
      <c r="AM21" s="230"/>
      <c r="AN21" s="232"/>
      <c r="AO21" s="226">
        <f>Table_Main[[#This Row],[ĐK - Phân loại]]*Table_Main[[#This Row],[ĐK - Thời gian]]*Table_Main[[#This Row],[ĐK - Giá trị]]*Table_Main[[#This Row],[ĐK - Số lượng]]*Table_Main[[#This Row],[ĐK - Sinh nhật]]*Table_Main[[#This Row],[ĐK - Ngày mua cuối]]</f>
        <v>1</v>
      </c>
      <c r="AP21" s="226">
        <f xml:space="preserve">
IF(ISBLANK(Table_Main[[#This Row],[Chương trình]]),1,
IF(VLOOKUP(Table_Main[[#This Row],[Chương trình]],Table_ChuongTrinh[[Mã Chương trình]:[Đối tượng CK]],Sheet_ChuongTrinh!$C$1,0) = "Sản phẩm",1,0))</f>
        <v>1</v>
      </c>
      <c r="AQ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7" ht="18" customHeight="1" x14ac:dyDescent="0.3">
      <c r="B22" s="523" t="s">
        <v>1160</v>
      </c>
      <c r="C22" s="523"/>
      <c r="D22" s="537" t="str">
        <f>IF(ISBLANK(Table_Main[[#This Row],[Mã SKU]]),Table_Main[[#This Row],[Mã Nguyên liệu]],Table_Main[[#This Row],[Mã SKU]])</f>
        <v>TP1</v>
      </c>
      <c r="E22" s="420"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20"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20"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20"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20">
        <f>IFERROR(Table_Main[[#This Row],[Giá trị tồn đầu ngày]]/Table_Main[[#This Row],[Tồn kho đầu ngày]],0)</f>
        <v>0</v>
      </c>
      <c r="J22" s="420">
        <f>IFERROR(Table_Main[[#This Row],[Giá trị tồn cuối ngày]]/Table_Main[[#This Row],[Tồn kho cuối ngày]],0)</f>
        <v>0</v>
      </c>
      <c r="K22" s="415">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1165</v>
      </c>
      <c r="Q22" s="408">
        <v>22</v>
      </c>
      <c r="R22" s="523"/>
      <c r="S22" s="537">
        <f>IFERROR(VLOOKUP(Table_Main[[#This Row],[Đơn Mua]],Table_DonMua[[Mã Đơn mua]:[Add]],COUNTA(Table_DonMua[[#Headers],[Mã Đơn mua]:[Mã Đối tác]]),0),0)</f>
        <v>0</v>
      </c>
      <c r="T22" s="409"/>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23" t="s">
        <v>1227</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48">
        <f xml:space="preserve">
IF(Table_Main[[#This Row],[Đơn bán]]="", 0,
IFERROR(
VLOOKUP(Table_Main[[#This Row],[Mã SKU]],Table_SKU[[Mã SKU]:[Tỷ suất VAT]],COUNTA(Table_SKU[[#Headers],[Mã SKU]:[Tỷ suất VAT]]),0),0)*Table_Main[[#This Row],[Giá trị bán trước VAT]])</f>
        <v>0</v>
      </c>
      <c r="AG22" s="51">
        <f>IFERROR(VLOOKUP(Table_Main[[#This Row],[Đơn bán]],Table_DonBan[[Mã Đơn bán]:[Add]],COUNTA(Table_DonBan[[#Headers],[Mã Đơn bán]:[Mã NV]]),0),0)</f>
        <v>0</v>
      </c>
      <c r="AH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2" s="48">
        <f>IFERROR(Table_Main[[#This Row],[Giá trị bán trước VAT]]*Table_Main[[#This Row],[Tỷ lệ hoa hồng]],"")</f>
        <v>0</v>
      </c>
      <c r="AJ22" s="48">
        <f>IFERROR(VLOOKUP(Table_Main[[#This Row],[Đơn bán]],Table_DonBan[[Mã Đơn bán]:[Add]],COUNTA(Table_DonBan[[#Headers],[Mã Đơn bán]:[Kênh]]),0),0)</f>
        <v>0</v>
      </c>
      <c r="AK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2" s="48">
        <f>IFERROR(Table_Main[[#This Row],[Giá trị bán trước VAT]]*Table_Main[[#This Row],[Tỷ lệ CK kênh]],"")</f>
        <v>0</v>
      </c>
      <c r="AM22" s="230"/>
      <c r="AN22" s="232"/>
      <c r="AO22" s="226">
        <f>Table_Main[[#This Row],[ĐK - Phân loại]]*Table_Main[[#This Row],[ĐK - Thời gian]]*Table_Main[[#This Row],[ĐK - Giá trị]]*Table_Main[[#This Row],[ĐK - Số lượng]]*Table_Main[[#This Row],[ĐK - Sinh nhật]]*Table_Main[[#This Row],[ĐK - Ngày mua cuối]]</f>
        <v>1</v>
      </c>
      <c r="AP22" s="226">
        <f xml:space="preserve">
IF(ISBLANK(Table_Main[[#This Row],[Chương trình]]),1,
IF(VLOOKUP(Table_Main[[#This Row],[Chương trình]],Table_ChuongTrinh[[Mã Chương trình]:[Đối tượng CK]],Sheet_ChuongTrinh!$C$1,0) = "Sản phẩm",1,0))</f>
        <v>1</v>
      </c>
      <c r="AQ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7" ht="18" customHeight="1" x14ac:dyDescent="0.3">
      <c r="B23" s="523" t="s">
        <v>1161</v>
      </c>
      <c r="C23" s="523"/>
      <c r="D23" s="537" t="str">
        <f>IF(ISBLANK(Table_Main[[#This Row],[Mã SKU]]),Table_Main[[#This Row],[Mã Nguyên liệu]],Table_Main[[#This Row],[Mã SKU]])</f>
        <v>TP2</v>
      </c>
      <c r="E23" s="420"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20"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20"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20"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20">
        <f>IFERROR(Table_Main[[#This Row],[Giá trị tồn đầu ngày]]/Table_Main[[#This Row],[Tồn kho đầu ngày]],0)</f>
        <v>0</v>
      </c>
      <c r="J23" s="420">
        <f>IFERROR(Table_Main[[#This Row],[Giá trị tồn cuối ngày]]/Table_Main[[#This Row],[Tồn kho cuối ngày]],0)</f>
        <v>0</v>
      </c>
      <c r="K23" s="415">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1165</v>
      </c>
      <c r="Q23" s="408">
        <v>8</v>
      </c>
      <c r="R23" s="523"/>
      <c r="S23" s="537">
        <f>IFERROR(VLOOKUP(Table_Main[[#This Row],[Đơn Mua]],Table_DonMua[[Mã Đơn mua]:[Add]],COUNTA(Table_DonMua[[#Headers],[Mã Đơn mua]:[Mã Đối tác]]),0),0)</f>
        <v>0</v>
      </c>
      <c r="T23" s="409"/>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23" t="s">
        <v>1227</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48">
        <f xml:space="preserve">
IF(Table_Main[[#This Row],[Đơn bán]]="", 0,
IFERROR(
VLOOKUP(Table_Main[[#This Row],[Mã SKU]],Table_SKU[[Mã SKU]:[Tỷ suất VAT]],COUNTA(Table_SKU[[#Headers],[Mã SKU]:[Tỷ suất VAT]]),0),0)*Table_Main[[#This Row],[Giá trị bán trước VAT]])</f>
        <v>0</v>
      </c>
      <c r="AG23" s="51">
        <f>IFERROR(VLOOKUP(Table_Main[[#This Row],[Đơn bán]],Table_DonBan[[Mã Đơn bán]:[Add]],COUNTA(Table_DonBan[[#Headers],[Mã Đơn bán]:[Mã NV]]),0),0)</f>
        <v>0</v>
      </c>
      <c r="AH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3" s="48">
        <f>IFERROR(Table_Main[[#This Row],[Giá trị bán trước VAT]]*Table_Main[[#This Row],[Tỷ lệ hoa hồng]],"")</f>
        <v>0</v>
      </c>
      <c r="AJ23" s="48">
        <f>IFERROR(VLOOKUP(Table_Main[[#This Row],[Đơn bán]],Table_DonBan[[Mã Đơn bán]:[Add]],COUNTA(Table_DonBan[[#Headers],[Mã Đơn bán]:[Kênh]]),0),0)</f>
        <v>0</v>
      </c>
      <c r="AK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3" s="48">
        <f>IFERROR(Table_Main[[#This Row],[Giá trị bán trước VAT]]*Table_Main[[#This Row],[Tỷ lệ CK kênh]],"")</f>
        <v>0</v>
      </c>
      <c r="AM23" s="230"/>
      <c r="AN23" s="232"/>
      <c r="AO23" s="226">
        <f>Table_Main[[#This Row],[ĐK - Phân loại]]*Table_Main[[#This Row],[ĐK - Thời gian]]*Table_Main[[#This Row],[ĐK - Giá trị]]*Table_Main[[#This Row],[ĐK - Số lượng]]*Table_Main[[#This Row],[ĐK - Sinh nhật]]*Table_Main[[#This Row],[ĐK - Ngày mua cuối]]</f>
        <v>1</v>
      </c>
      <c r="AP23" s="226">
        <f xml:space="preserve">
IF(ISBLANK(Table_Main[[#This Row],[Chương trình]]),1,
IF(VLOOKUP(Table_Main[[#This Row],[Chương trình]],Table_ChuongTrinh[[Mã Chương trình]:[Đối tượng CK]],Sheet_ChuongTrinh!$C$1,0) = "Sản phẩm",1,0))</f>
        <v>1</v>
      </c>
      <c r="AQ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7" ht="18" customHeight="1" x14ac:dyDescent="0.3">
      <c r="B24" s="523" t="s">
        <v>1161</v>
      </c>
      <c r="C24" s="523"/>
      <c r="D24" s="537" t="str">
        <f>IF(ISBLANK(Table_Main[[#This Row],[Mã SKU]]),Table_Main[[#This Row],[Mã Nguyên liệu]],Table_Main[[#This Row],[Mã SKU]])</f>
        <v>TP2</v>
      </c>
      <c r="E24" s="420"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20"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20"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20"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20">
        <f>IFERROR(Table_Main[[#This Row],[Giá trị tồn đầu ngày]]/Table_Main[[#This Row],[Tồn kho đầu ngày]],0)</f>
        <v>0</v>
      </c>
      <c r="J24" s="420">
        <f>IFERROR(Table_Main[[#This Row],[Giá trị tồn cuối ngày]]/Table_Main[[#This Row],[Tồn kho cuối ngày]],0)</f>
        <v>0</v>
      </c>
      <c r="K24" s="415">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1165</v>
      </c>
      <c r="Q24" s="408">
        <v>34</v>
      </c>
      <c r="R24" s="523"/>
      <c r="S24" s="537">
        <f>IFERROR(VLOOKUP(Table_Main[[#This Row],[Đơn Mua]],Table_DonMua[[Mã Đơn mua]:[Add]],COUNTA(Table_DonMua[[#Headers],[Mã Đơn mua]:[Mã Đối tác]]),0),0)</f>
        <v>0</v>
      </c>
      <c r="T24" s="409"/>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23" t="s">
        <v>1226</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48">
        <f xml:space="preserve">
IF(Table_Main[[#This Row],[Đơn bán]]="", 0,
IFERROR(
VLOOKUP(Table_Main[[#This Row],[Mã SKU]],Table_SKU[[Mã SKU]:[Tỷ suất VAT]],COUNTA(Table_SKU[[#Headers],[Mã SKU]:[Tỷ suất VAT]]),0),0)*Table_Main[[#This Row],[Giá trị bán trước VAT]])</f>
        <v>0</v>
      </c>
      <c r="AG24" s="51">
        <f>IFERROR(VLOOKUP(Table_Main[[#This Row],[Đơn bán]],Table_DonBan[[Mã Đơn bán]:[Add]],COUNTA(Table_DonBan[[#Headers],[Mã Đơn bán]:[Mã NV]]),0),0)</f>
        <v>0</v>
      </c>
      <c r="AH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4" s="48">
        <f>IFERROR(Table_Main[[#This Row],[Giá trị bán trước VAT]]*Table_Main[[#This Row],[Tỷ lệ hoa hồng]],"")</f>
        <v>0</v>
      </c>
      <c r="AJ24" s="48">
        <f>IFERROR(VLOOKUP(Table_Main[[#This Row],[Đơn bán]],Table_DonBan[[Mã Đơn bán]:[Add]],COUNTA(Table_DonBan[[#Headers],[Mã Đơn bán]:[Kênh]]),0),0)</f>
        <v>0</v>
      </c>
      <c r="AK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4" s="48">
        <f>IFERROR(Table_Main[[#This Row],[Giá trị bán trước VAT]]*Table_Main[[#This Row],[Tỷ lệ CK kênh]],"")</f>
        <v>0</v>
      </c>
      <c r="AM24" s="230"/>
      <c r="AN24" s="232"/>
      <c r="AO24" s="226">
        <f>Table_Main[[#This Row],[ĐK - Phân loại]]*Table_Main[[#This Row],[ĐK - Thời gian]]*Table_Main[[#This Row],[ĐK - Giá trị]]*Table_Main[[#This Row],[ĐK - Số lượng]]*Table_Main[[#This Row],[ĐK - Sinh nhật]]*Table_Main[[#This Row],[ĐK - Ngày mua cuối]]</f>
        <v>1</v>
      </c>
      <c r="AP24" s="226">
        <f xml:space="preserve">
IF(ISBLANK(Table_Main[[#This Row],[Chương trình]]),1,
IF(VLOOKUP(Table_Main[[#This Row],[Chương trình]],Table_ChuongTrinh[[Mã Chương trình]:[Đối tượng CK]],Sheet_ChuongTrinh!$C$1,0) = "Sản phẩm",1,0))</f>
        <v>1</v>
      </c>
      <c r="AQ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7" ht="18" customHeight="1" x14ac:dyDescent="0.3">
      <c r="B25" s="523" t="s">
        <v>1159</v>
      </c>
      <c r="C25" s="523"/>
      <c r="D25" s="537" t="str">
        <f>IF(ISBLANK(Table_Main[[#This Row],[Mã SKU]]),Table_Main[[#This Row],[Mã Nguyên liệu]],Table_Main[[#This Row],[Mã SKU]])</f>
        <v>HH1</v>
      </c>
      <c r="E25" s="420"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20"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20"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20"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20">
        <f>IFERROR(Table_Main[[#This Row],[Giá trị tồn đầu ngày]]/Table_Main[[#This Row],[Tồn kho đầu ngày]],0)</f>
        <v>35013.186567164259</v>
      </c>
      <c r="J25" s="420">
        <f>IFERROR(Table_Main[[#This Row],[Giá trị tồn cuối ngày]]/Table_Main[[#This Row],[Tồn kho cuối ngày]],0)</f>
        <v>59403.86442786071</v>
      </c>
      <c r="K25" s="415">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1164</v>
      </c>
      <c r="P25" s="230" t="s">
        <v>1165</v>
      </c>
      <c r="Q25" s="408">
        <v>40</v>
      </c>
      <c r="R25" s="523" t="s">
        <v>1183</v>
      </c>
      <c r="S25" s="537" t="str">
        <f>IFERROR(VLOOKUP(Table_Main[[#This Row],[Đơn Mua]],Table_DonMua[[Mã Đơn mua]:[Add]],COUNTA(Table_DonMua[[#Headers],[Mã Đơn mua]:[Mã Đối tác]]),0),0)</f>
        <v>NCC1</v>
      </c>
      <c r="T25" s="409">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23"/>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48">
        <f xml:space="preserve">
IF(Table_Main[[#This Row],[Đơn bán]]="", 0,
IFERROR(
VLOOKUP(Table_Main[[#This Row],[Mã SKU]],Table_SKU[[Mã SKU]:[Tỷ suất VAT]],COUNTA(Table_SKU[[#Headers],[Mã SKU]:[Tỷ suất VAT]]),0),0)*Table_Main[[#This Row],[Giá trị bán trước VAT]])</f>
        <v>0</v>
      </c>
      <c r="AG25" s="51">
        <f>IFERROR(VLOOKUP(Table_Main[[#This Row],[Đơn bán]],Table_DonBan[[Mã Đơn bán]:[Add]],COUNTA(Table_DonBan[[#Headers],[Mã Đơn bán]:[Mã NV]]),0),0)</f>
        <v>0</v>
      </c>
      <c r="AH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5" s="48">
        <f>IFERROR(Table_Main[[#This Row],[Giá trị bán trước VAT]]*Table_Main[[#This Row],[Tỷ lệ hoa hồng]],"")</f>
        <v>0</v>
      </c>
      <c r="AJ25" s="48">
        <f>IFERROR(VLOOKUP(Table_Main[[#This Row],[Đơn bán]],Table_DonBan[[Mã Đơn bán]:[Add]],COUNTA(Table_DonBan[[#Headers],[Mã Đơn bán]:[Kênh]]),0),0)</f>
        <v>0</v>
      </c>
      <c r="AK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5" s="48">
        <f>IFERROR(Table_Main[[#This Row],[Giá trị bán trước VAT]]*Table_Main[[#This Row],[Tỷ lệ CK kênh]],"")</f>
        <v>0</v>
      </c>
      <c r="AM25" s="230"/>
      <c r="AN25" s="232"/>
      <c r="AO25" s="226">
        <f>Table_Main[[#This Row],[ĐK - Phân loại]]*Table_Main[[#This Row],[ĐK - Thời gian]]*Table_Main[[#This Row],[ĐK - Giá trị]]*Table_Main[[#This Row],[ĐK - Số lượng]]*Table_Main[[#This Row],[ĐK - Sinh nhật]]*Table_Main[[#This Row],[ĐK - Ngày mua cuối]]</f>
        <v>1</v>
      </c>
      <c r="AP25" s="226">
        <f xml:space="preserve">
IF(ISBLANK(Table_Main[[#This Row],[Chương trình]]),1,
IF(VLOOKUP(Table_Main[[#This Row],[Chương trình]],Table_ChuongTrinh[[Mã Chương trình]:[Đối tượng CK]],Sheet_ChuongTrinh!$C$1,0) = "Sản phẩm",1,0))</f>
        <v>1</v>
      </c>
      <c r="AQ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7" ht="18" customHeight="1" x14ac:dyDescent="0.3">
      <c r="B26" s="523" t="s">
        <v>1160</v>
      </c>
      <c r="C26" s="523"/>
      <c r="D26" s="537" t="str">
        <f>IF(ISBLANK(Table_Main[[#This Row],[Mã SKU]]),Table_Main[[#This Row],[Mã Nguyên liệu]],Table_Main[[#This Row],[Mã SKU]])</f>
        <v>TP1</v>
      </c>
      <c r="E26" s="420"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20"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20"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20"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20">
        <f>IFERROR(Table_Main[[#This Row],[Giá trị tồn đầu ngày]]/Table_Main[[#This Row],[Tồn kho đầu ngày]],0)</f>
        <v>0</v>
      </c>
      <c r="J26" s="420">
        <f>IFERROR(Table_Main[[#This Row],[Giá trị tồn cuối ngày]]/Table_Main[[#This Row],[Tồn kho cuối ngày]],0)</f>
        <v>0</v>
      </c>
      <c r="K26" s="415">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1164</v>
      </c>
      <c r="P26" s="230" t="s">
        <v>1165</v>
      </c>
      <c r="Q26" s="408">
        <v>5</v>
      </c>
      <c r="R26" s="523"/>
      <c r="S26" s="537">
        <f>IFERROR(VLOOKUP(Table_Main[[#This Row],[Đơn Mua]],Table_DonMua[[Mã Đơn mua]:[Add]],COUNTA(Table_DonMua[[#Headers],[Mã Đơn mua]:[Mã Đối tác]]),0),0)</f>
        <v>0</v>
      </c>
      <c r="T26" s="409"/>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23"/>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48">
        <f xml:space="preserve">
IF(Table_Main[[#This Row],[Đơn bán]]="", 0,
IFERROR(
VLOOKUP(Table_Main[[#This Row],[Mã SKU]],Table_SKU[[Mã SKU]:[Tỷ suất VAT]],COUNTA(Table_SKU[[#Headers],[Mã SKU]:[Tỷ suất VAT]]),0),0)*Table_Main[[#This Row],[Giá trị bán trước VAT]])</f>
        <v>0</v>
      </c>
      <c r="AG26" s="51">
        <f>IFERROR(VLOOKUP(Table_Main[[#This Row],[Đơn bán]],Table_DonBan[[Mã Đơn bán]:[Add]],COUNTA(Table_DonBan[[#Headers],[Mã Đơn bán]:[Mã NV]]),0),0)</f>
        <v>0</v>
      </c>
      <c r="AH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6" s="48">
        <f>IFERROR(Table_Main[[#This Row],[Giá trị bán trước VAT]]*Table_Main[[#This Row],[Tỷ lệ hoa hồng]],"")</f>
        <v>0</v>
      </c>
      <c r="AJ26" s="48">
        <f>IFERROR(VLOOKUP(Table_Main[[#This Row],[Đơn bán]],Table_DonBan[[Mã Đơn bán]:[Add]],COUNTA(Table_DonBan[[#Headers],[Mã Đơn bán]:[Kênh]]),0),0)</f>
        <v>0</v>
      </c>
      <c r="AK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6" s="48">
        <f>IFERROR(Table_Main[[#This Row],[Giá trị bán trước VAT]]*Table_Main[[#This Row],[Tỷ lệ CK kênh]],"")</f>
        <v>0</v>
      </c>
      <c r="AM26" s="230"/>
      <c r="AN26" s="232"/>
      <c r="AO26" s="226">
        <f>Table_Main[[#This Row],[ĐK - Phân loại]]*Table_Main[[#This Row],[ĐK - Thời gian]]*Table_Main[[#This Row],[ĐK - Giá trị]]*Table_Main[[#This Row],[ĐK - Số lượng]]*Table_Main[[#This Row],[ĐK - Sinh nhật]]*Table_Main[[#This Row],[ĐK - Ngày mua cuối]]</f>
        <v>1</v>
      </c>
      <c r="AP26" s="226">
        <f xml:space="preserve">
IF(ISBLANK(Table_Main[[#This Row],[Chương trình]]),1,
IF(VLOOKUP(Table_Main[[#This Row],[Chương trình]],Table_ChuongTrinh[[Mã Chương trình]:[Đối tượng CK]],Sheet_ChuongTrinh!$C$1,0) = "Sản phẩm",1,0))</f>
        <v>1</v>
      </c>
      <c r="AQ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7" ht="18" customHeight="1" x14ac:dyDescent="0.3">
      <c r="B27" s="523" t="s">
        <v>1160</v>
      </c>
      <c r="C27" s="523"/>
      <c r="D27" s="537" t="str">
        <f>IF(ISBLANK(Table_Main[[#This Row],[Mã SKU]]),Table_Main[[#This Row],[Mã Nguyên liệu]],Table_Main[[#This Row],[Mã SKU]])</f>
        <v>TP1</v>
      </c>
      <c r="E27" s="420"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20"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20"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20"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20">
        <f>IFERROR(Table_Main[[#This Row],[Giá trị tồn đầu ngày]]/Table_Main[[#This Row],[Tồn kho đầu ngày]],0)</f>
        <v>0</v>
      </c>
      <c r="J27" s="420">
        <f>IFERROR(Table_Main[[#This Row],[Giá trị tồn cuối ngày]]/Table_Main[[#This Row],[Tồn kho cuối ngày]],0)</f>
        <v>0</v>
      </c>
      <c r="K27" s="415">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1165</v>
      </c>
      <c r="Q27" s="408">
        <v>16</v>
      </c>
      <c r="R27" s="523"/>
      <c r="S27" s="537">
        <f>IFERROR(VLOOKUP(Table_Main[[#This Row],[Đơn Mua]],Table_DonMua[[Mã Đơn mua]:[Add]],COUNTA(Table_DonMua[[#Headers],[Mã Đơn mua]:[Mã Đối tác]]),0),0)</f>
        <v>0</v>
      </c>
      <c r="T27" s="409"/>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23" t="s">
        <v>1225</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48">
        <f xml:space="preserve">
IF(Table_Main[[#This Row],[Đơn bán]]="", 0,
IFERROR(
VLOOKUP(Table_Main[[#This Row],[Mã SKU]],Table_SKU[[Mã SKU]:[Tỷ suất VAT]],COUNTA(Table_SKU[[#Headers],[Mã SKU]:[Tỷ suất VAT]]),0),0)*Table_Main[[#This Row],[Giá trị bán trước VAT]])</f>
        <v>0</v>
      </c>
      <c r="AG27" s="51">
        <f>IFERROR(VLOOKUP(Table_Main[[#This Row],[Đơn bán]],Table_DonBan[[Mã Đơn bán]:[Add]],COUNTA(Table_DonBan[[#Headers],[Mã Đơn bán]:[Mã NV]]),0),0)</f>
        <v>0</v>
      </c>
      <c r="AH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7" s="48">
        <f>IFERROR(Table_Main[[#This Row],[Giá trị bán trước VAT]]*Table_Main[[#This Row],[Tỷ lệ hoa hồng]],"")</f>
        <v>0</v>
      </c>
      <c r="AJ27" s="48">
        <f>IFERROR(VLOOKUP(Table_Main[[#This Row],[Đơn bán]],Table_DonBan[[Mã Đơn bán]:[Add]],COUNTA(Table_DonBan[[#Headers],[Mã Đơn bán]:[Kênh]]),0),0)</f>
        <v>0</v>
      </c>
      <c r="AK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7" s="48">
        <f>IFERROR(Table_Main[[#This Row],[Giá trị bán trước VAT]]*Table_Main[[#This Row],[Tỷ lệ CK kênh]],"")</f>
        <v>0</v>
      </c>
      <c r="AM27" s="230"/>
      <c r="AN27" s="232"/>
      <c r="AO27" s="226">
        <f>Table_Main[[#This Row],[ĐK - Phân loại]]*Table_Main[[#This Row],[ĐK - Thời gian]]*Table_Main[[#This Row],[ĐK - Giá trị]]*Table_Main[[#This Row],[ĐK - Số lượng]]*Table_Main[[#This Row],[ĐK - Sinh nhật]]*Table_Main[[#This Row],[ĐK - Ngày mua cuối]]</f>
        <v>1</v>
      </c>
      <c r="AP27" s="226">
        <f xml:space="preserve">
IF(ISBLANK(Table_Main[[#This Row],[Chương trình]]),1,
IF(VLOOKUP(Table_Main[[#This Row],[Chương trình]],Table_ChuongTrinh[[Mã Chương trình]:[Đối tượng CK]],Sheet_ChuongTrinh!$C$1,0) = "Sản phẩm",1,0))</f>
        <v>1</v>
      </c>
      <c r="AQ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7" ht="18" customHeight="1" x14ac:dyDescent="0.3">
      <c r="B28" s="523" t="s">
        <v>1161</v>
      </c>
      <c r="C28" s="523"/>
      <c r="D28" s="537" t="str">
        <f>IF(ISBLANK(Table_Main[[#This Row],[Mã SKU]]),Table_Main[[#This Row],[Mã Nguyên liệu]],Table_Main[[#This Row],[Mã SKU]])</f>
        <v>TP2</v>
      </c>
      <c r="E28" s="420"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20"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20"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20"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20">
        <f>IFERROR(Table_Main[[#This Row],[Giá trị tồn đầu ngày]]/Table_Main[[#This Row],[Tồn kho đầu ngày]],0)</f>
        <v>0</v>
      </c>
      <c r="J28" s="420">
        <f>IFERROR(Table_Main[[#This Row],[Giá trị tồn cuối ngày]]/Table_Main[[#This Row],[Tồn kho cuối ngày]],0)</f>
        <v>0</v>
      </c>
      <c r="K28" s="415">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1164</v>
      </c>
      <c r="P28" s="230" t="s">
        <v>1165</v>
      </c>
      <c r="Q28" s="408">
        <v>29</v>
      </c>
      <c r="R28" s="523"/>
      <c r="S28" s="537">
        <f>IFERROR(VLOOKUP(Table_Main[[#This Row],[Đơn Mua]],Table_DonMua[[Mã Đơn mua]:[Add]],COUNTA(Table_DonMua[[#Headers],[Mã Đơn mua]:[Mã Đối tác]]),0),0)</f>
        <v>0</v>
      </c>
      <c r="T28" s="409"/>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23"/>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48">
        <f xml:space="preserve">
IF(Table_Main[[#This Row],[Đơn bán]]="", 0,
IFERROR(
VLOOKUP(Table_Main[[#This Row],[Mã SKU]],Table_SKU[[Mã SKU]:[Tỷ suất VAT]],COUNTA(Table_SKU[[#Headers],[Mã SKU]:[Tỷ suất VAT]]),0),0)*Table_Main[[#This Row],[Giá trị bán trước VAT]])</f>
        <v>0</v>
      </c>
      <c r="AG28" s="51">
        <f>IFERROR(VLOOKUP(Table_Main[[#This Row],[Đơn bán]],Table_DonBan[[Mã Đơn bán]:[Add]],COUNTA(Table_DonBan[[#Headers],[Mã Đơn bán]:[Mã NV]]),0),0)</f>
        <v>0</v>
      </c>
      <c r="AH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8" s="48">
        <f>IFERROR(Table_Main[[#This Row],[Giá trị bán trước VAT]]*Table_Main[[#This Row],[Tỷ lệ hoa hồng]],"")</f>
        <v>0</v>
      </c>
      <c r="AJ28" s="48">
        <f>IFERROR(VLOOKUP(Table_Main[[#This Row],[Đơn bán]],Table_DonBan[[Mã Đơn bán]:[Add]],COUNTA(Table_DonBan[[#Headers],[Mã Đơn bán]:[Kênh]]),0),0)</f>
        <v>0</v>
      </c>
      <c r="AK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8" s="48">
        <f>IFERROR(Table_Main[[#This Row],[Giá trị bán trước VAT]]*Table_Main[[#This Row],[Tỷ lệ CK kênh]],"")</f>
        <v>0</v>
      </c>
      <c r="AM28" s="230"/>
      <c r="AN28" s="232"/>
      <c r="AO28" s="226">
        <f>Table_Main[[#This Row],[ĐK - Phân loại]]*Table_Main[[#This Row],[ĐK - Thời gian]]*Table_Main[[#This Row],[ĐK - Giá trị]]*Table_Main[[#This Row],[ĐK - Số lượng]]*Table_Main[[#This Row],[ĐK - Sinh nhật]]*Table_Main[[#This Row],[ĐK - Ngày mua cuối]]</f>
        <v>1</v>
      </c>
      <c r="AP28" s="226">
        <f xml:space="preserve">
IF(ISBLANK(Table_Main[[#This Row],[Chương trình]]),1,
IF(VLOOKUP(Table_Main[[#This Row],[Chương trình]],Table_ChuongTrinh[[Mã Chương trình]:[Đối tượng CK]],Sheet_ChuongTrinh!$C$1,0) = "Sản phẩm",1,0))</f>
        <v>1</v>
      </c>
      <c r="AQ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7" ht="18" customHeight="1" x14ac:dyDescent="0.3">
      <c r="B29" s="530"/>
      <c r="C29" s="239" t="s">
        <v>1163</v>
      </c>
      <c r="D29" s="538" t="str">
        <f>IF(ISBLANK(Table_Main[[#This Row],[Mã SKU]]),Table_Main[[#This Row],[Mã Nguyên liệu]],Table_Main[[#This Row],[Mã SKU]])</f>
        <v>NL1</v>
      </c>
      <c r="E29" s="420"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20"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20"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20"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20">
        <f>IFERROR(Table_Main[[#This Row],[Giá trị tồn đầu ngày]]/Table_Main[[#This Row],[Tồn kho đầu ngày]],0)</f>
        <v>98498.533356417363</v>
      </c>
      <c r="J29" s="420">
        <f>IFERROR(Table_Main[[#This Row],[Giá trị tồn cuối ngày]]/Table_Main[[#This Row],[Tồn kho cuối ngày]],0)</f>
        <v>97256.577798663333</v>
      </c>
      <c r="K29" s="415">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1164</v>
      </c>
      <c r="P29" s="230" t="s">
        <v>1165</v>
      </c>
      <c r="Q29" s="408">
        <v>16</v>
      </c>
      <c r="R29" s="523" t="s">
        <v>1182</v>
      </c>
      <c r="S29" s="537" t="str">
        <f>IFERROR(VLOOKUP(Table_Main[[#This Row],[Đơn Mua]],Table_DonMua[[Mã Đơn mua]:[Add]],COUNTA(Table_DonMua[[#Headers],[Mã Đơn mua]:[Mã Đối tác]]),0),0)</f>
        <v>NCC2</v>
      </c>
      <c r="T29" s="409">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23"/>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48">
        <f xml:space="preserve">
IF(Table_Main[[#This Row],[Đơn bán]]="", 0,
IFERROR(
VLOOKUP(Table_Main[[#This Row],[Mã SKU]],Table_SKU[[Mã SKU]:[Tỷ suất VAT]],COUNTA(Table_SKU[[#Headers],[Mã SKU]:[Tỷ suất VAT]]),0),0)*Table_Main[[#This Row],[Giá trị bán trước VAT]])</f>
        <v>0</v>
      </c>
      <c r="AG29" s="51">
        <f>IFERROR(VLOOKUP(Table_Main[[#This Row],[Đơn bán]],Table_DonBan[[Mã Đơn bán]:[Add]],COUNTA(Table_DonBan[[#Headers],[Mã Đơn bán]:[Mã NV]]),0),0)</f>
        <v>0</v>
      </c>
      <c r="AH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9" s="48">
        <f>IFERROR(Table_Main[[#This Row],[Giá trị bán trước VAT]]*Table_Main[[#This Row],[Tỷ lệ hoa hồng]],"")</f>
        <v>0</v>
      </c>
      <c r="AJ29" s="48">
        <f>IFERROR(VLOOKUP(Table_Main[[#This Row],[Đơn bán]],Table_DonBan[[Mã Đơn bán]:[Add]],COUNTA(Table_DonBan[[#Headers],[Mã Đơn bán]:[Kênh]]),0),0)</f>
        <v>0</v>
      </c>
      <c r="AK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9" s="48">
        <f>IFERROR(Table_Main[[#This Row],[Giá trị bán trước VAT]]*Table_Main[[#This Row],[Tỷ lệ CK kênh]],"")</f>
        <v>0</v>
      </c>
      <c r="AM29" s="230"/>
      <c r="AN29" s="232"/>
      <c r="AO29" s="226">
        <f>Table_Main[[#This Row],[ĐK - Phân loại]]*Table_Main[[#This Row],[ĐK - Thời gian]]*Table_Main[[#This Row],[ĐK - Giá trị]]*Table_Main[[#This Row],[ĐK - Số lượng]]*Table_Main[[#This Row],[ĐK - Sinh nhật]]*Table_Main[[#This Row],[ĐK - Ngày mua cuối]]</f>
        <v>1</v>
      </c>
      <c r="AP29" s="226">
        <f xml:space="preserve">
IF(ISBLANK(Table_Main[[#This Row],[Chương trình]]),1,
IF(VLOOKUP(Table_Main[[#This Row],[Chương trình]],Table_ChuongTrinh[[Mã Chương trình]:[Đối tượng CK]],Sheet_ChuongTrinh!$C$1,0) = "Sản phẩm",1,0))</f>
        <v>1</v>
      </c>
      <c r="AQ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7" ht="18" customHeight="1" x14ac:dyDescent="0.3">
      <c r="B30" s="523" t="s">
        <v>1161</v>
      </c>
      <c r="C30" s="523"/>
      <c r="D30" s="537" t="str">
        <f>IF(ISBLANK(Table_Main[[#This Row],[Mã SKU]]),Table_Main[[#This Row],[Mã Nguyên liệu]],Table_Main[[#This Row],[Mã SKU]])</f>
        <v>TP2</v>
      </c>
      <c r="E30" s="420"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20"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20"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20"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20">
        <f>IFERROR(Table_Main[[#This Row],[Giá trị tồn đầu ngày]]/Table_Main[[#This Row],[Tồn kho đầu ngày]],0)</f>
        <v>0</v>
      </c>
      <c r="J30" s="420">
        <f>IFERROR(Table_Main[[#This Row],[Giá trị tồn cuối ngày]]/Table_Main[[#This Row],[Tồn kho cuối ngày]],0)</f>
        <v>0</v>
      </c>
      <c r="K30" s="415">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1165</v>
      </c>
      <c r="Q30" s="408">
        <v>39</v>
      </c>
      <c r="R30" s="523"/>
      <c r="S30" s="537">
        <f>IFERROR(VLOOKUP(Table_Main[[#This Row],[Đơn Mua]],Table_DonMua[[Mã Đơn mua]:[Add]],COUNTA(Table_DonMua[[#Headers],[Mã Đơn mua]:[Mã Đối tác]]),0),0)</f>
        <v>0</v>
      </c>
      <c r="T30" s="409"/>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23" t="s">
        <v>1224</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48">
        <f xml:space="preserve">
IF(Table_Main[[#This Row],[Đơn bán]]="", 0,
IFERROR(
VLOOKUP(Table_Main[[#This Row],[Mã SKU]],Table_SKU[[Mã SKU]:[Tỷ suất VAT]],COUNTA(Table_SKU[[#Headers],[Mã SKU]:[Tỷ suất VAT]]),0),0)*Table_Main[[#This Row],[Giá trị bán trước VAT]])</f>
        <v>0</v>
      </c>
      <c r="AG30" s="51">
        <f>IFERROR(VLOOKUP(Table_Main[[#This Row],[Đơn bán]],Table_DonBan[[Mã Đơn bán]:[Add]],COUNTA(Table_DonBan[[#Headers],[Mã Đơn bán]:[Mã NV]]),0),0)</f>
        <v>0</v>
      </c>
      <c r="AH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0" s="48">
        <f>IFERROR(Table_Main[[#This Row],[Giá trị bán trước VAT]]*Table_Main[[#This Row],[Tỷ lệ hoa hồng]],"")</f>
        <v>0</v>
      </c>
      <c r="AJ30" s="48">
        <f>IFERROR(VLOOKUP(Table_Main[[#This Row],[Đơn bán]],Table_DonBan[[Mã Đơn bán]:[Add]],COUNTA(Table_DonBan[[#Headers],[Mã Đơn bán]:[Kênh]]),0),0)</f>
        <v>0</v>
      </c>
      <c r="AK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0" s="48">
        <f>IFERROR(Table_Main[[#This Row],[Giá trị bán trước VAT]]*Table_Main[[#This Row],[Tỷ lệ CK kênh]],"")</f>
        <v>0</v>
      </c>
      <c r="AM30" s="230"/>
      <c r="AN30" s="232"/>
      <c r="AO30" s="226">
        <f>Table_Main[[#This Row],[ĐK - Phân loại]]*Table_Main[[#This Row],[ĐK - Thời gian]]*Table_Main[[#This Row],[ĐK - Giá trị]]*Table_Main[[#This Row],[ĐK - Số lượng]]*Table_Main[[#This Row],[ĐK - Sinh nhật]]*Table_Main[[#This Row],[ĐK - Ngày mua cuối]]</f>
        <v>1</v>
      </c>
      <c r="AP30" s="226">
        <f xml:space="preserve">
IF(ISBLANK(Table_Main[[#This Row],[Chương trình]]),1,
IF(VLOOKUP(Table_Main[[#This Row],[Chương trình]],Table_ChuongTrinh[[Mã Chương trình]:[Đối tượng CK]],Sheet_ChuongTrinh!$C$1,0) = "Sản phẩm",1,0))</f>
        <v>1</v>
      </c>
      <c r="AQ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7" ht="18" customHeight="1" x14ac:dyDescent="0.3">
      <c r="B31" s="523" t="s">
        <v>1161</v>
      </c>
      <c r="C31" s="523"/>
      <c r="D31" s="537" t="str">
        <f>IF(ISBLANK(Table_Main[[#This Row],[Mã SKU]]),Table_Main[[#This Row],[Mã Nguyên liệu]],Table_Main[[#This Row],[Mã SKU]])</f>
        <v>TP2</v>
      </c>
      <c r="E31" s="420"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20"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20"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20"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20">
        <f>IFERROR(Table_Main[[#This Row],[Giá trị tồn đầu ngày]]/Table_Main[[#This Row],[Tồn kho đầu ngày]],0)</f>
        <v>0</v>
      </c>
      <c r="J31" s="420">
        <f>IFERROR(Table_Main[[#This Row],[Giá trị tồn cuối ngày]]/Table_Main[[#This Row],[Tồn kho cuối ngày]],0)</f>
        <v>0</v>
      </c>
      <c r="K31" s="415">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1165</v>
      </c>
      <c r="Q31" s="408">
        <v>21</v>
      </c>
      <c r="R31" s="523"/>
      <c r="S31" s="537">
        <f>IFERROR(VLOOKUP(Table_Main[[#This Row],[Đơn Mua]],Table_DonMua[[Mã Đơn mua]:[Add]],COUNTA(Table_DonMua[[#Headers],[Mã Đơn mua]:[Mã Đối tác]]),0),0)</f>
        <v>0</v>
      </c>
      <c r="T31" s="409"/>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23" t="s">
        <v>1223</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48">
        <f xml:space="preserve">
IF(Table_Main[[#This Row],[Đơn bán]]="", 0,
IFERROR(
VLOOKUP(Table_Main[[#This Row],[Mã SKU]],Table_SKU[[Mã SKU]:[Tỷ suất VAT]],COUNTA(Table_SKU[[#Headers],[Mã SKU]:[Tỷ suất VAT]]),0),0)*Table_Main[[#This Row],[Giá trị bán trước VAT]])</f>
        <v>0</v>
      </c>
      <c r="AG31" s="51">
        <f>IFERROR(VLOOKUP(Table_Main[[#This Row],[Đơn bán]],Table_DonBan[[Mã Đơn bán]:[Add]],COUNTA(Table_DonBan[[#Headers],[Mã Đơn bán]:[Mã NV]]),0),0)</f>
        <v>0</v>
      </c>
      <c r="AH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1" s="48">
        <f>IFERROR(Table_Main[[#This Row],[Giá trị bán trước VAT]]*Table_Main[[#This Row],[Tỷ lệ hoa hồng]],"")</f>
        <v>0</v>
      </c>
      <c r="AJ31" s="48">
        <f>IFERROR(VLOOKUP(Table_Main[[#This Row],[Đơn bán]],Table_DonBan[[Mã Đơn bán]:[Add]],COUNTA(Table_DonBan[[#Headers],[Mã Đơn bán]:[Kênh]]),0),0)</f>
        <v>0</v>
      </c>
      <c r="AK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1" s="48">
        <f>IFERROR(Table_Main[[#This Row],[Giá trị bán trước VAT]]*Table_Main[[#This Row],[Tỷ lệ CK kênh]],"")</f>
        <v>0</v>
      </c>
      <c r="AM31" s="230"/>
      <c r="AN31" s="232"/>
      <c r="AO31" s="226">
        <f>Table_Main[[#This Row],[ĐK - Phân loại]]*Table_Main[[#This Row],[ĐK - Thời gian]]*Table_Main[[#This Row],[ĐK - Giá trị]]*Table_Main[[#This Row],[ĐK - Số lượng]]*Table_Main[[#This Row],[ĐK - Sinh nhật]]*Table_Main[[#This Row],[ĐK - Ngày mua cuối]]</f>
        <v>1</v>
      </c>
      <c r="AP31" s="226">
        <f xml:space="preserve">
IF(ISBLANK(Table_Main[[#This Row],[Chương trình]]),1,
IF(VLOOKUP(Table_Main[[#This Row],[Chương trình]],Table_ChuongTrinh[[Mã Chương trình]:[Đối tượng CK]],Sheet_ChuongTrinh!$C$1,0) = "Sản phẩm",1,0))</f>
        <v>1</v>
      </c>
      <c r="AQ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7" ht="18" customHeight="1" x14ac:dyDescent="0.3">
      <c r="B32" s="530"/>
      <c r="C32" s="239" t="s">
        <v>1163</v>
      </c>
      <c r="D32" s="538" t="str">
        <f>IF(ISBLANK(Table_Main[[#This Row],[Mã SKU]]),Table_Main[[#This Row],[Mã Nguyên liệu]],Table_Main[[#This Row],[Mã SKU]])</f>
        <v>NL1</v>
      </c>
      <c r="E32" s="420"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20"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20"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20"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20">
        <f>IFERROR(Table_Main[[#This Row],[Giá trị tồn đầu ngày]]/Table_Main[[#This Row],[Tồn kho đầu ngày]],0)</f>
        <v>102362.35087719299</v>
      </c>
      <c r="J32" s="420">
        <f>IFERROR(Table_Main[[#This Row],[Giá trị tồn cuối ngày]]/Table_Main[[#This Row],[Tồn kho cuối ngày]],0)</f>
        <v>98498.533356417363</v>
      </c>
      <c r="K32" s="415">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1164</v>
      </c>
      <c r="P32" s="230" t="s">
        <v>1165</v>
      </c>
      <c r="Q32" s="408">
        <v>15</v>
      </c>
      <c r="R32" s="523" t="s">
        <v>1181</v>
      </c>
      <c r="S32" s="537" t="str">
        <f>IFERROR(VLOOKUP(Table_Main[[#This Row],[Đơn Mua]],Table_DonMua[[Mã Đơn mua]:[Add]],COUNTA(Table_DonMua[[#Headers],[Mã Đơn mua]:[Mã Đối tác]]),0),0)</f>
        <v>NCC1</v>
      </c>
      <c r="T32" s="409">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23"/>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48">
        <f xml:space="preserve">
IF(Table_Main[[#This Row],[Đơn bán]]="", 0,
IFERROR(
VLOOKUP(Table_Main[[#This Row],[Mã SKU]],Table_SKU[[Mã SKU]:[Tỷ suất VAT]],COUNTA(Table_SKU[[#Headers],[Mã SKU]:[Tỷ suất VAT]]),0),0)*Table_Main[[#This Row],[Giá trị bán trước VAT]])</f>
        <v>0</v>
      </c>
      <c r="AG32" s="51">
        <f>IFERROR(VLOOKUP(Table_Main[[#This Row],[Đơn bán]],Table_DonBan[[Mã Đơn bán]:[Add]],COUNTA(Table_DonBan[[#Headers],[Mã Đơn bán]:[Mã NV]]),0),0)</f>
        <v>0</v>
      </c>
      <c r="AH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2" s="48">
        <f>IFERROR(Table_Main[[#This Row],[Giá trị bán trước VAT]]*Table_Main[[#This Row],[Tỷ lệ hoa hồng]],"")</f>
        <v>0</v>
      </c>
      <c r="AJ32" s="48">
        <f>IFERROR(VLOOKUP(Table_Main[[#This Row],[Đơn bán]],Table_DonBan[[Mã Đơn bán]:[Add]],COUNTA(Table_DonBan[[#Headers],[Mã Đơn bán]:[Kênh]]),0),0)</f>
        <v>0</v>
      </c>
      <c r="AK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2" s="48">
        <f>IFERROR(Table_Main[[#This Row],[Giá trị bán trước VAT]]*Table_Main[[#This Row],[Tỷ lệ CK kênh]],"")</f>
        <v>0</v>
      </c>
      <c r="AM32" s="230"/>
      <c r="AN32" s="232"/>
      <c r="AO32" s="226">
        <f>Table_Main[[#This Row],[ĐK - Phân loại]]*Table_Main[[#This Row],[ĐK - Thời gian]]*Table_Main[[#This Row],[ĐK - Giá trị]]*Table_Main[[#This Row],[ĐK - Số lượng]]*Table_Main[[#This Row],[ĐK - Sinh nhật]]*Table_Main[[#This Row],[ĐK - Ngày mua cuối]]</f>
        <v>1</v>
      </c>
      <c r="AP32" s="226">
        <f xml:space="preserve">
IF(ISBLANK(Table_Main[[#This Row],[Chương trình]]),1,
IF(VLOOKUP(Table_Main[[#This Row],[Chương trình]],Table_ChuongTrinh[[Mã Chương trình]:[Đối tượng CK]],Sheet_ChuongTrinh!$C$1,0) = "Sản phẩm",1,0))</f>
        <v>1</v>
      </c>
      <c r="AQ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7" ht="18" customHeight="1" x14ac:dyDescent="0.3">
      <c r="B33" s="523" t="s">
        <v>1160</v>
      </c>
      <c r="C33" s="523"/>
      <c r="D33" s="537" t="str">
        <f>IF(ISBLANK(Table_Main[[#This Row],[Mã SKU]]),Table_Main[[#This Row],[Mã Nguyên liệu]],Table_Main[[#This Row],[Mã SKU]])</f>
        <v>TP1</v>
      </c>
      <c r="E33" s="420"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20"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20"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20"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20">
        <f>IFERROR(Table_Main[[#This Row],[Giá trị tồn đầu ngày]]/Table_Main[[#This Row],[Tồn kho đầu ngày]],0)</f>
        <v>0</v>
      </c>
      <c r="J33" s="420">
        <f>IFERROR(Table_Main[[#This Row],[Giá trị tồn cuối ngày]]/Table_Main[[#This Row],[Tồn kho cuối ngày]],0)</f>
        <v>0</v>
      </c>
      <c r="K33" s="415">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1165</v>
      </c>
      <c r="Q33" s="408">
        <v>28</v>
      </c>
      <c r="R33" s="523"/>
      <c r="S33" s="537">
        <f>IFERROR(VLOOKUP(Table_Main[[#This Row],[Đơn Mua]],Table_DonMua[[Mã Đơn mua]:[Add]],COUNTA(Table_DonMua[[#Headers],[Mã Đơn mua]:[Mã Đối tác]]),0),0)</f>
        <v>0</v>
      </c>
      <c r="T33" s="409"/>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23" t="s">
        <v>1222</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48">
        <f xml:space="preserve">
IF(Table_Main[[#This Row],[Đơn bán]]="", 0,
IFERROR(
VLOOKUP(Table_Main[[#This Row],[Mã SKU]],Table_SKU[[Mã SKU]:[Tỷ suất VAT]],COUNTA(Table_SKU[[#Headers],[Mã SKU]:[Tỷ suất VAT]]),0),0)*Table_Main[[#This Row],[Giá trị bán trước VAT]])</f>
        <v>0</v>
      </c>
      <c r="AG33" s="51">
        <f>IFERROR(VLOOKUP(Table_Main[[#This Row],[Đơn bán]],Table_DonBan[[Mã Đơn bán]:[Add]],COUNTA(Table_DonBan[[#Headers],[Mã Đơn bán]:[Mã NV]]),0),0)</f>
        <v>0</v>
      </c>
      <c r="AH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3" s="48">
        <f>IFERROR(Table_Main[[#This Row],[Giá trị bán trước VAT]]*Table_Main[[#This Row],[Tỷ lệ hoa hồng]],"")</f>
        <v>0</v>
      </c>
      <c r="AJ33" s="48">
        <f>IFERROR(VLOOKUP(Table_Main[[#This Row],[Đơn bán]],Table_DonBan[[Mã Đơn bán]:[Add]],COUNTA(Table_DonBan[[#Headers],[Mã Đơn bán]:[Kênh]]),0),0)</f>
        <v>0</v>
      </c>
      <c r="AK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3" s="48">
        <f>IFERROR(Table_Main[[#This Row],[Giá trị bán trước VAT]]*Table_Main[[#This Row],[Tỷ lệ CK kênh]],"")</f>
        <v>0</v>
      </c>
      <c r="AM33" s="230"/>
      <c r="AN33" s="232"/>
      <c r="AO33" s="226">
        <f>Table_Main[[#This Row],[ĐK - Phân loại]]*Table_Main[[#This Row],[ĐK - Thời gian]]*Table_Main[[#This Row],[ĐK - Giá trị]]*Table_Main[[#This Row],[ĐK - Số lượng]]*Table_Main[[#This Row],[ĐK - Sinh nhật]]*Table_Main[[#This Row],[ĐK - Ngày mua cuối]]</f>
        <v>1</v>
      </c>
      <c r="AP33" s="226">
        <f xml:space="preserve">
IF(ISBLANK(Table_Main[[#This Row],[Chương trình]]),1,
IF(VLOOKUP(Table_Main[[#This Row],[Chương trình]],Table_ChuongTrinh[[Mã Chương trình]:[Đối tượng CK]],Sheet_ChuongTrinh!$C$1,0) = "Sản phẩm",1,0))</f>
        <v>1</v>
      </c>
      <c r="AQ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7" ht="18" customHeight="1" x14ac:dyDescent="0.3">
      <c r="B34" s="530"/>
      <c r="C34" s="239" t="s">
        <v>1163</v>
      </c>
      <c r="D34" s="538" t="str">
        <f>IF(ISBLANK(Table_Main[[#This Row],[Mã SKU]]),Table_Main[[#This Row],[Mã Nguyên liệu]],Table_Main[[#This Row],[Mã SKU]])</f>
        <v>NL1</v>
      </c>
      <c r="E34" s="420"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20"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20"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20"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20">
        <f>IFERROR(Table_Main[[#This Row],[Giá trị tồn đầu ngày]]/Table_Main[[#This Row],[Tồn kho đầu ngày]],0)</f>
        <v>102362.35087719298</v>
      </c>
      <c r="J34" s="420">
        <f>IFERROR(Table_Main[[#This Row],[Giá trị tồn cuối ngày]]/Table_Main[[#This Row],[Tồn kho cuối ngày]],0)</f>
        <v>102362.35087719299</v>
      </c>
      <c r="K34" s="415">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1165</v>
      </c>
      <c r="Q34" s="408">
        <v>34</v>
      </c>
      <c r="R34" s="523"/>
      <c r="S34" s="537">
        <f>IFERROR(VLOOKUP(Table_Main[[#This Row],[Đơn Mua]],Table_DonMua[[Mã Đơn mua]:[Add]],COUNTA(Table_DonMua[[#Headers],[Mã Đơn mua]:[Mã Đối tác]]),0),0)</f>
        <v>0</v>
      </c>
      <c r="T34" s="409"/>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23"/>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48">
        <f xml:space="preserve">
IF(Table_Main[[#This Row],[Đơn bán]]="", 0,
IFERROR(
VLOOKUP(Table_Main[[#This Row],[Mã SKU]],Table_SKU[[Mã SKU]:[Tỷ suất VAT]],COUNTA(Table_SKU[[#Headers],[Mã SKU]:[Tỷ suất VAT]]),0),0)*Table_Main[[#This Row],[Giá trị bán trước VAT]])</f>
        <v>0</v>
      </c>
      <c r="AG34" s="51">
        <f>IFERROR(VLOOKUP(Table_Main[[#This Row],[Đơn bán]],Table_DonBan[[Mã Đơn bán]:[Add]],COUNTA(Table_DonBan[[#Headers],[Mã Đơn bán]:[Mã NV]]),0),0)</f>
        <v>0</v>
      </c>
      <c r="AH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4" s="48">
        <f>IFERROR(Table_Main[[#This Row],[Giá trị bán trước VAT]]*Table_Main[[#This Row],[Tỷ lệ hoa hồng]],"")</f>
        <v>0</v>
      </c>
      <c r="AJ34" s="48">
        <f>IFERROR(VLOOKUP(Table_Main[[#This Row],[Đơn bán]],Table_DonBan[[Mã Đơn bán]:[Add]],COUNTA(Table_DonBan[[#Headers],[Mã Đơn bán]:[Kênh]]),0),0)</f>
        <v>0</v>
      </c>
      <c r="AK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4" s="48">
        <f>IFERROR(Table_Main[[#This Row],[Giá trị bán trước VAT]]*Table_Main[[#This Row],[Tỷ lệ CK kênh]],"")</f>
        <v>0</v>
      </c>
      <c r="AM34" s="230"/>
      <c r="AN34" s="232"/>
      <c r="AO34" s="226">
        <f>Table_Main[[#This Row],[ĐK - Phân loại]]*Table_Main[[#This Row],[ĐK - Thời gian]]*Table_Main[[#This Row],[ĐK - Giá trị]]*Table_Main[[#This Row],[ĐK - Số lượng]]*Table_Main[[#This Row],[ĐK - Sinh nhật]]*Table_Main[[#This Row],[ĐK - Ngày mua cuối]]</f>
        <v>1</v>
      </c>
      <c r="AP34" s="226">
        <f xml:space="preserve">
IF(ISBLANK(Table_Main[[#This Row],[Chương trình]]),1,
IF(VLOOKUP(Table_Main[[#This Row],[Chương trình]],Table_ChuongTrinh[[Mã Chương trình]:[Đối tượng CK]],Sheet_ChuongTrinh!$C$1,0) = "Sản phẩm",1,0))</f>
        <v>1</v>
      </c>
      <c r="AQ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7" ht="18" customHeight="1" x14ac:dyDescent="0.3">
      <c r="B35" s="523" t="s">
        <v>1160</v>
      </c>
      <c r="C35" s="523"/>
      <c r="D35" s="537" t="str">
        <f>IF(ISBLANK(Table_Main[[#This Row],[Mã SKU]]),Table_Main[[#This Row],[Mã Nguyên liệu]],Table_Main[[#This Row],[Mã SKU]])</f>
        <v>TP1</v>
      </c>
      <c r="E35" s="420"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20"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20"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20"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20">
        <f>IFERROR(Table_Main[[#This Row],[Giá trị tồn đầu ngày]]/Table_Main[[#This Row],[Tồn kho đầu ngày]],0)</f>
        <v>0</v>
      </c>
      <c r="J35" s="420">
        <f>IFERROR(Table_Main[[#This Row],[Giá trị tồn cuối ngày]]/Table_Main[[#This Row],[Tồn kho cuối ngày]],0)</f>
        <v>0</v>
      </c>
      <c r="K35" s="415">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1164</v>
      </c>
      <c r="P35" s="230" t="s">
        <v>1165</v>
      </c>
      <c r="Q35" s="408">
        <v>32</v>
      </c>
      <c r="R35" s="523"/>
      <c r="S35" s="537">
        <f>IFERROR(VLOOKUP(Table_Main[[#This Row],[Đơn Mua]],Table_DonMua[[Mã Đơn mua]:[Add]],COUNTA(Table_DonMua[[#Headers],[Mã Đơn mua]:[Mã Đối tác]]),0),0)</f>
        <v>0</v>
      </c>
      <c r="T35" s="409"/>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23"/>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48">
        <f xml:space="preserve">
IF(Table_Main[[#This Row],[Đơn bán]]="", 0,
IFERROR(
VLOOKUP(Table_Main[[#This Row],[Mã SKU]],Table_SKU[[Mã SKU]:[Tỷ suất VAT]],COUNTA(Table_SKU[[#Headers],[Mã SKU]:[Tỷ suất VAT]]),0),0)*Table_Main[[#This Row],[Giá trị bán trước VAT]])</f>
        <v>0</v>
      </c>
      <c r="AG35" s="51">
        <f>IFERROR(VLOOKUP(Table_Main[[#This Row],[Đơn bán]],Table_DonBan[[Mã Đơn bán]:[Add]],COUNTA(Table_DonBan[[#Headers],[Mã Đơn bán]:[Mã NV]]),0),0)</f>
        <v>0</v>
      </c>
      <c r="AH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5" s="48">
        <f>IFERROR(Table_Main[[#This Row],[Giá trị bán trước VAT]]*Table_Main[[#This Row],[Tỷ lệ hoa hồng]],"")</f>
        <v>0</v>
      </c>
      <c r="AJ35" s="48">
        <f>IFERROR(VLOOKUP(Table_Main[[#This Row],[Đơn bán]],Table_DonBan[[Mã Đơn bán]:[Add]],COUNTA(Table_DonBan[[#Headers],[Mã Đơn bán]:[Kênh]]),0),0)</f>
        <v>0</v>
      </c>
      <c r="AK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5" s="48">
        <f>IFERROR(Table_Main[[#This Row],[Giá trị bán trước VAT]]*Table_Main[[#This Row],[Tỷ lệ CK kênh]],"")</f>
        <v>0</v>
      </c>
      <c r="AM35" s="230"/>
      <c r="AN35" s="232"/>
      <c r="AO35" s="226">
        <f>Table_Main[[#This Row],[ĐK - Phân loại]]*Table_Main[[#This Row],[ĐK - Thời gian]]*Table_Main[[#This Row],[ĐK - Giá trị]]*Table_Main[[#This Row],[ĐK - Số lượng]]*Table_Main[[#This Row],[ĐK - Sinh nhật]]*Table_Main[[#This Row],[ĐK - Ngày mua cuối]]</f>
        <v>1</v>
      </c>
      <c r="AP35" s="226">
        <f xml:space="preserve">
IF(ISBLANK(Table_Main[[#This Row],[Chương trình]]),1,
IF(VLOOKUP(Table_Main[[#This Row],[Chương trình]],Table_ChuongTrinh[[Mã Chương trình]:[Đối tượng CK]],Sheet_ChuongTrinh!$C$1,0) = "Sản phẩm",1,0))</f>
        <v>1</v>
      </c>
      <c r="AQ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7" ht="18" customHeight="1" x14ac:dyDescent="0.3">
      <c r="B36" s="523" t="s">
        <v>1160</v>
      </c>
      <c r="C36" s="523"/>
      <c r="D36" s="537" t="str">
        <f>IF(ISBLANK(Table_Main[[#This Row],[Mã SKU]]),Table_Main[[#This Row],[Mã Nguyên liệu]],Table_Main[[#This Row],[Mã SKU]])</f>
        <v>TP1</v>
      </c>
      <c r="E36" s="420"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20"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20"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20"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20">
        <f>IFERROR(Table_Main[[#This Row],[Giá trị tồn đầu ngày]]/Table_Main[[#This Row],[Tồn kho đầu ngày]],0)</f>
        <v>0</v>
      </c>
      <c r="J36" s="420">
        <f>IFERROR(Table_Main[[#This Row],[Giá trị tồn cuối ngày]]/Table_Main[[#This Row],[Tồn kho cuối ngày]],0)</f>
        <v>0</v>
      </c>
      <c r="K36" s="415">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1164</v>
      </c>
      <c r="P36" s="230" t="s">
        <v>1165</v>
      </c>
      <c r="Q36" s="408">
        <v>21</v>
      </c>
      <c r="R36" s="523"/>
      <c r="S36" s="537">
        <f>IFERROR(VLOOKUP(Table_Main[[#This Row],[Đơn Mua]],Table_DonMua[[Mã Đơn mua]:[Add]],COUNTA(Table_DonMua[[#Headers],[Mã Đơn mua]:[Mã Đối tác]]),0),0)</f>
        <v>0</v>
      </c>
      <c r="T36" s="409"/>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23"/>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48">
        <f xml:space="preserve">
IF(Table_Main[[#This Row],[Đơn bán]]="", 0,
IFERROR(
VLOOKUP(Table_Main[[#This Row],[Mã SKU]],Table_SKU[[Mã SKU]:[Tỷ suất VAT]],COUNTA(Table_SKU[[#Headers],[Mã SKU]:[Tỷ suất VAT]]),0),0)*Table_Main[[#This Row],[Giá trị bán trước VAT]])</f>
        <v>0</v>
      </c>
      <c r="AG36" s="51">
        <f>IFERROR(VLOOKUP(Table_Main[[#This Row],[Đơn bán]],Table_DonBan[[Mã Đơn bán]:[Add]],COUNTA(Table_DonBan[[#Headers],[Mã Đơn bán]:[Mã NV]]),0),0)</f>
        <v>0</v>
      </c>
      <c r="AH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6" s="48">
        <f>IFERROR(Table_Main[[#This Row],[Giá trị bán trước VAT]]*Table_Main[[#This Row],[Tỷ lệ hoa hồng]],"")</f>
        <v>0</v>
      </c>
      <c r="AJ36" s="48">
        <f>IFERROR(VLOOKUP(Table_Main[[#This Row],[Đơn bán]],Table_DonBan[[Mã Đơn bán]:[Add]],COUNTA(Table_DonBan[[#Headers],[Mã Đơn bán]:[Kênh]]),0),0)</f>
        <v>0</v>
      </c>
      <c r="AK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6" s="48">
        <f>IFERROR(Table_Main[[#This Row],[Giá trị bán trước VAT]]*Table_Main[[#This Row],[Tỷ lệ CK kênh]],"")</f>
        <v>0</v>
      </c>
      <c r="AM36" s="230"/>
      <c r="AN36" s="232"/>
      <c r="AO36" s="226">
        <f>Table_Main[[#This Row],[ĐK - Phân loại]]*Table_Main[[#This Row],[ĐK - Thời gian]]*Table_Main[[#This Row],[ĐK - Giá trị]]*Table_Main[[#This Row],[ĐK - Số lượng]]*Table_Main[[#This Row],[ĐK - Sinh nhật]]*Table_Main[[#This Row],[ĐK - Ngày mua cuối]]</f>
        <v>1</v>
      </c>
      <c r="AP36" s="226">
        <f xml:space="preserve">
IF(ISBLANK(Table_Main[[#This Row],[Chương trình]]),1,
IF(VLOOKUP(Table_Main[[#This Row],[Chương trình]],Table_ChuongTrinh[[Mã Chương trình]:[Đối tượng CK]],Sheet_ChuongTrinh!$C$1,0) = "Sản phẩm",1,0))</f>
        <v>1</v>
      </c>
      <c r="AQ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7" ht="18" customHeight="1" x14ac:dyDescent="0.15">
      <c r="B37" s="530"/>
      <c r="C37" s="239" t="s">
        <v>1162</v>
      </c>
      <c r="D37" s="538" t="str">
        <f>IF(ISBLANK(Table_Main[[#This Row],[Mã SKU]]),Table_Main[[#This Row],[Mã Nguyên liệu]],Table_Main[[#This Row],[Mã SKU]])</f>
        <v>NL2</v>
      </c>
      <c r="E37" s="420"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20"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20"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20"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20">
        <f>IFERROR(Table_Main[[#This Row],[Giá trị tồn đầu ngày]]/Table_Main[[#This Row],[Tồn kho đầu ngày]],0)</f>
        <v>113214.64718460439</v>
      </c>
      <c r="J37" s="420">
        <f>IFERROR(Table_Main[[#This Row],[Giá trị tồn cuối ngày]]/Table_Main[[#This Row],[Tồn kho cuối ngày]],0)</f>
        <v>113214.6471846044</v>
      </c>
      <c r="K37" s="415">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51" t="str">
        <f>IF(Table_Main[[#This Row],[Ngày lên đơn]]=0,"",Table_Main[[#This Row],[Ngày xuất nhập]]-Table_Main[[#This Row],[Ngày lên đơn]])</f>
        <v/>
      </c>
      <c r="O37" s="7" t="s">
        <v>53</v>
      </c>
      <c r="P37" s="230" t="s">
        <v>1165</v>
      </c>
      <c r="Q37" s="408">
        <v>11</v>
      </c>
      <c r="R37" s="523"/>
      <c r="S37" s="537">
        <f>IFERROR(VLOOKUP(Table_Main[[#This Row],[Đơn Mua]],Table_DonMua[[Mã Đơn mua]:[Add]],COUNTA(Table_DonMua[[#Headers],[Mã Đơn mua]:[Mã Đối tác]]),0),0)</f>
        <v>0</v>
      </c>
      <c r="T37" s="409"/>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23"/>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48">
        <f xml:space="preserve">
IF(Table_Main[[#This Row],[Đơn bán]]="", 0,
IFERROR(
VLOOKUP(Table_Main[[#This Row],[Mã SKU]],Table_SKU[[Mã SKU]:[Tỷ suất VAT]],COUNTA(Table_SKU[[#Headers],[Mã SKU]:[Tỷ suất VAT]]),0),0)*Table_Main[[#This Row],[Giá trị bán trước VAT]])</f>
        <v>0</v>
      </c>
      <c r="AG37" s="51">
        <f>IFERROR(VLOOKUP(Table_Main[[#This Row],[Đơn bán]],Table_DonBan[[Mã Đơn bán]:[Add]],COUNTA(Table_DonBan[[#Headers],[Mã Đơn bán]:[Mã NV]]),0),0)</f>
        <v>0</v>
      </c>
      <c r="AH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7" s="48">
        <f>IFERROR(Table_Main[[#This Row],[Giá trị bán trước VAT]]*Table_Main[[#This Row],[Tỷ lệ hoa hồng]],"")</f>
        <v>0</v>
      </c>
      <c r="AJ37" s="48">
        <f>IFERROR(VLOOKUP(Table_Main[[#This Row],[Đơn bán]],Table_DonBan[[Mã Đơn bán]:[Add]],COUNTA(Table_DonBan[[#Headers],[Mã Đơn bán]:[Kênh]]),0),0)</f>
        <v>0</v>
      </c>
      <c r="AK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7" s="48">
        <f>IFERROR(Table_Main[[#This Row],[Giá trị bán trước VAT]]*Table_Main[[#This Row],[Tỷ lệ CK kênh]],"")</f>
        <v>0</v>
      </c>
      <c r="AM37" s="230"/>
      <c r="AN37" s="232"/>
      <c r="AO37" s="226">
        <f>Table_Main[[#This Row],[ĐK - Phân loại]]*Table_Main[[#This Row],[ĐK - Thời gian]]*Table_Main[[#This Row],[ĐK - Giá trị]]*Table_Main[[#This Row],[ĐK - Số lượng]]*Table_Main[[#This Row],[ĐK - Sinh nhật]]*Table_Main[[#This Row],[ĐK - Ngày mua cuối]]</f>
        <v>1</v>
      </c>
      <c r="AP37" s="226">
        <f xml:space="preserve">
IF(ISBLANK(Table_Main[[#This Row],[Chương trình]]),1,
IF(VLOOKUP(Table_Main[[#This Row],[Chương trình]],Table_ChuongTrinh[[Mã Chương trình]:[Đối tượng CK]],Sheet_ChuongTrinh!$C$1,0) = "Sản phẩm",1,0))</f>
        <v>1</v>
      </c>
      <c r="AQ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7" ht="18" customHeight="1" x14ac:dyDescent="0.15">
      <c r="B38" s="530"/>
      <c r="C38" s="239" t="s">
        <v>1162</v>
      </c>
      <c r="D38" s="538" t="str">
        <f>IF(ISBLANK(Table_Main[[#This Row],[Mã SKU]]),Table_Main[[#This Row],[Mã Nguyên liệu]],Table_Main[[#This Row],[Mã SKU]])</f>
        <v>NL2</v>
      </c>
      <c r="E38" s="420"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20"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20"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20"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20">
        <f>IFERROR(Table_Main[[#This Row],[Giá trị tồn đầu ngày]]/Table_Main[[#This Row],[Tồn kho đầu ngày]],0)</f>
        <v>113214.6471846044</v>
      </c>
      <c r="J38" s="420">
        <f>IFERROR(Table_Main[[#This Row],[Giá trị tồn cuối ngày]]/Table_Main[[#This Row],[Tồn kho cuối ngày]],0)</f>
        <v>124434.76478973628</v>
      </c>
      <c r="K38" s="415">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51">
        <f>IF(Table_Main[[#This Row],[Ngày lên đơn]]=0,"",Table_Main[[#This Row],[Ngày xuất nhập]]-Table_Main[[#This Row],[Ngày lên đơn]])</f>
        <v>3</v>
      </c>
      <c r="O38" s="7" t="s">
        <v>1164</v>
      </c>
      <c r="P38" s="230" t="s">
        <v>1165</v>
      </c>
      <c r="Q38" s="408">
        <v>25</v>
      </c>
      <c r="R38" s="523" t="s">
        <v>1180</v>
      </c>
      <c r="S38" s="537" t="str">
        <f>IFERROR(VLOOKUP(Table_Main[[#This Row],[Đơn Mua]],Table_DonMua[[Mã Đơn mua]:[Add]],COUNTA(Table_DonMua[[#Headers],[Mã Đơn mua]:[Mã Đối tác]]),0),0)</f>
        <v>NCC2</v>
      </c>
      <c r="T38" s="409">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23"/>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48">
        <f xml:space="preserve">
IF(Table_Main[[#This Row],[Đơn bán]]="", 0,
IFERROR(
VLOOKUP(Table_Main[[#This Row],[Mã SKU]],Table_SKU[[Mã SKU]:[Tỷ suất VAT]],COUNTA(Table_SKU[[#Headers],[Mã SKU]:[Tỷ suất VAT]]),0),0)*Table_Main[[#This Row],[Giá trị bán trước VAT]])</f>
        <v>0</v>
      </c>
      <c r="AG38" s="51">
        <f>IFERROR(VLOOKUP(Table_Main[[#This Row],[Đơn bán]],Table_DonBan[[Mã Đơn bán]:[Add]],COUNTA(Table_DonBan[[#Headers],[Mã Đơn bán]:[Mã NV]]),0),0)</f>
        <v>0</v>
      </c>
      <c r="AH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8" s="48">
        <f>IFERROR(Table_Main[[#This Row],[Giá trị bán trước VAT]]*Table_Main[[#This Row],[Tỷ lệ hoa hồng]],"")</f>
        <v>0</v>
      </c>
      <c r="AJ38" s="48">
        <f>IFERROR(VLOOKUP(Table_Main[[#This Row],[Đơn bán]],Table_DonBan[[Mã Đơn bán]:[Add]],COUNTA(Table_DonBan[[#Headers],[Mã Đơn bán]:[Kênh]]),0),0)</f>
        <v>0</v>
      </c>
      <c r="AK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8" s="48">
        <f>IFERROR(Table_Main[[#This Row],[Giá trị bán trước VAT]]*Table_Main[[#This Row],[Tỷ lệ CK kênh]],"")</f>
        <v>0</v>
      </c>
      <c r="AM38" s="230"/>
      <c r="AN38" s="232"/>
      <c r="AO38" s="226">
        <f>Table_Main[[#This Row],[ĐK - Phân loại]]*Table_Main[[#This Row],[ĐK - Thời gian]]*Table_Main[[#This Row],[ĐK - Giá trị]]*Table_Main[[#This Row],[ĐK - Số lượng]]*Table_Main[[#This Row],[ĐK - Sinh nhật]]*Table_Main[[#This Row],[ĐK - Ngày mua cuối]]</f>
        <v>1</v>
      </c>
      <c r="AP38" s="226">
        <f xml:space="preserve">
IF(ISBLANK(Table_Main[[#This Row],[Chương trình]]),1,
IF(VLOOKUP(Table_Main[[#This Row],[Chương trình]],Table_ChuongTrinh[[Mã Chương trình]:[Đối tượng CK]],Sheet_ChuongTrinh!$C$1,0) = "Sản phẩm",1,0))</f>
        <v>1</v>
      </c>
      <c r="AQ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7" ht="18" customHeight="1" x14ac:dyDescent="0.3">
      <c r="B39" s="523" t="s">
        <v>1160</v>
      </c>
      <c r="C39" s="523"/>
      <c r="D39" s="537" t="str">
        <f>IF(ISBLANK(Table_Main[[#This Row],[Mã SKU]]),Table_Main[[#This Row],[Mã Nguyên liệu]],Table_Main[[#This Row],[Mã SKU]])</f>
        <v>TP1</v>
      </c>
      <c r="E39" s="420"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20"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20"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20"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20">
        <f>IFERROR(Table_Main[[#This Row],[Giá trị tồn đầu ngày]]/Table_Main[[#This Row],[Tồn kho đầu ngày]],0)</f>
        <v>0</v>
      </c>
      <c r="J39" s="420">
        <f>IFERROR(Table_Main[[#This Row],[Giá trị tồn cuối ngày]]/Table_Main[[#This Row],[Tồn kho cuối ngày]],0)</f>
        <v>0</v>
      </c>
      <c r="K39" s="415">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1165</v>
      </c>
      <c r="Q39" s="408">
        <v>18</v>
      </c>
      <c r="R39" s="523"/>
      <c r="S39" s="537">
        <f>IFERROR(VLOOKUP(Table_Main[[#This Row],[Đơn Mua]],Table_DonMua[[Mã Đơn mua]:[Add]],COUNTA(Table_DonMua[[#Headers],[Mã Đơn mua]:[Mã Đối tác]]),0),0)</f>
        <v>0</v>
      </c>
      <c r="T39" s="409"/>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23" t="s">
        <v>1221</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48">
        <f xml:space="preserve">
IF(Table_Main[[#This Row],[Đơn bán]]="", 0,
IFERROR(
VLOOKUP(Table_Main[[#This Row],[Mã SKU]],Table_SKU[[Mã SKU]:[Tỷ suất VAT]],COUNTA(Table_SKU[[#Headers],[Mã SKU]:[Tỷ suất VAT]]),0),0)*Table_Main[[#This Row],[Giá trị bán trước VAT]])</f>
        <v>0</v>
      </c>
      <c r="AG39" s="51">
        <f>IFERROR(VLOOKUP(Table_Main[[#This Row],[Đơn bán]],Table_DonBan[[Mã Đơn bán]:[Add]],COUNTA(Table_DonBan[[#Headers],[Mã Đơn bán]:[Mã NV]]),0),0)</f>
        <v>0</v>
      </c>
      <c r="AH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9" s="48">
        <f>IFERROR(Table_Main[[#This Row],[Giá trị bán trước VAT]]*Table_Main[[#This Row],[Tỷ lệ hoa hồng]],"")</f>
        <v>0</v>
      </c>
      <c r="AJ39" s="48">
        <f>IFERROR(VLOOKUP(Table_Main[[#This Row],[Đơn bán]],Table_DonBan[[Mã Đơn bán]:[Add]],COUNTA(Table_DonBan[[#Headers],[Mã Đơn bán]:[Kênh]]),0),0)</f>
        <v>0</v>
      </c>
      <c r="AK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9" s="48">
        <f>IFERROR(Table_Main[[#This Row],[Giá trị bán trước VAT]]*Table_Main[[#This Row],[Tỷ lệ CK kênh]],"")</f>
        <v>0</v>
      </c>
      <c r="AM39" s="230"/>
      <c r="AN39" s="232"/>
      <c r="AO39" s="226">
        <f>Table_Main[[#This Row],[ĐK - Phân loại]]*Table_Main[[#This Row],[ĐK - Thời gian]]*Table_Main[[#This Row],[ĐK - Giá trị]]*Table_Main[[#This Row],[ĐK - Số lượng]]*Table_Main[[#This Row],[ĐK - Sinh nhật]]*Table_Main[[#This Row],[ĐK - Ngày mua cuối]]</f>
        <v>1</v>
      </c>
      <c r="AP39" s="226">
        <f xml:space="preserve">
IF(ISBLANK(Table_Main[[#This Row],[Chương trình]]),1,
IF(VLOOKUP(Table_Main[[#This Row],[Chương trình]],Table_ChuongTrinh[[Mã Chương trình]:[Đối tượng CK]],Sheet_ChuongTrinh!$C$1,0) = "Sản phẩm",1,0))</f>
        <v>1</v>
      </c>
      <c r="AQ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7" ht="18" customHeight="1" x14ac:dyDescent="0.15">
      <c r="B40" s="530"/>
      <c r="C40" s="239" t="s">
        <v>1162</v>
      </c>
      <c r="D40" s="538" t="str">
        <f>IF(ISBLANK(Table_Main[[#This Row],[Mã SKU]]),Table_Main[[#This Row],[Mã Nguyên liệu]],Table_Main[[#This Row],[Mã SKU]])</f>
        <v>NL2</v>
      </c>
      <c r="E40" s="420"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20"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20"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20"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20">
        <f>IFERROR(Table_Main[[#This Row],[Giá trị tồn đầu ngày]]/Table_Main[[#This Row],[Tồn kho đầu ngày]],0)</f>
        <v>140047.56521739124</v>
      </c>
      <c r="J40" s="420">
        <f>IFERROR(Table_Main[[#This Row],[Giá trị tồn cuối ngày]]/Table_Main[[#This Row],[Tồn kho cuối ngày]],0)</f>
        <v>113214.64718460439</v>
      </c>
      <c r="K40" s="415">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51">
        <f>IF(Table_Main[[#This Row],[Ngày lên đơn]]=0,"",Table_Main[[#This Row],[Ngày xuất nhập]]-Table_Main[[#This Row],[Ngày lên đơn]])</f>
        <v>2</v>
      </c>
      <c r="O40" s="7" t="s">
        <v>1164</v>
      </c>
      <c r="P40" s="230" t="s">
        <v>1165</v>
      </c>
      <c r="Q40" s="408">
        <v>23</v>
      </c>
      <c r="R40" s="523" t="s">
        <v>1179</v>
      </c>
      <c r="S40" s="537" t="str">
        <f>IFERROR(VLOOKUP(Table_Main[[#This Row],[Đơn Mua]],Table_DonMua[[Mã Đơn mua]:[Add]],COUNTA(Table_DonMua[[#Headers],[Mã Đơn mua]:[Mã Đối tác]]),0),0)</f>
        <v>NCC3</v>
      </c>
      <c r="T40" s="409">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23"/>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48">
        <f xml:space="preserve">
IF(Table_Main[[#This Row],[Đơn bán]]="", 0,
IFERROR(
VLOOKUP(Table_Main[[#This Row],[Mã SKU]],Table_SKU[[Mã SKU]:[Tỷ suất VAT]],COUNTA(Table_SKU[[#Headers],[Mã SKU]:[Tỷ suất VAT]]),0),0)*Table_Main[[#This Row],[Giá trị bán trước VAT]])</f>
        <v>0</v>
      </c>
      <c r="AG40" s="51">
        <f>IFERROR(VLOOKUP(Table_Main[[#This Row],[Đơn bán]],Table_DonBan[[Mã Đơn bán]:[Add]],COUNTA(Table_DonBan[[#Headers],[Mã Đơn bán]:[Mã NV]]),0),0)</f>
        <v>0</v>
      </c>
      <c r="AH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0" s="48">
        <f>IFERROR(Table_Main[[#This Row],[Giá trị bán trước VAT]]*Table_Main[[#This Row],[Tỷ lệ hoa hồng]],"")</f>
        <v>0</v>
      </c>
      <c r="AJ40" s="48">
        <f>IFERROR(VLOOKUP(Table_Main[[#This Row],[Đơn bán]],Table_DonBan[[Mã Đơn bán]:[Add]],COUNTA(Table_DonBan[[#Headers],[Mã Đơn bán]:[Kênh]]),0),0)</f>
        <v>0</v>
      </c>
      <c r="AK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0" s="48">
        <f>IFERROR(Table_Main[[#This Row],[Giá trị bán trước VAT]]*Table_Main[[#This Row],[Tỷ lệ CK kênh]],"")</f>
        <v>0</v>
      </c>
      <c r="AM40" s="230"/>
      <c r="AN40" s="232"/>
      <c r="AO40" s="226">
        <f>Table_Main[[#This Row],[ĐK - Phân loại]]*Table_Main[[#This Row],[ĐK - Thời gian]]*Table_Main[[#This Row],[ĐK - Giá trị]]*Table_Main[[#This Row],[ĐK - Số lượng]]*Table_Main[[#This Row],[ĐK - Sinh nhật]]*Table_Main[[#This Row],[ĐK - Ngày mua cuối]]</f>
        <v>1</v>
      </c>
      <c r="AP40" s="226">
        <f xml:space="preserve">
IF(ISBLANK(Table_Main[[#This Row],[Chương trình]]),1,
IF(VLOOKUP(Table_Main[[#This Row],[Chương trình]],Table_ChuongTrinh[[Mã Chương trình]:[Đối tượng CK]],Sheet_ChuongTrinh!$C$1,0) = "Sản phẩm",1,0))</f>
        <v>1</v>
      </c>
      <c r="AQ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7" ht="18" customHeight="1" x14ac:dyDescent="0.15">
      <c r="B41" s="523" t="s">
        <v>1159</v>
      </c>
      <c r="C41" s="523"/>
      <c r="D41" s="537" t="str">
        <f>IF(ISBLANK(Table_Main[[#This Row],[Mã SKU]]),Table_Main[[#This Row],[Mã Nguyên liệu]],Table_Main[[#This Row],[Mã SKU]])</f>
        <v>HH1</v>
      </c>
      <c r="E41" s="420"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20"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20"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20"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20">
        <f>IFERROR(Table_Main[[#This Row],[Giá trị tồn đầu ngày]]/Table_Main[[#This Row],[Tồn kho đầu ngày]],0)</f>
        <v>90132.701492537191</v>
      </c>
      <c r="J41" s="420">
        <f>IFERROR(Table_Main[[#This Row],[Giá trị tồn cuối ngày]]/Table_Main[[#This Row],[Tồn kho cuối ngày]],0)</f>
        <v>35013.186567164259</v>
      </c>
      <c r="K41" s="415">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51">
        <f>IF(Table_Main[[#This Row],[Ngày lên đơn]]=0,"",Table_Main[[#This Row],[Ngày xuất nhập]]-Table_Main[[#This Row],[Ngày lên đơn]])</f>
        <v>1</v>
      </c>
      <c r="O41" s="7" t="s">
        <v>1164</v>
      </c>
      <c r="P41" s="230" t="s">
        <v>1165</v>
      </c>
      <c r="Q41" s="408">
        <v>13</v>
      </c>
      <c r="R41" s="523" t="s">
        <v>1178</v>
      </c>
      <c r="S41" s="537" t="str">
        <f>IFERROR(VLOOKUP(Table_Main[[#This Row],[Đơn Mua]],Table_DonMua[[Mã Đơn mua]:[Add]],COUNTA(Table_DonMua[[#Headers],[Mã Đơn mua]:[Mã Đối tác]]),0),0)</f>
        <v>NCC1</v>
      </c>
      <c r="T41" s="409">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23"/>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48">
        <f xml:space="preserve">
IF(Table_Main[[#This Row],[Đơn bán]]="", 0,
IFERROR(
VLOOKUP(Table_Main[[#This Row],[Mã SKU]],Table_SKU[[Mã SKU]:[Tỷ suất VAT]],COUNTA(Table_SKU[[#Headers],[Mã SKU]:[Tỷ suất VAT]]),0),0)*Table_Main[[#This Row],[Giá trị bán trước VAT]])</f>
        <v>0</v>
      </c>
      <c r="AG41" s="51">
        <f>IFERROR(VLOOKUP(Table_Main[[#This Row],[Đơn bán]],Table_DonBan[[Mã Đơn bán]:[Add]],COUNTA(Table_DonBan[[#Headers],[Mã Đơn bán]:[Mã NV]]),0),0)</f>
        <v>0</v>
      </c>
      <c r="AH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1" s="48">
        <f>IFERROR(Table_Main[[#This Row],[Giá trị bán trước VAT]]*Table_Main[[#This Row],[Tỷ lệ hoa hồng]],"")</f>
        <v>0</v>
      </c>
      <c r="AJ41" s="48">
        <f>IFERROR(VLOOKUP(Table_Main[[#This Row],[Đơn bán]],Table_DonBan[[Mã Đơn bán]:[Add]],COUNTA(Table_DonBan[[#Headers],[Mã Đơn bán]:[Kênh]]),0),0)</f>
        <v>0</v>
      </c>
      <c r="AK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1" s="48">
        <f>IFERROR(Table_Main[[#This Row],[Giá trị bán trước VAT]]*Table_Main[[#This Row],[Tỷ lệ CK kênh]],"")</f>
        <v>0</v>
      </c>
      <c r="AM41" s="230"/>
      <c r="AN41" s="232"/>
      <c r="AO41" s="226">
        <f>Table_Main[[#This Row],[ĐK - Phân loại]]*Table_Main[[#This Row],[ĐK - Thời gian]]*Table_Main[[#This Row],[ĐK - Giá trị]]*Table_Main[[#This Row],[ĐK - Số lượng]]*Table_Main[[#This Row],[ĐK - Sinh nhật]]*Table_Main[[#This Row],[ĐK - Ngày mua cuối]]</f>
        <v>1</v>
      </c>
      <c r="AP41" s="226">
        <f xml:space="preserve">
IF(ISBLANK(Table_Main[[#This Row],[Chương trình]]),1,
IF(VLOOKUP(Table_Main[[#This Row],[Chương trình]],Table_ChuongTrinh[[Mã Chương trình]:[Đối tượng CK]],Sheet_ChuongTrinh!$C$1,0) = "Sản phẩm",1,0))</f>
        <v>1</v>
      </c>
      <c r="AQ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7" ht="18" customHeight="1" x14ac:dyDescent="0.3">
      <c r="B42" s="523" t="s">
        <v>1159</v>
      </c>
      <c r="C42" s="523"/>
      <c r="D42" s="537" t="str">
        <f>IF(ISBLANK(Table_Main[[#This Row],[Mã SKU]]),Table_Main[[#This Row],[Mã Nguyên liệu]],Table_Main[[#This Row],[Mã SKU]])</f>
        <v>HH1</v>
      </c>
      <c r="E42" s="420"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20"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20"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20"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20">
        <f>IFERROR(Table_Main[[#This Row],[Giá trị tồn đầu ngày]]/Table_Main[[#This Row],[Tồn kho đầu ngày]],0)</f>
        <v>90132.701492537439</v>
      </c>
      <c r="J42" s="420">
        <f>IFERROR(Table_Main[[#This Row],[Giá trị tồn cuối ngày]]/Table_Main[[#This Row],[Tồn kho cuối ngày]],0)</f>
        <v>90132.701492537191</v>
      </c>
      <c r="K42" s="415">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1165</v>
      </c>
      <c r="Q42" s="408">
        <v>23</v>
      </c>
      <c r="R42" s="523"/>
      <c r="S42" s="537">
        <f>IFERROR(VLOOKUP(Table_Main[[#This Row],[Đơn Mua]],Table_DonMua[[Mã Đơn mua]:[Add]],COUNTA(Table_DonMua[[#Headers],[Mã Đơn mua]:[Mã Đối tác]]),0),0)</f>
        <v>0</v>
      </c>
      <c r="T42" s="409"/>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23" t="s">
        <v>1220</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48">
        <f xml:space="preserve">
IF(Table_Main[[#This Row],[Đơn bán]]="", 0,
IFERROR(
VLOOKUP(Table_Main[[#This Row],[Mã SKU]],Table_SKU[[Mã SKU]:[Tỷ suất VAT]],COUNTA(Table_SKU[[#Headers],[Mã SKU]:[Tỷ suất VAT]]),0),0)*Table_Main[[#This Row],[Giá trị bán trước VAT]])</f>
        <v>0</v>
      </c>
      <c r="AG42" s="51">
        <f>IFERROR(VLOOKUP(Table_Main[[#This Row],[Đơn bán]],Table_DonBan[[Mã Đơn bán]:[Add]],COUNTA(Table_DonBan[[#Headers],[Mã Đơn bán]:[Mã NV]]),0),0)</f>
        <v>0</v>
      </c>
      <c r="AH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2" s="48">
        <f>IFERROR(Table_Main[[#This Row],[Giá trị bán trước VAT]]*Table_Main[[#This Row],[Tỷ lệ hoa hồng]],"")</f>
        <v>0</v>
      </c>
      <c r="AJ42" s="48">
        <f>IFERROR(VLOOKUP(Table_Main[[#This Row],[Đơn bán]],Table_DonBan[[Mã Đơn bán]:[Add]],COUNTA(Table_DonBan[[#Headers],[Mã Đơn bán]:[Kênh]]),0),0)</f>
        <v>0</v>
      </c>
      <c r="AK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2" s="48">
        <f>IFERROR(Table_Main[[#This Row],[Giá trị bán trước VAT]]*Table_Main[[#This Row],[Tỷ lệ CK kênh]],"")</f>
        <v>0</v>
      </c>
      <c r="AM42" s="230"/>
      <c r="AN42" s="232"/>
      <c r="AO42" s="226">
        <f>Table_Main[[#This Row],[ĐK - Phân loại]]*Table_Main[[#This Row],[ĐK - Thời gian]]*Table_Main[[#This Row],[ĐK - Giá trị]]*Table_Main[[#This Row],[ĐK - Số lượng]]*Table_Main[[#This Row],[ĐK - Sinh nhật]]*Table_Main[[#This Row],[ĐK - Ngày mua cuối]]</f>
        <v>1</v>
      </c>
      <c r="AP42" s="226">
        <f xml:space="preserve">
IF(ISBLANK(Table_Main[[#This Row],[Chương trình]]),1,
IF(VLOOKUP(Table_Main[[#This Row],[Chương trình]],Table_ChuongTrinh[[Mã Chương trình]:[Đối tượng CK]],Sheet_ChuongTrinh!$C$1,0) = "Sản phẩm",1,0))</f>
        <v>1</v>
      </c>
      <c r="AQ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7" ht="18" customHeight="1" x14ac:dyDescent="0.3">
      <c r="B43" s="523" t="s">
        <v>1160</v>
      </c>
      <c r="C43" s="523"/>
      <c r="D43" s="537" t="str">
        <f>IF(ISBLANK(Table_Main[[#This Row],[Mã SKU]]),Table_Main[[#This Row],[Mã Nguyên liệu]],Table_Main[[#This Row],[Mã SKU]])</f>
        <v>TP1</v>
      </c>
      <c r="E43" s="420"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20"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20"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20"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20">
        <f>IFERROR(Table_Main[[#This Row],[Giá trị tồn đầu ngày]]/Table_Main[[#This Row],[Tồn kho đầu ngày]],0)</f>
        <v>0</v>
      </c>
      <c r="J43" s="420">
        <f>IFERROR(Table_Main[[#This Row],[Giá trị tồn cuối ngày]]/Table_Main[[#This Row],[Tồn kho cuối ngày]],0)</f>
        <v>0</v>
      </c>
      <c r="K43" s="415">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1165</v>
      </c>
      <c r="Q43" s="408">
        <v>11</v>
      </c>
      <c r="R43" s="523"/>
      <c r="S43" s="537">
        <f>IFERROR(VLOOKUP(Table_Main[[#This Row],[Đơn Mua]],Table_DonMua[[Mã Đơn mua]:[Add]],COUNTA(Table_DonMua[[#Headers],[Mã Đơn mua]:[Mã Đối tác]]),0),0)</f>
        <v>0</v>
      </c>
      <c r="T43" s="409"/>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23" t="s">
        <v>1219</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48">
        <f xml:space="preserve">
IF(Table_Main[[#This Row],[Đơn bán]]="", 0,
IFERROR(
VLOOKUP(Table_Main[[#This Row],[Mã SKU]],Table_SKU[[Mã SKU]:[Tỷ suất VAT]],COUNTA(Table_SKU[[#Headers],[Mã SKU]:[Tỷ suất VAT]]),0),0)*Table_Main[[#This Row],[Giá trị bán trước VAT]])</f>
        <v>0</v>
      </c>
      <c r="AG43" s="51">
        <f>IFERROR(VLOOKUP(Table_Main[[#This Row],[Đơn bán]],Table_DonBan[[Mã Đơn bán]:[Add]],COUNTA(Table_DonBan[[#Headers],[Mã Đơn bán]:[Mã NV]]),0),0)</f>
        <v>0</v>
      </c>
      <c r="AH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3" s="48">
        <f>IFERROR(Table_Main[[#This Row],[Giá trị bán trước VAT]]*Table_Main[[#This Row],[Tỷ lệ hoa hồng]],"")</f>
        <v>0</v>
      </c>
      <c r="AJ43" s="48">
        <f>IFERROR(VLOOKUP(Table_Main[[#This Row],[Đơn bán]],Table_DonBan[[Mã Đơn bán]:[Add]],COUNTA(Table_DonBan[[#Headers],[Mã Đơn bán]:[Kênh]]),0),0)</f>
        <v>0</v>
      </c>
      <c r="AK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3" s="48">
        <f>IFERROR(Table_Main[[#This Row],[Giá trị bán trước VAT]]*Table_Main[[#This Row],[Tỷ lệ CK kênh]],"")</f>
        <v>0</v>
      </c>
      <c r="AM43" s="230"/>
      <c r="AN43" s="232"/>
      <c r="AO43" s="226">
        <f>Table_Main[[#This Row],[ĐK - Phân loại]]*Table_Main[[#This Row],[ĐK - Thời gian]]*Table_Main[[#This Row],[ĐK - Giá trị]]*Table_Main[[#This Row],[ĐK - Số lượng]]*Table_Main[[#This Row],[ĐK - Sinh nhật]]*Table_Main[[#This Row],[ĐK - Ngày mua cuối]]</f>
        <v>1</v>
      </c>
      <c r="AP43" s="226">
        <f xml:space="preserve">
IF(ISBLANK(Table_Main[[#This Row],[Chương trình]]),1,
IF(VLOOKUP(Table_Main[[#This Row],[Chương trình]],Table_ChuongTrinh[[Mã Chương trình]:[Đối tượng CK]],Sheet_ChuongTrinh!$C$1,0) = "Sản phẩm",1,0))</f>
        <v>1</v>
      </c>
      <c r="AQ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7" ht="18" customHeight="1" x14ac:dyDescent="0.3">
      <c r="B44" s="523" t="s">
        <v>1159</v>
      </c>
      <c r="C44" s="523"/>
      <c r="D44" s="537" t="str">
        <f>IF(ISBLANK(Table_Main[[#This Row],[Mã SKU]]),Table_Main[[#This Row],[Mã Nguyên liệu]],Table_Main[[#This Row],[Mã SKU]])</f>
        <v>HH1</v>
      </c>
      <c r="E44" s="420"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20"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20"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20"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20">
        <f>IFERROR(Table_Main[[#This Row],[Giá trị tồn đầu ngày]]/Table_Main[[#This Row],[Tồn kho đầu ngày]],0)</f>
        <v>90132.701492537264</v>
      </c>
      <c r="J44" s="420">
        <f>IFERROR(Table_Main[[#This Row],[Giá trị tồn cuối ngày]]/Table_Main[[#This Row],[Tồn kho cuối ngày]],0)</f>
        <v>90132.701492537439</v>
      </c>
      <c r="K44" s="415">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1165</v>
      </c>
      <c r="Q44" s="408">
        <v>39</v>
      </c>
      <c r="R44" s="523"/>
      <c r="S44" s="537">
        <f>IFERROR(VLOOKUP(Table_Main[[#This Row],[Đơn Mua]],Table_DonMua[[Mã Đơn mua]:[Add]],COUNTA(Table_DonMua[[#Headers],[Mã Đơn mua]:[Mã Đối tác]]),0),0)</f>
        <v>0</v>
      </c>
      <c r="T44" s="409"/>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23" t="s">
        <v>1218</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48">
        <f xml:space="preserve">
IF(Table_Main[[#This Row],[Đơn bán]]="", 0,
IFERROR(
VLOOKUP(Table_Main[[#This Row],[Mã SKU]],Table_SKU[[Mã SKU]:[Tỷ suất VAT]],COUNTA(Table_SKU[[#Headers],[Mã SKU]:[Tỷ suất VAT]]),0),0)*Table_Main[[#This Row],[Giá trị bán trước VAT]])</f>
        <v>0</v>
      </c>
      <c r="AG44" s="51">
        <f>IFERROR(VLOOKUP(Table_Main[[#This Row],[Đơn bán]],Table_DonBan[[Mã Đơn bán]:[Add]],COUNTA(Table_DonBan[[#Headers],[Mã Đơn bán]:[Mã NV]]),0),0)</f>
        <v>0</v>
      </c>
      <c r="AH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4" s="48">
        <f>IFERROR(Table_Main[[#This Row],[Giá trị bán trước VAT]]*Table_Main[[#This Row],[Tỷ lệ hoa hồng]],"")</f>
        <v>0</v>
      </c>
      <c r="AJ44" s="48">
        <f>IFERROR(VLOOKUP(Table_Main[[#This Row],[Đơn bán]],Table_DonBan[[Mã Đơn bán]:[Add]],COUNTA(Table_DonBan[[#Headers],[Mã Đơn bán]:[Kênh]]),0),0)</f>
        <v>0</v>
      </c>
      <c r="AK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4" s="48">
        <f>IFERROR(Table_Main[[#This Row],[Giá trị bán trước VAT]]*Table_Main[[#This Row],[Tỷ lệ CK kênh]],"")</f>
        <v>0</v>
      </c>
      <c r="AM44" s="230"/>
      <c r="AN44" s="232"/>
      <c r="AO44" s="226">
        <f>Table_Main[[#This Row],[ĐK - Phân loại]]*Table_Main[[#This Row],[ĐK - Thời gian]]*Table_Main[[#This Row],[ĐK - Giá trị]]*Table_Main[[#This Row],[ĐK - Số lượng]]*Table_Main[[#This Row],[ĐK - Sinh nhật]]*Table_Main[[#This Row],[ĐK - Ngày mua cuối]]</f>
        <v>1</v>
      </c>
      <c r="AP44" s="226">
        <f xml:space="preserve">
IF(ISBLANK(Table_Main[[#This Row],[Chương trình]]),1,
IF(VLOOKUP(Table_Main[[#This Row],[Chương trình]],Table_ChuongTrinh[[Mã Chương trình]:[Đối tượng CK]],Sheet_ChuongTrinh!$C$1,0) = "Sản phẩm",1,0))</f>
        <v>1</v>
      </c>
      <c r="AQ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7" ht="18" customHeight="1" x14ac:dyDescent="0.3">
      <c r="B45" s="530"/>
      <c r="C45" s="239" t="s">
        <v>1162</v>
      </c>
      <c r="D45" s="538" t="str">
        <f>IF(ISBLANK(Table_Main[[#This Row],[Mã SKU]]),Table_Main[[#This Row],[Mã Nguyên liệu]],Table_Main[[#This Row],[Mã SKU]])</f>
        <v>NL2</v>
      </c>
      <c r="E45" s="420"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20"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20"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20"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20">
        <f>IFERROR(Table_Main[[#This Row],[Giá trị tồn đầu ngày]]/Table_Main[[#This Row],[Tồn kho đầu ngày]],0)</f>
        <v>140047.56521739133</v>
      </c>
      <c r="J45" s="420">
        <f>IFERROR(Table_Main[[#This Row],[Giá trị tồn cuối ngày]]/Table_Main[[#This Row],[Tồn kho cuối ngày]],0)</f>
        <v>140047.56521739124</v>
      </c>
      <c r="K45" s="415">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1165</v>
      </c>
      <c r="Q45" s="408">
        <v>35</v>
      </c>
      <c r="R45" s="523"/>
      <c r="S45" s="537">
        <f>IFERROR(VLOOKUP(Table_Main[[#This Row],[Đơn Mua]],Table_DonMua[[Mã Đơn mua]:[Add]],COUNTA(Table_DonMua[[#Headers],[Mã Đơn mua]:[Mã Đối tác]]),0),0)</f>
        <v>0</v>
      </c>
      <c r="T45" s="409"/>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23"/>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48">
        <f xml:space="preserve">
IF(Table_Main[[#This Row],[Đơn bán]]="", 0,
IFERROR(
VLOOKUP(Table_Main[[#This Row],[Mã SKU]],Table_SKU[[Mã SKU]:[Tỷ suất VAT]],COUNTA(Table_SKU[[#Headers],[Mã SKU]:[Tỷ suất VAT]]),0),0)*Table_Main[[#This Row],[Giá trị bán trước VAT]])</f>
        <v>0</v>
      </c>
      <c r="AG45" s="51">
        <f>IFERROR(VLOOKUP(Table_Main[[#This Row],[Đơn bán]],Table_DonBan[[Mã Đơn bán]:[Add]],COUNTA(Table_DonBan[[#Headers],[Mã Đơn bán]:[Mã NV]]),0),0)</f>
        <v>0</v>
      </c>
      <c r="AH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5" s="48">
        <f>IFERROR(Table_Main[[#This Row],[Giá trị bán trước VAT]]*Table_Main[[#This Row],[Tỷ lệ hoa hồng]],"")</f>
        <v>0</v>
      </c>
      <c r="AJ45" s="48">
        <f>IFERROR(VLOOKUP(Table_Main[[#This Row],[Đơn bán]],Table_DonBan[[Mã Đơn bán]:[Add]],COUNTA(Table_DonBan[[#Headers],[Mã Đơn bán]:[Kênh]]),0),0)</f>
        <v>0</v>
      </c>
      <c r="AK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5" s="48">
        <f>IFERROR(Table_Main[[#This Row],[Giá trị bán trước VAT]]*Table_Main[[#This Row],[Tỷ lệ CK kênh]],"")</f>
        <v>0</v>
      </c>
      <c r="AM45" s="230"/>
      <c r="AN45" s="232"/>
      <c r="AO45" s="226">
        <f>Table_Main[[#This Row],[ĐK - Phân loại]]*Table_Main[[#This Row],[ĐK - Thời gian]]*Table_Main[[#This Row],[ĐK - Giá trị]]*Table_Main[[#This Row],[ĐK - Số lượng]]*Table_Main[[#This Row],[ĐK - Sinh nhật]]*Table_Main[[#This Row],[ĐK - Ngày mua cuối]]</f>
        <v>1</v>
      </c>
      <c r="AP45" s="226">
        <f xml:space="preserve">
IF(ISBLANK(Table_Main[[#This Row],[Chương trình]]),1,
IF(VLOOKUP(Table_Main[[#This Row],[Chương trình]],Table_ChuongTrinh[[Mã Chương trình]:[Đối tượng CK]],Sheet_ChuongTrinh!$C$1,0) = "Sản phẩm",1,0))</f>
        <v>1</v>
      </c>
      <c r="AQ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7" ht="18" customHeight="1" x14ac:dyDescent="0.15">
      <c r="B46" s="523" t="s">
        <v>1161</v>
      </c>
      <c r="C46" s="523"/>
      <c r="D46" s="537" t="str">
        <f>IF(ISBLANK(Table_Main[[#This Row],[Mã SKU]]),Table_Main[[#This Row],[Mã Nguyên liệu]],Table_Main[[#This Row],[Mã SKU]])</f>
        <v>TP2</v>
      </c>
      <c r="E46" s="420"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20"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20"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20"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20">
        <f>IFERROR(Table_Main[[#This Row],[Giá trị tồn đầu ngày]]/Table_Main[[#This Row],[Tồn kho đầu ngày]],0)</f>
        <v>0</v>
      </c>
      <c r="J46" s="420">
        <f>IFERROR(Table_Main[[#This Row],[Giá trị tồn cuối ngày]]/Table_Main[[#This Row],[Tồn kho cuối ngày]],0)</f>
        <v>0</v>
      </c>
      <c r="K46" s="415">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51" t="str">
        <f>IF(Table_Main[[#This Row],[Ngày lên đơn]]=0,"",Table_Main[[#This Row],[Ngày xuất nhập]]-Table_Main[[#This Row],[Ngày lên đơn]])</f>
        <v/>
      </c>
      <c r="O46" s="7" t="s">
        <v>1164</v>
      </c>
      <c r="P46" s="230" t="s">
        <v>1165</v>
      </c>
      <c r="Q46" s="408">
        <v>45</v>
      </c>
      <c r="R46" s="523"/>
      <c r="S46" s="537">
        <f>IFERROR(VLOOKUP(Table_Main[[#This Row],[Đơn Mua]],Table_DonMua[[Mã Đơn mua]:[Add]],COUNTA(Table_DonMua[[#Headers],[Mã Đơn mua]:[Mã Đối tác]]),0),0)</f>
        <v>0</v>
      </c>
      <c r="T46" s="409"/>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23"/>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48">
        <f xml:space="preserve">
IF(Table_Main[[#This Row],[Đơn bán]]="", 0,
IFERROR(
VLOOKUP(Table_Main[[#This Row],[Mã SKU]],Table_SKU[[Mã SKU]:[Tỷ suất VAT]],COUNTA(Table_SKU[[#Headers],[Mã SKU]:[Tỷ suất VAT]]),0),0)*Table_Main[[#This Row],[Giá trị bán trước VAT]])</f>
        <v>0</v>
      </c>
      <c r="AG46" s="51">
        <f>IFERROR(VLOOKUP(Table_Main[[#This Row],[Đơn bán]],Table_DonBan[[Mã Đơn bán]:[Add]],COUNTA(Table_DonBan[[#Headers],[Mã Đơn bán]:[Mã NV]]),0),0)</f>
        <v>0</v>
      </c>
      <c r="AH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6" s="48">
        <f>IFERROR(Table_Main[[#This Row],[Giá trị bán trước VAT]]*Table_Main[[#This Row],[Tỷ lệ hoa hồng]],"")</f>
        <v>0</v>
      </c>
      <c r="AJ46" s="48">
        <f>IFERROR(VLOOKUP(Table_Main[[#This Row],[Đơn bán]],Table_DonBan[[Mã Đơn bán]:[Add]],COUNTA(Table_DonBan[[#Headers],[Mã Đơn bán]:[Kênh]]),0),0)</f>
        <v>0</v>
      </c>
      <c r="AK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6" s="48">
        <f>IFERROR(Table_Main[[#This Row],[Giá trị bán trước VAT]]*Table_Main[[#This Row],[Tỷ lệ CK kênh]],"")</f>
        <v>0</v>
      </c>
      <c r="AM46" s="230"/>
      <c r="AN46" s="232"/>
      <c r="AO46" s="226">
        <f>Table_Main[[#This Row],[ĐK - Phân loại]]*Table_Main[[#This Row],[ĐK - Thời gian]]*Table_Main[[#This Row],[ĐK - Giá trị]]*Table_Main[[#This Row],[ĐK - Số lượng]]*Table_Main[[#This Row],[ĐK - Sinh nhật]]*Table_Main[[#This Row],[ĐK - Ngày mua cuối]]</f>
        <v>1</v>
      </c>
      <c r="AP46" s="226">
        <f xml:space="preserve">
IF(ISBLANK(Table_Main[[#This Row],[Chương trình]]),1,
IF(VLOOKUP(Table_Main[[#This Row],[Chương trình]],Table_ChuongTrinh[[Mã Chương trình]:[Đối tượng CK]],Sheet_ChuongTrinh!$C$1,0) = "Sản phẩm",1,0))</f>
        <v>1</v>
      </c>
      <c r="AQ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7" ht="18" customHeight="1" x14ac:dyDescent="0.3">
      <c r="B47" s="523" t="s">
        <v>1159</v>
      </c>
      <c r="C47" s="523"/>
      <c r="D47" s="537" t="str">
        <f>IF(ISBLANK(Table_Main[[#This Row],[Mã SKU]]),Table_Main[[#This Row],[Mã Nguyên liệu]],Table_Main[[#This Row],[Mã SKU]])</f>
        <v>HH1</v>
      </c>
      <c r="E47" s="420"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20"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20"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20"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20">
        <f>IFERROR(Table_Main[[#This Row],[Giá trị tồn đầu ngày]]/Table_Main[[#This Row],[Tồn kho đầu ngày]],0)</f>
        <v>90132.701492537308</v>
      </c>
      <c r="J47" s="420">
        <f>IFERROR(Table_Main[[#This Row],[Giá trị tồn cuối ngày]]/Table_Main[[#This Row],[Tồn kho cuối ngày]],0)</f>
        <v>90132.701492537264</v>
      </c>
      <c r="K47" s="415">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1165</v>
      </c>
      <c r="Q47" s="408">
        <v>27</v>
      </c>
      <c r="R47" s="523"/>
      <c r="S47" s="537">
        <f>IFERROR(VLOOKUP(Table_Main[[#This Row],[Đơn Mua]],Table_DonMua[[Mã Đơn mua]:[Add]],COUNTA(Table_DonMua[[#Headers],[Mã Đơn mua]:[Mã Đối tác]]),0),0)</f>
        <v>0</v>
      </c>
      <c r="T47" s="409"/>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23" t="s">
        <v>1217</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48">
        <f xml:space="preserve">
IF(Table_Main[[#This Row],[Đơn bán]]="", 0,
IFERROR(
VLOOKUP(Table_Main[[#This Row],[Mã SKU]],Table_SKU[[Mã SKU]:[Tỷ suất VAT]],COUNTA(Table_SKU[[#Headers],[Mã SKU]:[Tỷ suất VAT]]),0),0)*Table_Main[[#This Row],[Giá trị bán trước VAT]])</f>
        <v>0</v>
      </c>
      <c r="AG47" s="51">
        <f>IFERROR(VLOOKUP(Table_Main[[#This Row],[Đơn bán]],Table_DonBan[[Mã Đơn bán]:[Add]],COUNTA(Table_DonBan[[#Headers],[Mã Đơn bán]:[Mã NV]]),0),0)</f>
        <v>0</v>
      </c>
      <c r="AH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7" s="48">
        <f>IFERROR(Table_Main[[#This Row],[Giá trị bán trước VAT]]*Table_Main[[#This Row],[Tỷ lệ hoa hồng]],"")</f>
        <v>0</v>
      </c>
      <c r="AJ47" s="48">
        <f>IFERROR(VLOOKUP(Table_Main[[#This Row],[Đơn bán]],Table_DonBan[[Mã Đơn bán]:[Add]],COUNTA(Table_DonBan[[#Headers],[Mã Đơn bán]:[Kênh]]),0),0)</f>
        <v>0</v>
      </c>
      <c r="AK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7" s="48">
        <f>IFERROR(Table_Main[[#This Row],[Giá trị bán trước VAT]]*Table_Main[[#This Row],[Tỷ lệ CK kênh]],"")</f>
        <v>0</v>
      </c>
      <c r="AM47" s="230"/>
      <c r="AN47" s="232"/>
      <c r="AO47" s="226">
        <f>Table_Main[[#This Row],[ĐK - Phân loại]]*Table_Main[[#This Row],[ĐK - Thời gian]]*Table_Main[[#This Row],[ĐK - Giá trị]]*Table_Main[[#This Row],[ĐK - Số lượng]]*Table_Main[[#This Row],[ĐK - Sinh nhật]]*Table_Main[[#This Row],[ĐK - Ngày mua cuối]]</f>
        <v>1</v>
      </c>
      <c r="AP47" s="226">
        <f xml:space="preserve">
IF(ISBLANK(Table_Main[[#This Row],[Chương trình]]),1,
IF(VLOOKUP(Table_Main[[#This Row],[Chương trình]],Table_ChuongTrinh[[Mã Chương trình]:[Đối tượng CK]],Sheet_ChuongTrinh!$C$1,0) = "Sản phẩm",1,0))</f>
        <v>1</v>
      </c>
      <c r="AQ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7" ht="18" customHeight="1" x14ac:dyDescent="0.3">
      <c r="B48" s="523" t="s">
        <v>1160</v>
      </c>
      <c r="C48" s="523"/>
      <c r="D48" s="537" t="str">
        <f>IF(ISBLANK(Table_Main[[#This Row],[Mã SKU]]),Table_Main[[#This Row],[Mã Nguyên liệu]],Table_Main[[#This Row],[Mã SKU]])</f>
        <v>TP1</v>
      </c>
      <c r="E48" s="420"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20"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20"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20"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20">
        <f>IFERROR(Table_Main[[#This Row],[Giá trị tồn đầu ngày]]/Table_Main[[#This Row],[Tồn kho đầu ngày]],0)</f>
        <v>0</v>
      </c>
      <c r="J48" s="420">
        <f>IFERROR(Table_Main[[#This Row],[Giá trị tồn cuối ngày]]/Table_Main[[#This Row],[Tồn kho cuối ngày]],0)</f>
        <v>0</v>
      </c>
      <c r="K48" s="415">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1165</v>
      </c>
      <c r="Q48" s="408">
        <v>14</v>
      </c>
      <c r="R48" s="523"/>
      <c r="S48" s="537">
        <f>IFERROR(VLOOKUP(Table_Main[[#This Row],[Đơn Mua]],Table_DonMua[[Mã Đơn mua]:[Add]],COUNTA(Table_DonMua[[#Headers],[Mã Đơn mua]:[Mã Đối tác]]),0),0)</f>
        <v>0</v>
      </c>
      <c r="T48" s="409"/>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23" t="s">
        <v>1216</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48">
        <f xml:space="preserve">
IF(Table_Main[[#This Row],[Đơn bán]]="", 0,
IFERROR(
VLOOKUP(Table_Main[[#This Row],[Mã SKU]],Table_SKU[[Mã SKU]:[Tỷ suất VAT]],COUNTA(Table_SKU[[#Headers],[Mã SKU]:[Tỷ suất VAT]]),0),0)*Table_Main[[#This Row],[Giá trị bán trước VAT]])</f>
        <v>0</v>
      </c>
      <c r="AG48" s="51">
        <f>IFERROR(VLOOKUP(Table_Main[[#This Row],[Đơn bán]],Table_DonBan[[Mã Đơn bán]:[Add]],COUNTA(Table_DonBan[[#Headers],[Mã Đơn bán]:[Mã NV]]),0),0)</f>
        <v>0</v>
      </c>
      <c r="AH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8" s="48">
        <f>IFERROR(Table_Main[[#This Row],[Giá trị bán trước VAT]]*Table_Main[[#This Row],[Tỷ lệ hoa hồng]],"")</f>
        <v>0</v>
      </c>
      <c r="AJ48" s="48">
        <f>IFERROR(VLOOKUP(Table_Main[[#This Row],[Đơn bán]],Table_DonBan[[Mã Đơn bán]:[Add]],COUNTA(Table_DonBan[[#Headers],[Mã Đơn bán]:[Kênh]]),0),0)</f>
        <v>0</v>
      </c>
      <c r="AK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8" s="48">
        <f>IFERROR(Table_Main[[#This Row],[Giá trị bán trước VAT]]*Table_Main[[#This Row],[Tỷ lệ CK kênh]],"")</f>
        <v>0</v>
      </c>
      <c r="AM48" s="230"/>
      <c r="AN48" s="232"/>
      <c r="AO48" s="226">
        <f>Table_Main[[#This Row],[ĐK - Phân loại]]*Table_Main[[#This Row],[ĐK - Thời gian]]*Table_Main[[#This Row],[ĐK - Giá trị]]*Table_Main[[#This Row],[ĐK - Số lượng]]*Table_Main[[#This Row],[ĐK - Sinh nhật]]*Table_Main[[#This Row],[ĐK - Ngày mua cuối]]</f>
        <v>1</v>
      </c>
      <c r="AP48" s="226">
        <f xml:space="preserve">
IF(ISBLANK(Table_Main[[#This Row],[Chương trình]]),1,
IF(VLOOKUP(Table_Main[[#This Row],[Chương trình]],Table_ChuongTrinh[[Mã Chương trình]:[Đối tượng CK]],Sheet_ChuongTrinh!$C$1,0) = "Sản phẩm",1,0))</f>
        <v>1</v>
      </c>
      <c r="AQ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7" ht="18" customHeight="1" x14ac:dyDescent="0.3">
      <c r="B49" s="523" t="s">
        <v>1160</v>
      </c>
      <c r="C49" s="523"/>
      <c r="D49" s="537" t="str">
        <f>IF(ISBLANK(Table_Main[[#This Row],[Mã SKU]]),Table_Main[[#This Row],[Mã Nguyên liệu]],Table_Main[[#This Row],[Mã SKU]])</f>
        <v>TP1</v>
      </c>
      <c r="E49" s="420"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20"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20"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20"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20">
        <f>IFERROR(Table_Main[[#This Row],[Giá trị tồn đầu ngày]]/Table_Main[[#This Row],[Tồn kho đầu ngày]],0)</f>
        <v>0</v>
      </c>
      <c r="J49" s="420">
        <f>IFERROR(Table_Main[[#This Row],[Giá trị tồn cuối ngày]]/Table_Main[[#This Row],[Tồn kho cuối ngày]],0)</f>
        <v>0</v>
      </c>
      <c r="K49" s="415">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1164</v>
      </c>
      <c r="P49" s="230" t="s">
        <v>1165</v>
      </c>
      <c r="Q49" s="408">
        <v>28</v>
      </c>
      <c r="R49" s="523"/>
      <c r="S49" s="537">
        <f>IFERROR(VLOOKUP(Table_Main[[#This Row],[Đơn Mua]],Table_DonMua[[Mã Đơn mua]:[Add]],COUNTA(Table_DonMua[[#Headers],[Mã Đơn mua]:[Mã Đối tác]]),0),0)</f>
        <v>0</v>
      </c>
      <c r="T49" s="409"/>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23"/>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48">
        <f xml:space="preserve">
IF(Table_Main[[#This Row],[Đơn bán]]="", 0,
IFERROR(
VLOOKUP(Table_Main[[#This Row],[Mã SKU]],Table_SKU[[Mã SKU]:[Tỷ suất VAT]],COUNTA(Table_SKU[[#Headers],[Mã SKU]:[Tỷ suất VAT]]),0),0)*Table_Main[[#This Row],[Giá trị bán trước VAT]])</f>
        <v>0</v>
      </c>
      <c r="AG49" s="51">
        <f>IFERROR(VLOOKUP(Table_Main[[#This Row],[Đơn bán]],Table_DonBan[[Mã Đơn bán]:[Add]],COUNTA(Table_DonBan[[#Headers],[Mã Đơn bán]:[Mã NV]]),0),0)</f>
        <v>0</v>
      </c>
      <c r="AH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9" s="48">
        <f>IFERROR(Table_Main[[#This Row],[Giá trị bán trước VAT]]*Table_Main[[#This Row],[Tỷ lệ hoa hồng]],"")</f>
        <v>0</v>
      </c>
      <c r="AJ49" s="48">
        <f>IFERROR(VLOOKUP(Table_Main[[#This Row],[Đơn bán]],Table_DonBan[[Mã Đơn bán]:[Add]],COUNTA(Table_DonBan[[#Headers],[Mã Đơn bán]:[Kênh]]),0),0)</f>
        <v>0</v>
      </c>
      <c r="AK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9" s="48">
        <f>IFERROR(Table_Main[[#This Row],[Giá trị bán trước VAT]]*Table_Main[[#This Row],[Tỷ lệ CK kênh]],"")</f>
        <v>0</v>
      </c>
      <c r="AM49" s="230"/>
      <c r="AN49" s="232"/>
      <c r="AO49" s="226">
        <f>Table_Main[[#This Row],[ĐK - Phân loại]]*Table_Main[[#This Row],[ĐK - Thời gian]]*Table_Main[[#This Row],[ĐK - Giá trị]]*Table_Main[[#This Row],[ĐK - Số lượng]]*Table_Main[[#This Row],[ĐK - Sinh nhật]]*Table_Main[[#This Row],[ĐK - Ngày mua cuối]]</f>
        <v>1</v>
      </c>
      <c r="AP49" s="226">
        <f xml:space="preserve">
IF(ISBLANK(Table_Main[[#This Row],[Chương trình]]),1,
IF(VLOOKUP(Table_Main[[#This Row],[Chương trình]],Table_ChuongTrinh[[Mã Chương trình]:[Đối tượng CK]],Sheet_ChuongTrinh!$C$1,0) = "Sản phẩm",1,0))</f>
        <v>1</v>
      </c>
      <c r="AQ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7" ht="18" customHeight="1" x14ac:dyDescent="0.15">
      <c r="B50" s="523" t="s">
        <v>1159</v>
      </c>
      <c r="C50" s="523"/>
      <c r="D50" s="537" t="str">
        <f>IF(ISBLANK(Table_Main[[#This Row],[Mã SKU]]),Table_Main[[#This Row],[Mã Nguyên liệu]],Table_Main[[#This Row],[Mã SKU]])</f>
        <v>HH1</v>
      </c>
      <c r="E50" s="420"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20"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20"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20"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20">
        <f>IFERROR(Table_Main[[#This Row],[Giá trị tồn đầu ngày]]/Table_Main[[#This Row],[Tồn kho đầu ngày]],0)</f>
        <v>90132.701492537322</v>
      </c>
      <c r="J50" s="420">
        <f>IFERROR(Table_Main[[#This Row],[Giá trị tồn cuối ngày]]/Table_Main[[#This Row],[Tồn kho cuối ngày]],0)</f>
        <v>90132.701492537308</v>
      </c>
      <c r="K50" s="415">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51">
        <f>IF(Table_Main[[#This Row],[Ngày lên đơn]]=0,"",Table_Main[[#This Row],[Ngày xuất nhập]]-Table_Main[[#This Row],[Ngày lên đơn]])</f>
        <v>0</v>
      </c>
      <c r="O50" s="7" t="s">
        <v>53</v>
      </c>
      <c r="P50" s="230" t="s">
        <v>1165</v>
      </c>
      <c r="Q50" s="408">
        <v>19</v>
      </c>
      <c r="R50" s="523"/>
      <c r="S50" s="537">
        <f>IFERROR(VLOOKUP(Table_Main[[#This Row],[Đơn Mua]],Table_DonMua[[Mã Đơn mua]:[Add]],COUNTA(Table_DonMua[[#Headers],[Mã Đơn mua]:[Mã Đối tác]]),0),0)</f>
        <v>0</v>
      </c>
      <c r="T50" s="409"/>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23" t="s">
        <v>1215</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48">
        <f xml:space="preserve">
IF(Table_Main[[#This Row],[Đơn bán]]="", 0,
IFERROR(
VLOOKUP(Table_Main[[#This Row],[Mã SKU]],Table_SKU[[Mã SKU]:[Tỷ suất VAT]],COUNTA(Table_SKU[[#Headers],[Mã SKU]:[Tỷ suất VAT]]),0),0)*Table_Main[[#This Row],[Giá trị bán trước VAT]])</f>
        <v>0</v>
      </c>
      <c r="AG50" s="51">
        <f>IFERROR(VLOOKUP(Table_Main[[#This Row],[Đơn bán]],Table_DonBan[[Mã Đơn bán]:[Add]],COUNTA(Table_DonBan[[#Headers],[Mã Đơn bán]:[Mã NV]]),0),0)</f>
        <v>0</v>
      </c>
      <c r="AH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0" s="48">
        <f>IFERROR(Table_Main[[#This Row],[Giá trị bán trước VAT]]*Table_Main[[#This Row],[Tỷ lệ hoa hồng]],"")</f>
        <v>0</v>
      </c>
      <c r="AJ50" s="48">
        <f>IFERROR(VLOOKUP(Table_Main[[#This Row],[Đơn bán]],Table_DonBan[[Mã Đơn bán]:[Add]],COUNTA(Table_DonBan[[#Headers],[Mã Đơn bán]:[Kênh]]),0),0)</f>
        <v>0</v>
      </c>
      <c r="AK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0" s="48">
        <f>IFERROR(Table_Main[[#This Row],[Giá trị bán trước VAT]]*Table_Main[[#This Row],[Tỷ lệ CK kênh]],"")</f>
        <v>0</v>
      </c>
      <c r="AM50" s="230"/>
      <c r="AN50" s="232"/>
      <c r="AO50" s="226">
        <f>Table_Main[[#This Row],[ĐK - Phân loại]]*Table_Main[[#This Row],[ĐK - Thời gian]]*Table_Main[[#This Row],[ĐK - Giá trị]]*Table_Main[[#This Row],[ĐK - Số lượng]]*Table_Main[[#This Row],[ĐK - Sinh nhật]]*Table_Main[[#This Row],[ĐK - Ngày mua cuối]]</f>
        <v>1</v>
      </c>
      <c r="AP50" s="226">
        <f xml:space="preserve">
IF(ISBLANK(Table_Main[[#This Row],[Chương trình]]),1,
IF(VLOOKUP(Table_Main[[#This Row],[Chương trình]],Table_ChuongTrinh[[Mã Chương trình]:[Đối tượng CK]],Sheet_ChuongTrinh!$C$1,0) = "Sản phẩm",1,0))</f>
        <v>1</v>
      </c>
      <c r="AQ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7" ht="18" customHeight="1" x14ac:dyDescent="0.15">
      <c r="B51" s="533"/>
      <c r="C51" s="239" t="s">
        <v>1162</v>
      </c>
      <c r="D51" s="538" t="str">
        <f>IF(ISBLANK(Table_Main[[#This Row],[Mã SKU]]),Table_Main[[#This Row],[Mã Nguyên liệu]],Table_Main[[#This Row],[Mã SKU]])</f>
        <v>NL2</v>
      </c>
      <c r="E51" s="420"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20"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20"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20"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20">
        <f>IFERROR(Table_Main[[#This Row],[Giá trị tồn đầu ngày]]/Table_Main[[#This Row],[Tồn kho đầu ngày]],0)</f>
        <v>140047.56521739133</v>
      </c>
      <c r="J51" s="420">
        <f>IFERROR(Table_Main[[#This Row],[Giá trị tồn cuối ngày]]/Table_Main[[#This Row],[Tồn kho cuối ngày]],0)</f>
        <v>140047.56521739133</v>
      </c>
      <c r="K51" s="415">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51" t="str">
        <f>IF(Table_Main[[#This Row],[Ngày lên đơn]]=0,"",Table_Main[[#This Row],[Ngày xuất nhập]]-Table_Main[[#This Row],[Ngày lên đơn]])</f>
        <v/>
      </c>
      <c r="O51" s="7" t="s">
        <v>53</v>
      </c>
      <c r="P51" s="230" t="s">
        <v>1165</v>
      </c>
      <c r="Q51" s="525">
        <v>15</v>
      </c>
      <c r="R51" s="523"/>
      <c r="S51" s="550">
        <f>IFERROR(VLOOKUP(Table_Main[[#This Row],[Đơn Mua]],Table_DonMua[[Mã Đơn mua]:[Add]],COUNTA(Table_DonMua[[#Headers],[Mã Đơn mua]:[Mã Đối tác]]),0),0)</f>
        <v>0</v>
      </c>
      <c r="T51" s="431"/>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23"/>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48">
        <f xml:space="preserve">
IF(Table_Main[[#This Row],[Đơn bán]]="", 0,
IFERROR(
VLOOKUP(Table_Main[[#This Row],[Mã SKU]],Table_SKU[[Mã SKU]:[Tỷ suất VAT]],COUNTA(Table_SKU[[#Headers],[Mã SKU]:[Tỷ suất VAT]]),0),0)*Table_Main[[#This Row],[Giá trị bán trước VAT]])</f>
        <v>0</v>
      </c>
      <c r="AG51" s="51">
        <f>IFERROR(VLOOKUP(Table_Main[[#This Row],[Đơn bán]],Table_DonBan[[Mã Đơn bán]:[Add]],COUNTA(Table_DonBan[[#Headers],[Mã Đơn bán]:[Mã NV]]),0),0)</f>
        <v>0</v>
      </c>
      <c r="AH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1" s="48">
        <f>IFERROR(Table_Main[[#This Row],[Giá trị bán trước VAT]]*Table_Main[[#This Row],[Tỷ lệ hoa hồng]],"")</f>
        <v>0</v>
      </c>
      <c r="AJ51" s="48">
        <f>IFERROR(VLOOKUP(Table_Main[[#This Row],[Đơn bán]],Table_DonBan[[Mã Đơn bán]:[Add]],COUNTA(Table_DonBan[[#Headers],[Mã Đơn bán]:[Kênh]]),0),0)</f>
        <v>0</v>
      </c>
      <c r="AK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1" s="48">
        <f>IFERROR(Table_Main[[#This Row],[Giá trị bán trước VAT]]*Table_Main[[#This Row],[Tỷ lệ CK kênh]],"")</f>
        <v>0</v>
      </c>
      <c r="AM51" s="230"/>
      <c r="AN51" s="232"/>
      <c r="AO51" s="226">
        <f>Table_Main[[#This Row],[ĐK - Phân loại]]*Table_Main[[#This Row],[ĐK - Thời gian]]*Table_Main[[#This Row],[ĐK - Giá trị]]*Table_Main[[#This Row],[ĐK - Số lượng]]*Table_Main[[#This Row],[ĐK - Sinh nhật]]*Table_Main[[#This Row],[ĐK - Ngày mua cuối]]</f>
        <v>1</v>
      </c>
      <c r="AP51" s="226">
        <f xml:space="preserve">
IF(ISBLANK(Table_Main[[#This Row],[Chương trình]]),1,
IF(VLOOKUP(Table_Main[[#This Row],[Chương trình]],Table_ChuongTrinh[[Mã Chương trình]:[Đối tượng CK]],Sheet_ChuongTrinh!$C$1,0) = "Sản phẩm",1,0))</f>
        <v>1</v>
      </c>
      <c r="AQ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7" ht="18" customHeight="1" x14ac:dyDescent="0.15">
      <c r="B52" s="523" t="s">
        <v>1160</v>
      </c>
      <c r="C52" s="523"/>
      <c r="D52" s="537" t="str">
        <f>IF(ISBLANK(Table_Main[[#This Row],[Mã SKU]]),Table_Main[[#This Row],[Mã Nguyên liệu]],Table_Main[[#This Row],[Mã SKU]])</f>
        <v>TP1</v>
      </c>
      <c r="E52" s="420"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20"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20"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20"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20">
        <f>IFERROR(Table_Main[[#This Row],[Giá trị tồn đầu ngày]]/Table_Main[[#This Row],[Tồn kho đầu ngày]],0)</f>
        <v>0</v>
      </c>
      <c r="J52" s="420">
        <f>IFERROR(Table_Main[[#This Row],[Giá trị tồn cuối ngày]]/Table_Main[[#This Row],[Tồn kho cuối ngày]],0)</f>
        <v>0</v>
      </c>
      <c r="K52" s="415">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51" t="str">
        <f>IF(Table_Main[[#This Row],[Ngày lên đơn]]=0,"",Table_Main[[#This Row],[Ngày xuất nhập]]-Table_Main[[#This Row],[Ngày lên đơn]])</f>
        <v/>
      </c>
      <c r="O52" s="7" t="s">
        <v>1164</v>
      </c>
      <c r="P52" s="230" t="s">
        <v>1165</v>
      </c>
      <c r="Q52" s="408">
        <v>30</v>
      </c>
      <c r="R52" s="523"/>
      <c r="S52" s="537">
        <f>IFERROR(VLOOKUP(Table_Main[[#This Row],[Đơn Mua]],Table_DonMua[[Mã Đơn mua]:[Add]],COUNTA(Table_DonMua[[#Headers],[Mã Đơn mua]:[Mã Đối tác]]),0),0)</f>
        <v>0</v>
      </c>
      <c r="T52" s="409"/>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23"/>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48">
        <f xml:space="preserve">
IF(Table_Main[[#This Row],[Đơn bán]]="", 0,
IFERROR(
VLOOKUP(Table_Main[[#This Row],[Mã SKU]],Table_SKU[[Mã SKU]:[Tỷ suất VAT]],COUNTA(Table_SKU[[#Headers],[Mã SKU]:[Tỷ suất VAT]]),0),0)*Table_Main[[#This Row],[Giá trị bán trước VAT]])</f>
        <v>0</v>
      </c>
      <c r="AG52" s="51">
        <f>IFERROR(VLOOKUP(Table_Main[[#This Row],[Đơn bán]],Table_DonBan[[Mã Đơn bán]:[Add]],COUNTA(Table_DonBan[[#Headers],[Mã Đơn bán]:[Mã NV]]),0),0)</f>
        <v>0</v>
      </c>
      <c r="AH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2" s="48">
        <f>IFERROR(Table_Main[[#This Row],[Giá trị bán trước VAT]]*Table_Main[[#This Row],[Tỷ lệ hoa hồng]],"")</f>
        <v>0</v>
      </c>
      <c r="AJ52" s="48">
        <f>IFERROR(VLOOKUP(Table_Main[[#This Row],[Đơn bán]],Table_DonBan[[Mã Đơn bán]:[Add]],COUNTA(Table_DonBan[[#Headers],[Mã Đơn bán]:[Kênh]]),0),0)</f>
        <v>0</v>
      </c>
      <c r="AK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2" s="48">
        <f>IFERROR(Table_Main[[#This Row],[Giá trị bán trước VAT]]*Table_Main[[#This Row],[Tỷ lệ CK kênh]],"")</f>
        <v>0</v>
      </c>
      <c r="AM52" s="230"/>
      <c r="AN52" s="232"/>
      <c r="AO52" s="226">
        <f>Table_Main[[#This Row],[ĐK - Phân loại]]*Table_Main[[#This Row],[ĐK - Thời gian]]*Table_Main[[#This Row],[ĐK - Giá trị]]*Table_Main[[#This Row],[ĐK - Số lượng]]*Table_Main[[#This Row],[ĐK - Sinh nhật]]*Table_Main[[#This Row],[ĐK - Ngày mua cuối]]</f>
        <v>1</v>
      </c>
      <c r="AP52" s="226">
        <f xml:space="preserve">
IF(ISBLANK(Table_Main[[#This Row],[Chương trình]]),1,
IF(VLOOKUP(Table_Main[[#This Row],[Chương trình]],Table_ChuongTrinh[[Mã Chương trình]:[Đối tượng CK]],Sheet_ChuongTrinh!$C$1,0) = "Sản phẩm",1,0))</f>
        <v>1</v>
      </c>
      <c r="AQ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7" ht="18" customHeight="1" x14ac:dyDescent="0.15">
      <c r="B53" s="523" t="s">
        <v>1160</v>
      </c>
      <c r="C53" s="523"/>
      <c r="D53" s="537" t="str">
        <f>IF(ISBLANK(Table_Main[[#This Row],[Mã SKU]]),Table_Main[[#This Row],[Mã Nguyên liệu]],Table_Main[[#This Row],[Mã SKU]])</f>
        <v>TP1</v>
      </c>
      <c r="E53" s="420"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20"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20"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20"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20">
        <f>IFERROR(Table_Main[[#This Row],[Giá trị tồn đầu ngày]]/Table_Main[[#This Row],[Tồn kho đầu ngày]],0)</f>
        <v>0</v>
      </c>
      <c r="J53" s="420">
        <f>IFERROR(Table_Main[[#This Row],[Giá trị tồn cuối ngày]]/Table_Main[[#This Row],[Tồn kho cuối ngày]],0)</f>
        <v>0</v>
      </c>
      <c r="K53" s="415">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51" t="str">
        <f>IF(Table_Main[[#This Row],[Ngày lên đơn]]=0,"",Table_Main[[#This Row],[Ngày xuất nhập]]-Table_Main[[#This Row],[Ngày lên đơn]])</f>
        <v/>
      </c>
      <c r="O53" s="7" t="s">
        <v>1164</v>
      </c>
      <c r="P53" s="230" t="s">
        <v>1165</v>
      </c>
      <c r="Q53" s="408">
        <v>28</v>
      </c>
      <c r="R53" s="523"/>
      <c r="S53" s="537">
        <f>IFERROR(VLOOKUP(Table_Main[[#This Row],[Đơn Mua]],Table_DonMua[[Mã Đơn mua]:[Add]],COUNTA(Table_DonMua[[#Headers],[Mã Đơn mua]:[Mã Đối tác]]),0),0)</f>
        <v>0</v>
      </c>
      <c r="T53" s="409"/>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23"/>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48">
        <f xml:space="preserve">
IF(Table_Main[[#This Row],[Đơn bán]]="", 0,
IFERROR(
VLOOKUP(Table_Main[[#This Row],[Mã SKU]],Table_SKU[[Mã SKU]:[Tỷ suất VAT]],COUNTA(Table_SKU[[#Headers],[Mã SKU]:[Tỷ suất VAT]]),0),0)*Table_Main[[#This Row],[Giá trị bán trước VAT]])</f>
        <v>0</v>
      </c>
      <c r="AG53" s="51">
        <f>IFERROR(VLOOKUP(Table_Main[[#This Row],[Đơn bán]],Table_DonBan[[Mã Đơn bán]:[Add]],COUNTA(Table_DonBan[[#Headers],[Mã Đơn bán]:[Mã NV]]),0),0)</f>
        <v>0</v>
      </c>
      <c r="AH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3" s="48">
        <f>IFERROR(Table_Main[[#This Row],[Giá trị bán trước VAT]]*Table_Main[[#This Row],[Tỷ lệ hoa hồng]],"")</f>
        <v>0</v>
      </c>
      <c r="AJ53" s="48">
        <f>IFERROR(VLOOKUP(Table_Main[[#This Row],[Đơn bán]],Table_DonBan[[Mã Đơn bán]:[Add]],COUNTA(Table_DonBan[[#Headers],[Mã Đơn bán]:[Kênh]]),0),0)</f>
        <v>0</v>
      </c>
      <c r="AK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3" s="48">
        <f>IFERROR(Table_Main[[#This Row],[Giá trị bán trước VAT]]*Table_Main[[#This Row],[Tỷ lệ CK kênh]],"")</f>
        <v>0</v>
      </c>
      <c r="AM53" s="230"/>
      <c r="AN53" s="232"/>
      <c r="AO53" s="226">
        <f>Table_Main[[#This Row],[ĐK - Phân loại]]*Table_Main[[#This Row],[ĐK - Thời gian]]*Table_Main[[#This Row],[ĐK - Giá trị]]*Table_Main[[#This Row],[ĐK - Số lượng]]*Table_Main[[#This Row],[ĐK - Sinh nhật]]*Table_Main[[#This Row],[ĐK - Ngày mua cuối]]</f>
        <v>1</v>
      </c>
      <c r="AP53" s="226">
        <f xml:space="preserve">
IF(ISBLANK(Table_Main[[#This Row],[Chương trình]]),1,
IF(VLOOKUP(Table_Main[[#This Row],[Chương trình]],Table_ChuongTrinh[[Mã Chương trình]:[Đối tượng CK]],Sheet_ChuongTrinh!$C$1,0) = "Sản phẩm",1,0))</f>
        <v>1</v>
      </c>
      <c r="AQ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7" ht="18" customHeight="1" x14ac:dyDescent="0.3">
      <c r="B54" s="237"/>
      <c r="C54" s="239" t="s">
        <v>1162</v>
      </c>
      <c r="D54" s="538" t="str">
        <f>IF(ISBLANK(Table_Main[[#This Row],[Mã SKU]]),Table_Main[[#This Row],[Mã Nguyên liệu]],Table_Main[[#This Row],[Mã SKU]])</f>
        <v>NL2</v>
      </c>
      <c r="E54" s="420"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20"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20"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20"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20">
        <f>IFERROR(Table_Main[[#This Row],[Giá trị tồn đầu ngày]]/Table_Main[[#This Row],[Tồn kho đầu ngày]],0)</f>
        <v>140047.5652173913</v>
      </c>
      <c r="J54" s="420">
        <f>IFERROR(Table_Main[[#This Row],[Giá trị tồn cuối ngày]]/Table_Main[[#This Row],[Tồn kho cuối ngày]],0)</f>
        <v>140047.56521739133</v>
      </c>
      <c r="K54" s="415">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1165</v>
      </c>
      <c r="Q54" s="408">
        <v>50</v>
      </c>
      <c r="R54" s="523"/>
      <c r="S54" s="537">
        <f>IFERROR(VLOOKUP(Table_Main[[#This Row],[Đơn Mua]],Table_DonMua[[Mã Đơn mua]:[Add]],COUNTA(Table_DonMua[[#Headers],[Mã Đơn mua]:[Mã Đối tác]]),0),0)</f>
        <v>0</v>
      </c>
      <c r="T54" s="409"/>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23"/>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48">
        <f xml:space="preserve">
IF(Table_Main[[#This Row],[Đơn bán]]="", 0,
IFERROR(
VLOOKUP(Table_Main[[#This Row],[Mã SKU]],Table_SKU[[Mã SKU]:[Tỷ suất VAT]],COUNTA(Table_SKU[[#Headers],[Mã SKU]:[Tỷ suất VAT]]),0),0)*Table_Main[[#This Row],[Giá trị bán trước VAT]])</f>
        <v>0</v>
      </c>
      <c r="AG54" s="51">
        <f>IFERROR(VLOOKUP(Table_Main[[#This Row],[Đơn bán]],Table_DonBan[[Mã Đơn bán]:[Add]],COUNTA(Table_DonBan[[#Headers],[Mã Đơn bán]:[Mã NV]]),0),0)</f>
        <v>0</v>
      </c>
      <c r="AH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4" s="48">
        <f>IFERROR(Table_Main[[#This Row],[Giá trị bán trước VAT]]*Table_Main[[#This Row],[Tỷ lệ hoa hồng]],"")</f>
        <v>0</v>
      </c>
      <c r="AJ54" s="48">
        <f>IFERROR(VLOOKUP(Table_Main[[#This Row],[Đơn bán]],Table_DonBan[[Mã Đơn bán]:[Add]],COUNTA(Table_DonBan[[#Headers],[Mã Đơn bán]:[Kênh]]),0),0)</f>
        <v>0</v>
      </c>
      <c r="AK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4" s="48">
        <f>IFERROR(Table_Main[[#This Row],[Giá trị bán trước VAT]]*Table_Main[[#This Row],[Tỷ lệ CK kênh]],"")</f>
        <v>0</v>
      </c>
      <c r="AM54" s="230"/>
      <c r="AN54" s="232"/>
      <c r="AO54" s="226">
        <f>Table_Main[[#This Row],[ĐK - Phân loại]]*Table_Main[[#This Row],[ĐK - Thời gian]]*Table_Main[[#This Row],[ĐK - Giá trị]]*Table_Main[[#This Row],[ĐK - Số lượng]]*Table_Main[[#This Row],[ĐK - Sinh nhật]]*Table_Main[[#This Row],[ĐK - Ngày mua cuối]]</f>
        <v>1</v>
      </c>
      <c r="AP54" s="226">
        <f xml:space="preserve">
IF(ISBLANK(Table_Main[[#This Row],[Chương trình]]),1,
IF(VLOOKUP(Table_Main[[#This Row],[Chương trình]],Table_ChuongTrinh[[Mã Chương trình]:[Đối tượng CK]],Sheet_ChuongTrinh!$C$1,0) = "Sản phẩm",1,0))</f>
        <v>1</v>
      </c>
      <c r="AQ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7" ht="18" customHeight="1" x14ac:dyDescent="0.3">
      <c r="B55" s="531" t="s">
        <v>1160</v>
      </c>
      <c r="C55" s="523"/>
      <c r="D55" s="537" t="str">
        <f>IF(ISBLANK(Table_Main[[#This Row],[Mã SKU]]),Table_Main[[#This Row],[Mã Nguyên liệu]],Table_Main[[#This Row],[Mã SKU]])</f>
        <v>TP1</v>
      </c>
      <c r="E55" s="420"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20"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20"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20"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20">
        <f>IFERROR(Table_Main[[#This Row],[Giá trị tồn đầu ngày]]/Table_Main[[#This Row],[Tồn kho đầu ngày]],0)</f>
        <v>0</v>
      </c>
      <c r="J55" s="420">
        <f>IFERROR(Table_Main[[#This Row],[Giá trị tồn cuối ngày]]/Table_Main[[#This Row],[Tồn kho cuối ngày]],0)</f>
        <v>0</v>
      </c>
      <c r="K55" s="415">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1165</v>
      </c>
      <c r="Q55" s="408">
        <v>28</v>
      </c>
      <c r="R55" s="523"/>
      <c r="S55" s="537">
        <f>IFERROR(VLOOKUP(Table_Main[[#This Row],[Đơn Mua]],Table_DonMua[[Mã Đơn mua]:[Add]],COUNTA(Table_DonMua[[#Headers],[Mã Đơn mua]:[Mã Đối tác]]),0),0)</f>
        <v>0</v>
      </c>
      <c r="T55" s="409"/>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23" t="s">
        <v>1214</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48">
        <f xml:space="preserve">
IF(Table_Main[[#This Row],[Đơn bán]]="", 0,
IFERROR(
VLOOKUP(Table_Main[[#This Row],[Mã SKU]],Table_SKU[[Mã SKU]:[Tỷ suất VAT]],COUNTA(Table_SKU[[#Headers],[Mã SKU]:[Tỷ suất VAT]]),0),0)*Table_Main[[#This Row],[Giá trị bán trước VAT]])</f>
        <v>0</v>
      </c>
      <c r="AG55" s="51">
        <f>IFERROR(VLOOKUP(Table_Main[[#This Row],[Đơn bán]],Table_DonBan[[Mã Đơn bán]:[Add]],COUNTA(Table_DonBan[[#Headers],[Mã Đơn bán]:[Mã NV]]),0),0)</f>
        <v>0</v>
      </c>
      <c r="AH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5" s="48">
        <f>IFERROR(Table_Main[[#This Row],[Giá trị bán trước VAT]]*Table_Main[[#This Row],[Tỷ lệ hoa hồng]],"")</f>
        <v>0</v>
      </c>
      <c r="AJ55" s="48">
        <f>IFERROR(VLOOKUP(Table_Main[[#This Row],[Đơn bán]],Table_DonBan[[Mã Đơn bán]:[Add]],COUNTA(Table_DonBan[[#Headers],[Mã Đơn bán]:[Kênh]]),0),0)</f>
        <v>0</v>
      </c>
      <c r="AK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5" s="48">
        <f>IFERROR(Table_Main[[#This Row],[Giá trị bán trước VAT]]*Table_Main[[#This Row],[Tỷ lệ CK kênh]],"")</f>
        <v>0</v>
      </c>
      <c r="AM55" s="230"/>
      <c r="AN55" s="232"/>
      <c r="AO55" s="226">
        <f>Table_Main[[#This Row],[ĐK - Phân loại]]*Table_Main[[#This Row],[ĐK - Thời gian]]*Table_Main[[#This Row],[ĐK - Giá trị]]*Table_Main[[#This Row],[ĐK - Số lượng]]*Table_Main[[#This Row],[ĐK - Sinh nhật]]*Table_Main[[#This Row],[ĐK - Ngày mua cuối]]</f>
        <v>1</v>
      </c>
      <c r="AP55" s="226">
        <f xml:space="preserve">
IF(ISBLANK(Table_Main[[#This Row],[Chương trình]]),1,
IF(VLOOKUP(Table_Main[[#This Row],[Chương trình]],Table_ChuongTrinh[[Mã Chương trình]:[Đối tượng CK]],Sheet_ChuongTrinh!$C$1,0) = "Sản phẩm",1,0))</f>
        <v>1</v>
      </c>
      <c r="AQ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7" ht="18" customHeight="1" x14ac:dyDescent="0.3">
      <c r="B56" s="531" t="s">
        <v>1161</v>
      </c>
      <c r="C56" s="523"/>
      <c r="D56" s="537" t="str">
        <f>IF(ISBLANK(Table_Main[[#This Row],[Mã SKU]]),Table_Main[[#This Row],[Mã Nguyên liệu]],Table_Main[[#This Row],[Mã SKU]])</f>
        <v>TP2</v>
      </c>
      <c r="E56" s="420"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20"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20"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20"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20">
        <f>IFERROR(Table_Main[[#This Row],[Giá trị tồn đầu ngày]]/Table_Main[[#This Row],[Tồn kho đầu ngày]],0)</f>
        <v>0</v>
      </c>
      <c r="J56" s="420">
        <f>IFERROR(Table_Main[[#This Row],[Giá trị tồn cuối ngày]]/Table_Main[[#This Row],[Tồn kho cuối ngày]],0)</f>
        <v>0</v>
      </c>
      <c r="K56" s="415">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1165</v>
      </c>
      <c r="Q56" s="408">
        <v>31</v>
      </c>
      <c r="R56" s="523"/>
      <c r="S56" s="537">
        <f>IFERROR(VLOOKUP(Table_Main[[#This Row],[Đơn Mua]],Table_DonMua[[Mã Đơn mua]:[Add]],COUNTA(Table_DonMua[[#Headers],[Mã Đơn mua]:[Mã Đối tác]]),0),0)</f>
        <v>0</v>
      </c>
      <c r="T56" s="409"/>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23" t="s">
        <v>1213</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48">
        <f xml:space="preserve">
IF(Table_Main[[#This Row],[Đơn bán]]="", 0,
IFERROR(
VLOOKUP(Table_Main[[#This Row],[Mã SKU]],Table_SKU[[Mã SKU]:[Tỷ suất VAT]],COUNTA(Table_SKU[[#Headers],[Mã SKU]:[Tỷ suất VAT]]),0),0)*Table_Main[[#This Row],[Giá trị bán trước VAT]])</f>
        <v>0</v>
      </c>
      <c r="AG56" s="51">
        <f>IFERROR(VLOOKUP(Table_Main[[#This Row],[Đơn bán]],Table_DonBan[[Mã Đơn bán]:[Add]],COUNTA(Table_DonBan[[#Headers],[Mã Đơn bán]:[Mã NV]]),0),0)</f>
        <v>0</v>
      </c>
      <c r="AH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6" s="48">
        <f>IFERROR(Table_Main[[#This Row],[Giá trị bán trước VAT]]*Table_Main[[#This Row],[Tỷ lệ hoa hồng]],"")</f>
        <v>0</v>
      </c>
      <c r="AJ56" s="48">
        <f>IFERROR(VLOOKUP(Table_Main[[#This Row],[Đơn bán]],Table_DonBan[[Mã Đơn bán]:[Add]],COUNTA(Table_DonBan[[#Headers],[Mã Đơn bán]:[Kênh]]),0),0)</f>
        <v>0</v>
      </c>
      <c r="AK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6" s="48">
        <f>IFERROR(Table_Main[[#This Row],[Giá trị bán trước VAT]]*Table_Main[[#This Row],[Tỷ lệ CK kênh]],"")</f>
        <v>0</v>
      </c>
      <c r="AM56" s="230"/>
      <c r="AN56" s="232"/>
      <c r="AO56" s="226">
        <f>Table_Main[[#This Row],[ĐK - Phân loại]]*Table_Main[[#This Row],[ĐK - Thời gian]]*Table_Main[[#This Row],[ĐK - Giá trị]]*Table_Main[[#This Row],[ĐK - Số lượng]]*Table_Main[[#This Row],[ĐK - Sinh nhật]]*Table_Main[[#This Row],[ĐK - Ngày mua cuối]]</f>
        <v>1</v>
      </c>
      <c r="AP56" s="226">
        <f xml:space="preserve">
IF(ISBLANK(Table_Main[[#This Row],[Chương trình]]),1,
IF(VLOOKUP(Table_Main[[#This Row],[Chương trình]],Table_ChuongTrinh[[Mã Chương trình]:[Đối tượng CK]],Sheet_ChuongTrinh!$C$1,0) = "Sản phẩm",1,0))</f>
        <v>1</v>
      </c>
      <c r="AQ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7" ht="18" customHeight="1" x14ac:dyDescent="0.3">
      <c r="B57" s="237"/>
      <c r="C57" s="239" t="s">
        <v>1163</v>
      </c>
      <c r="D57" s="538" t="str">
        <f>IF(ISBLANK(Table_Main[[#This Row],[Mã SKU]]),Table_Main[[#This Row],[Mã Nguyên liệu]],Table_Main[[#This Row],[Mã SKU]])</f>
        <v>NL1</v>
      </c>
      <c r="E57" s="420"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20"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20"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20"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20">
        <f>IFERROR(Table_Main[[#This Row],[Giá trị tồn đầu ngày]]/Table_Main[[#This Row],[Tồn kho đầu ngày]],0)</f>
        <v>100718.58181818182</v>
      </c>
      <c r="J57" s="420">
        <f>IFERROR(Table_Main[[#This Row],[Giá trị tồn cuối ngày]]/Table_Main[[#This Row],[Tồn kho cuối ngày]],0)</f>
        <v>102362.35087719298</v>
      </c>
      <c r="K57" s="415">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1164</v>
      </c>
      <c r="P57" s="230" t="s">
        <v>1165</v>
      </c>
      <c r="Q57" s="408">
        <v>6</v>
      </c>
      <c r="R57" s="523" t="s">
        <v>1177</v>
      </c>
      <c r="S57" s="537" t="str">
        <f>IFERROR(VLOOKUP(Table_Main[[#This Row],[Đơn Mua]],Table_DonMua[[Mã Đơn mua]:[Add]],COUNTA(Table_DonMua[[#Headers],[Mã Đơn mua]:[Mã Đối tác]]),0),0)</f>
        <v>NCC2</v>
      </c>
      <c r="T57" s="409">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23"/>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48">
        <f xml:space="preserve">
IF(Table_Main[[#This Row],[Đơn bán]]="", 0,
IFERROR(
VLOOKUP(Table_Main[[#This Row],[Mã SKU]],Table_SKU[[Mã SKU]:[Tỷ suất VAT]],COUNTA(Table_SKU[[#Headers],[Mã SKU]:[Tỷ suất VAT]]),0),0)*Table_Main[[#This Row],[Giá trị bán trước VAT]])</f>
        <v>0</v>
      </c>
      <c r="AG57" s="51">
        <f>IFERROR(VLOOKUP(Table_Main[[#This Row],[Đơn bán]],Table_DonBan[[Mã Đơn bán]:[Add]],COUNTA(Table_DonBan[[#Headers],[Mã Đơn bán]:[Mã NV]]),0),0)</f>
        <v>0</v>
      </c>
      <c r="AH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7" s="48">
        <f>IFERROR(Table_Main[[#This Row],[Giá trị bán trước VAT]]*Table_Main[[#This Row],[Tỷ lệ hoa hồng]],"")</f>
        <v>0</v>
      </c>
      <c r="AJ57" s="48">
        <f>IFERROR(VLOOKUP(Table_Main[[#This Row],[Đơn bán]],Table_DonBan[[Mã Đơn bán]:[Add]],COUNTA(Table_DonBan[[#Headers],[Mã Đơn bán]:[Kênh]]),0),0)</f>
        <v>0</v>
      </c>
      <c r="AK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7" s="48">
        <f>IFERROR(Table_Main[[#This Row],[Giá trị bán trước VAT]]*Table_Main[[#This Row],[Tỷ lệ CK kênh]],"")</f>
        <v>0</v>
      </c>
      <c r="AM57" s="230"/>
      <c r="AN57" s="232"/>
      <c r="AO57" s="226">
        <f>Table_Main[[#This Row],[ĐK - Phân loại]]*Table_Main[[#This Row],[ĐK - Thời gian]]*Table_Main[[#This Row],[ĐK - Giá trị]]*Table_Main[[#This Row],[ĐK - Số lượng]]*Table_Main[[#This Row],[ĐK - Sinh nhật]]*Table_Main[[#This Row],[ĐK - Ngày mua cuối]]</f>
        <v>1</v>
      </c>
      <c r="AP57" s="226">
        <f xml:space="preserve">
IF(ISBLANK(Table_Main[[#This Row],[Chương trình]]),1,
IF(VLOOKUP(Table_Main[[#This Row],[Chương trình]],Table_ChuongTrinh[[Mã Chương trình]:[Đối tượng CK]],Sheet_ChuongTrinh!$C$1,0) = "Sản phẩm",1,0))</f>
        <v>1</v>
      </c>
      <c r="AQ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7" ht="18" customHeight="1" x14ac:dyDescent="0.3">
      <c r="B58" s="531" t="s">
        <v>1160</v>
      </c>
      <c r="C58" s="523"/>
      <c r="D58" s="537" t="str">
        <f>IF(ISBLANK(Table_Main[[#This Row],[Mã SKU]]),Table_Main[[#This Row],[Mã Nguyên liệu]],Table_Main[[#This Row],[Mã SKU]])</f>
        <v>TP1</v>
      </c>
      <c r="E58" s="420"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20"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20"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20"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20">
        <f>IFERROR(Table_Main[[#This Row],[Giá trị tồn đầu ngày]]/Table_Main[[#This Row],[Tồn kho đầu ngày]],0)</f>
        <v>0</v>
      </c>
      <c r="J58" s="420">
        <f>IFERROR(Table_Main[[#This Row],[Giá trị tồn cuối ngày]]/Table_Main[[#This Row],[Tồn kho cuối ngày]],0)</f>
        <v>0</v>
      </c>
      <c r="K58" s="415">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1165</v>
      </c>
      <c r="Q58" s="408">
        <v>14</v>
      </c>
      <c r="R58" s="523"/>
      <c r="S58" s="537">
        <f>IFERROR(VLOOKUP(Table_Main[[#This Row],[Đơn Mua]],Table_DonMua[[Mã Đơn mua]:[Add]],COUNTA(Table_DonMua[[#Headers],[Mã Đơn mua]:[Mã Đối tác]]),0),0)</f>
        <v>0</v>
      </c>
      <c r="T58" s="409"/>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23" t="s">
        <v>1212</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48">
        <f xml:space="preserve">
IF(Table_Main[[#This Row],[Đơn bán]]="", 0,
IFERROR(
VLOOKUP(Table_Main[[#This Row],[Mã SKU]],Table_SKU[[Mã SKU]:[Tỷ suất VAT]],COUNTA(Table_SKU[[#Headers],[Mã SKU]:[Tỷ suất VAT]]),0),0)*Table_Main[[#This Row],[Giá trị bán trước VAT]])</f>
        <v>0</v>
      </c>
      <c r="AG58" s="51">
        <f>IFERROR(VLOOKUP(Table_Main[[#This Row],[Đơn bán]],Table_DonBan[[Mã Đơn bán]:[Add]],COUNTA(Table_DonBan[[#Headers],[Mã Đơn bán]:[Mã NV]]),0),0)</f>
        <v>0</v>
      </c>
      <c r="AH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8" s="48">
        <f>IFERROR(Table_Main[[#This Row],[Giá trị bán trước VAT]]*Table_Main[[#This Row],[Tỷ lệ hoa hồng]],"")</f>
        <v>0</v>
      </c>
      <c r="AJ58" s="48">
        <f>IFERROR(VLOOKUP(Table_Main[[#This Row],[Đơn bán]],Table_DonBan[[Mã Đơn bán]:[Add]],COUNTA(Table_DonBan[[#Headers],[Mã Đơn bán]:[Kênh]]),0),0)</f>
        <v>0</v>
      </c>
      <c r="AK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8" s="48">
        <f>IFERROR(Table_Main[[#This Row],[Giá trị bán trước VAT]]*Table_Main[[#This Row],[Tỷ lệ CK kênh]],"")</f>
        <v>0</v>
      </c>
      <c r="AM58" s="230"/>
      <c r="AN58" s="232"/>
      <c r="AO58" s="226">
        <f>Table_Main[[#This Row],[ĐK - Phân loại]]*Table_Main[[#This Row],[ĐK - Thời gian]]*Table_Main[[#This Row],[ĐK - Giá trị]]*Table_Main[[#This Row],[ĐK - Số lượng]]*Table_Main[[#This Row],[ĐK - Sinh nhật]]*Table_Main[[#This Row],[ĐK - Ngày mua cuối]]</f>
        <v>1</v>
      </c>
      <c r="AP58" s="226">
        <f xml:space="preserve">
IF(ISBLANK(Table_Main[[#This Row],[Chương trình]]),1,
IF(VLOOKUP(Table_Main[[#This Row],[Chương trình]],Table_ChuongTrinh[[Mã Chương trình]:[Đối tượng CK]],Sheet_ChuongTrinh!$C$1,0) = "Sản phẩm",1,0))</f>
        <v>1</v>
      </c>
      <c r="AQ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7" ht="18" customHeight="1" x14ac:dyDescent="0.3">
      <c r="B59" s="531" t="s">
        <v>1160</v>
      </c>
      <c r="C59" s="523"/>
      <c r="D59" s="537" t="str">
        <f>IF(ISBLANK(Table_Main[[#This Row],[Mã SKU]]),Table_Main[[#This Row],[Mã Nguyên liệu]],Table_Main[[#This Row],[Mã SKU]])</f>
        <v>TP1</v>
      </c>
      <c r="E59" s="420"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20"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20"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20"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20">
        <f>IFERROR(Table_Main[[#This Row],[Giá trị tồn đầu ngày]]/Table_Main[[#This Row],[Tồn kho đầu ngày]],0)</f>
        <v>0</v>
      </c>
      <c r="J59" s="420">
        <f>IFERROR(Table_Main[[#This Row],[Giá trị tồn cuối ngày]]/Table_Main[[#This Row],[Tồn kho cuối ngày]],0)</f>
        <v>0</v>
      </c>
      <c r="K59" s="415">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1164</v>
      </c>
      <c r="P59" s="230" t="s">
        <v>1165</v>
      </c>
      <c r="Q59" s="408">
        <v>29</v>
      </c>
      <c r="R59" s="523"/>
      <c r="S59" s="537">
        <f>IFERROR(VLOOKUP(Table_Main[[#This Row],[Đơn Mua]],Table_DonMua[[Mã Đơn mua]:[Add]],COUNTA(Table_DonMua[[#Headers],[Mã Đơn mua]:[Mã Đối tác]]),0),0)</f>
        <v>0</v>
      </c>
      <c r="T59" s="409"/>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23"/>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48">
        <f xml:space="preserve">
IF(Table_Main[[#This Row],[Đơn bán]]="", 0,
IFERROR(
VLOOKUP(Table_Main[[#This Row],[Mã SKU]],Table_SKU[[Mã SKU]:[Tỷ suất VAT]],COUNTA(Table_SKU[[#Headers],[Mã SKU]:[Tỷ suất VAT]]),0),0)*Table_Main[[#This Row],[Giá trị bán trước VAT]])</f>
        <v>0</v>
      </c>
      <c r="AG59" s="51">
        <f>IFERROR(VLOOKUP(Table_Main[[#This Row],[Đơn bán]],Table_DonBan[[Mã Đơn bán]:[Add]],COUNTA(Table_DonBan[[#Headers],[Mã Đơn bán]:[Mã NV]]),0),0)</f>
        <v>0</v>
      </c>
      <c r="AH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9" s="48">
        <f>IFERROR(Table_Main[[#This Row],[Giá trị bán trước VAT]]*Table_Main[[#This Row],[Tỷ lệ hoa hồng]],"")</f>
        <v>0</v>
      </c>
      <c r="AJ59" s="48">
        <f>IFERROR(VLOOKUP(Table_Main[[#This Row],[Đơn bán]],Table_DonBan[[Mã Đơn bán]:[Add]],COUNTA(Table_DonBan[[#Headers],[Mã Đơn bán]:[Kênh]]),0),0)</f>
        <v>0</v>
      </c>
      <c r="AK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9" s="48">
        <f>IFERROR(Table_Main[[#This Row],[Giá trị bán trước VAT]]*Table_Main[[#This Row],[Tỷ lệ CK kênh]],"")</f>
        <v>0</v>
      </c>
      <c r="AM59" s="230"/>
      <c r="AN59" s="232"/>
      <c r="AO59" s="226">
        <f>Table_Main[[#This Row],[ĐK - Phân loại]]*Table_Main[[#This Row],[ĐK - Thời gian]]*Table_Main[[#This Row],[ĐK - Giá trị]]*Table_Main[[#This Row],[ĐK - Số lượng]]*Table_Main[[#This Row],[ĐK - Sinh nhật]]*Table_Main[[#This Row],[ĐK - Ngày mua cuối]]</f>
        <v>1</v>
      </c>
      <c r="AP59" s="226">
        <f xml:space="preserve">
IF(ISBLANK(Table_Main[[#This Row],[Chương trình]]),1,
IF(VLOOKUP(Table_Main[[#This Row],[Chương trình]],Table_ChuongTrinh[[Mã Chương trình]:[Đối tượng CK]],Sheet_ChuongTrinh!$C$1,0) = "Sản phẩm",1,0))</f>
        <v>1</v>
      </c>
      <c r="AQ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7" ht="18" customHeight="1" x14ac:dyDescent="0.3">
      <c r="B60" s="531" t="s">
        <v>1161</v>
      </c>
      <c r="C60" s="523"/>
      <c r="D60" s="537" t="str">
        <f>IF(ISBLANK(Table_Main[[#This Row],[Mã SKU]]),Table_Main[[#This Row],[Mã Nguyên liệu]],Table_Main[[#This Row],[Mã SKU]])</f>
        <v>TP2</v>
      </c>
      <c r="E60" s="420"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20"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20"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20"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20">
        <f>IFERROR(Table_Main[[#This Row],[Giá trị tồn đầu ngày]]/Table_Main[[#This Row],[Tồn kho đầu ngày]],0)</f>
        <v>0</v>
      </c>
      <c r="J60" s="420">
        <f>IFERROR(Table_Main[[#This Row],[Giá trị tồn cuối ngày]]/Table_Main[[#This Row],[Tồn kho cuối ngày]],0)</f>
        <v>0</v>
      </c>
      <c r="K60" s="415">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1164</v>
      </c>
      <c r="P60" s="230" t="s">
        <v>1165</v>
      </c>
      <c r="Q60" s="408">
        <v>38</v>
      </c>
      <c r="R60" s="523"/>
      <c r="S60" s="537">
        <f>IFERROR(VLOOKUP(Table_Main[[#This Row],[Đơn Mua]],Table_DonMua[[Mã Đơn mua]:[Add]],COUNTA(Table_DonMua[[#Headers],[Mã Đơn mua]:[Mã Đối tác]]),0),0)</f>
        <v>0</v>
      </c>
      <c r="T60" s="409"/>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23"/>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48">
        <f xml:space="preserve">
IF(Table_Main[[#This Row],[Đơn bán]]="", 0,
IFERROR(
VLOOKUP(Table_Main[[#This Row],[Mã SKU]],Table_SKU[[Mã SKU]:[Tỷ suất VAT]],COUNTA(Table_SKU[[#Headers],[Mã SKU]:[Tỷ suất VAT]]),0),0)*Table_Main[[#This Row],[Giá trị bán trước VAT]])</f>
        <v>0</v>
      </c>
      <c r="AG60" s="51">
        <f>IFERROR(VLOOKUP(Table_Main[[#This Row],[Đơn bán]],Table_DonBan[[Mã Đơn bán]:[Add]],COUNTA(Table_DonBan[[#Headers],[Mã Đơn bán]:[Mã NV]]),0),0)</f>
        <v>0</v>
      </c>
      <c r="AH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0" s="48">
        <f>IFERROR(Table_Main[[#This Row],[Giá trị bán trước VAT]]*Table_Main[[#This Row],[Tỷ lệ hoa hồng]],"")</f>
        <v>0</v>
      </c>
      <c r="AJ60" s="48">
        <f>IFERROR(VLOOKUP(Table_Main[[#This Row],[Đơn bán]],Table_DonBan[[Mã Đơn bán]:[Add]],COUNTA(Table_DonBan[[#Headers],[Mã Đơn bán]:[Kênh]]),0),0)</f>
        <v>0</v>
      </c>
      <c r="AK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0" s="48">
        <f>IFERROR(Table_Main[[#This Row],[Giá trị bán trước VAT]]*Table_Main[[#This Row],[Tỷ lệ CK kênh]],"")</f>
        <v>0</v>
      </c>
      <c r="AM60" s="230"/>
      <c r="AN60" s="232"/>
      <c r="AO60" s="226">
        <f>Table_Main[[#This Row],[ĐK - Phân loại]]*Table_Main[[#This Row],[ĐK - Thời gian]]*Table_Main[[#This Row],[ĐK - Giá trị]]*Table_Main[[#This Row],[ĐK - Số lượng]]*Table_Main[[#This Row],[ĐK - Sinh nhật]]*Table_Main[[#This Row],[ĐK - Ngày mua cuối]]</f>
        <v>1</v>
      </c>
      <c r="AP60" s="226">
        <f xml:space="preserve">
IF(ISBLANK(Table_Main[[#This Row],[Chương trình]]),1,
IF(VLOOKUP(Table_Main[[#This Row],[Chương trình]],Table_ChuongTrinh[[Mã Chương trình]:[Đối tượng CK]],Sheet_ChuongTrinh!$C$1,0) = "Sản phẩm",1,0))</f>
        <v>1</v>
      </c>
      <c r="AQ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7" ht="18" customHeight="1" x14ac:dyDescent="0.3">
      <c r="B61" s="531" t="s">
        <v>1159</v>
      </c>
      <c r="C61" s="523"/>
      <c r="D61" s="537" t="str">
        <f>IF(ISBLANK(Table_Main[[#This Row],[Mã SKU]]),Table_Main[[#This Row],[Mã Nguyên liệu]],Table_Main[[#This Row],[Mã SKU]])</f>
        <v>HH1</v>
      </c>
      <c r="E61" s="420"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20"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20"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20"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20">
        <f>IFERROR(Table_Main[[#This Row],[Giá trị tồn đầu ngày]]/Table_Main[[#This Row],[Tồn kho đầu ngày]],0)</f>
        <v>90132.701492537322</v>
      </c>
      <c r="J61" s="420">
        <f>IFERROR(Table_Main[[#This Row],[Giá trị tồn cuối ngày]]/Table_Main[[#This Row],[Tồn kho cuối ngày]],0)</f>
        <v>90132.701492537322</v>
      </c>
      <c r="K61" s="415">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1165</v>
      </c>
      <c r="Q61" s="408">
        <v>30</v>
      </c>
      <c r="R61" s="523"/>
      <c r="S61" s="537">
        <f>IFERROR(VLOOKUP(Table_Main[[#This Row],[Đơn Mua]],Table_DonMua[[Mã Đơn mua]:[Add]],COUNTA(Table_DonMua[[#Headers],[Mã Đơn mua]:[Mã Đối tác]]),0),0)</f>
        <v>0</v>
      </c>
      <c r="T61" s="409"/>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23" t="s">
        <v>1211</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48">
        <f xml:space="preserve">
IF(Table_Main[[#This Row],[Đơn bán]]="", 0,
IFERROR(
VLOOKUP(Table_Main[[#This Row],[Mã SKU]],Table_SKU[[Mã SKU]:[Tỷ suất VAT]],COUNTA(Table_SKU[[#Headers],[Mã SKU]:[Tỷ suất VAT]]),0),0)*Table_Main[[#This Row],[Giá trị bán trước VAT]])</f>
        <v>0</v>
      </c>
      <c r="AG61" s="51">
        <f>IFERROR(VLOOKUP(Table_Main[[#This Row],[Đơn bán]],Table_DonBan[[Mã Đơn bán]:[Add]],COUNTA(Table_DonBan[[#Headers],[Mã Đơn bán]:[Mã NV]]),0),0)</f>
        <v>0</v>
      </c>
      <c r="AH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1" s="48">
        <f>IFERROR(Table_Main[[#This Row],[Giá trị bán trước VAT]]*Table_Main[[#This Row],[Tỷ lệ hoa hồng]],"")</f>
        <v>0</v>
      </c>
      <c r="AJ61" s="48">
        <f>IFERROR(VLOOKUP(Table_Main[[#This Row],[Đơn bán]],Table_DonBan[[Mã Đơn bán]:[Add]],COUNTA(Table_DonBan[[#Headers],[Mã Đơn bán]:[Kênh]]),0),0)</f>
        <v>0</v>
      </c>
      <c r="AK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1" s="48">
        <f>IFERROR(Table_Main[[#This Row],[Giá trị bán trước VAT]]*Table_Main[[#This Row],[Tỷ lệ CK kênh]],"")</f>
        <v>0</v>
      </c>
      <c r="AM61" s="230"/>
      <c r="AN61" s="232"/>
      <c r="AO61" s="226">
        <f>Table_Main[[#This Row],[ĐK - Phân loại]]*Table_Main[[#This Row],[ĐK - Thời gian]]*Table_Main[[#This Row],[ĐK - Giá trị]]*Table_Main[[#This Row],[ĐK - Số lượng]]*Table_Main[[#This Row],[ĐK - Sinh nhật]]*Table_Main[[#This Row],[ĐK - Ngày mua cuối]]</f>
        <v>1</v>
      </c>
      <c r="AP61" s="226">
        <f xml:space="preserve">
IF(ISBLANK(Table_Main[[#This Row],[Chương trình]]),1,
IF(VLOOKUP(Table_Main[[#This Row],[Chương trình]],Table_ChuongTrinh[[Mã Chương trình]:[Đối tượng CK]],Sheet_ChuongTrinh!$C$1,0) = "Sản phẩm",1,0))</f>
        <v>1</v>
      </c>
      <c r="AQ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7" ht="18" customHeight="1" x14ac:dyDescent="0.3">
      <c r="B62" s="237"/>
      <c r="C62" s="239" t="s">
        <v>1162</v>
      </c>
      <c r="D62" s="538" t="str">
        <f>IF(ISBLANK(Table_Main[[#This Row],[Mã SKU]]),Table_Main[[#This Row],[Mã Nguyên liệu]],Table_Main[[#This Row],[Mã SKU]])</f>
        <v>NL2</v>
      </c>
      <c r="E62" s="420"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20"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20"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20"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20">
        <f>IFERROR(Table_Main[[#This Row],[Giá trị tồn đầu ngày]]/Table_Main[[#This Row],[Tồn kho đầu ngày]],0)</f>
        <v>142586.86153846153</v>
      </c>
      <c r="J62" s="420">
        <f>IFERROR(Table_Main[[#This Row],[Giá trị tồn cuối ngày]]/Table_Main[[#This Row],[Tồn kho cuối ngày]],0)</f>
        <v>140047.5652173913</v>
      </c>
      <c r="K62" s="415">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1164</v>
      </c>
      <c r="P62" s="230" t="s">
        <v>1165</v>
      </c>
      <c r="Q62" s="408">
        <v>8</v>
      </c>
      <c r="R62" s="523" t="s">
        <v>1176</v>
      </c>
      <c r="S62" s="537" t="str">
        <f>IFERROR(VLOOKUP(Table_Main[[#This Row],[Đơn Mua]],Table_DonMua[[Mã Đơn mua]:[Add]],COUNTA(Table_DonMua[[#Headers],[Mã Đơn mua]:[Mã Đối tác]]),0),0)</f>
        <v>NCC1</v>
      </c>
      <c r="T62" s="409">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23"/>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48">
        <f xml:space="preserve">
IF(Table_Main[[#This Row],[Đơn bán]]="", 0,
IFERROR(
VLOOKUP(Table_Main[[#This Row],[Mã SKU]],Table_SKU[[Mã SKU]:[Tỷ suất VAT]],COUNTA(Table_SKU[[#Headers],[Mã SKU]:[Tỷ suất VAT]]),0),0)*Table_Main[[#This Row],[Giá trị bán trước VAT]])</f>
        <v>0</v>
      </c>
      <c r="AG62" s="51">
        <f>IFERROR(VLOOKUP(Table_Main[[#This Row],[Đơn bán]],Table_DonBan[[Mã Đơn bán]:[Add]],COUNTA(Table_DonBan[[#Headers],[Mã Đơn bán]:[Mã NV]]),0),0)</f>
        <v>0</v>
      </c>
      <c r="AH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2" s="48">
        <f>IFERROR(Table_Main[[#This Row],[Giá trị bán trước VAT]]*Table_Main[[#This Row],[Tỷ lệ hoa hồng]],"")</f>
        <v>0</v>
      </c>
      <c r="AJ62" s="48">
        <f>IFERROR(VLOOKUP(Table_Main[[#This Row],[Đơn bán]],Table_DonBan[[Mã Đơn bán]:[Add]],COUNTA(Table_DonBan[[#Headers],[Mã Đơn bán]:[Kênh]]),0),0)</f>
        <v>0</v>
      </c>
      <c r="AK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2" s="48">
        <f>IFERROR(Table_Main[[#This Row],[Giá trị bán trước VAT]]*Table_Main[[#This Row],[Tỷ lệ CK kênh]],"")</f>
        <v>0</v>
      </c>
      <c r="AM62" s="230"/>
      <c r="AN62" s="232"/>
      <c r="AO62" s="226">
        <f>Table_Main[[#This Row],[ĐK - Phân loại]]*Table_Main[[#This Row],[ĐK - Thời gian]]*Table_Main[[#This Row],[ĐK - Giá trị]]*Table_Main[[#This Row],[ĐK - Số lượng]]*Table_Main[[#This Row],[ĐK - Sinh nhật]]*Table_Main[[#This Row],[ĐK - Ngày mua cuối]]</f>
        <v>1</v>
      </c>
      <c r="AP62" s="226">
        <f xml:space="preserve">
IF(ISBLANK(Table_Main[[#This Row],[Chương trình]]),1,
IF(VLOOKUP(Table_Main[[#This Row],[Chương trình]],Table_ChuongTrinh[[Mã Chương trình]:[Đối tượng CK]],Sheet_ChuongTrinh!$C$1,0) = "Sản phẩm",1,0))</f>
        <v>1</v>
      </c>
      <c r="AQ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7" ht="18" customHeight="1" x14ac:dyDescent="0.3">
      <c r="B63" s="531" t="s">
        <v>1159</v>
      </c>
      <c r="C63" s="523"/>
      <c r="D63" s="537" t="str">
        <f>IF(ISBLANK(Table_Main[[#This Row],[Mã SKU]]),Table_Main[[#This Row],[Mã Nguyên liệu]],Table_Main[[#This Row],[Mã SKU]])</f>
        <v>HH1</v>
      </c>
      <c r="E63" s="420"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20"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20"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20"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20">
        <f>IFERROR(Table_Main[[#This Row],[Giá trị tồn đầu ngày]]/Table_Main[[#This Row],[Tồn kho đầu ngày]],0)</f>
        <v>90132.701492537308</v>
      </c>
      <c r="J63" s="420">
        <f>IFERROR(Table_Main[[#This Row],[Giá trị tồn cuối ngày]]/Table_Main[[#This Row],[Tồn kho cuối ngày]],0)</f>
        <v>90132.701492537322</v>
      </c>
      <c r="K63" s="415">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1165</v>
      </c>
      <c r="Q63" s="408">
        <v>1</v>
      </c>
      <c r="R63" s="523"/>
      <c r="S63" s="537">
        <f>IFERROR(VLOOKUP(Table_Main[[#This Row],[Đơn Mua]],Table_DonMua[[Mã Đơn mua]:[Add]],COUNTA(Table_DonMua[[#Headers],[Mã Đơn mua]:[Mã Đối tác]]),0),0)</f>
        <v>0</v>
      </c>
      <c r="T63" s="409"/>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23" t="s">
        <v>1210</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48">
        <f xml:space="preserve">
IF(Table_Main[[#This Row],[Đơn bán]]="", 0,
IFERROR(
VLOOKUP(Table_Main[[#This Row],[Mã SKU]],Table_SKU[[Mã SKU]:[Tỷ suất VAT]],COUNTA(Table_SKU[[#Headers],[Mã SKU]:[Tỷ suất VAT]]),0),0)*Table_Main[[#This Row],[Giá trị bán trước VAT]])</f>
        <v>0</v>
      </c>
      <c r="AG63" s="51">
        <f>IFERROR(VLOOKUP(Table_Main[[#This Row],[Đơn bán]],Table_DonBan[[Mã Đơn bán]:[Add]],COUNTA(Table_DonBan[[#Headers],[Mã Đơn bán]:[Mã NV]]),0),0)</f>
        <v>0</v>
      </c>
      <c r="AH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3" s="48">
        <f>IFERROR(Table_Main[[#This Row],[Giá trị bán trước VAT]]*Table_Main[[#This Row],[Tỷ lệ hoa hồng]],"")</f>
        <v>0</v>
      </c>
      <c r="AJ63" s="48">
        <f>IFERROR(VLOOKUP(Table_Main[[#This Row],[Đơn bán]],Table_DonBan[[Mã Đơn bán]:[Add]],COUNTA(Table_DonBan[[#Headers],[Mã Đơn bán]:[Kênh]]),0),0)</f>
        <v>0</v>
      </c>
      <c r="AK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3" s="48">
        <f>IFERROR(Table_Main[[#This Row],[Giá trị bán trước VAT]]*Table_Main[[#This Row],[Tỷ lệ CK kênh]],"")</f>
        <v>0</v>
      </c>
      <c r="AM63" s="230"/>
      <c r="AN63" s="232"/>
      <c r="AO63" s="226">
        <f>Table_Main[[#This Row],[ĐK - Phân loại]]*Table_Main[[#This Row],[ĐK - Thời gian]]*Table_Main[[#This Row],[ĐK - Giá trị]]*Table_Main[[#This Row],[ĐK - Số lượng]]*Table_Main[[#This Row],[ĐK - Sinh nhật]]*Table_Main[[#This Row],[ĐK - Ngày mua cuối]]</f>
        <v>1</v>
      </c>
      <c r="AP63" s="226">
        <f xml:space="preserve">
IF(ISBLANK(Table_Main[[#This Row],[Chương trình]]),1,
IF(VLOOKUP(Table_Main[[#This Row],[Chương trình]],Table_ChuongTrinh[[Mã Chương trình]:[Đối tượng CK]],Sheet_ChuongTrinh!$C$1,0) = "Sản phẩm",1,0))</f>
        <v>1</v>
      </c>
      <c r="AQ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7" ht="18" customHeight="1" x14ac:dyDescent="0.3">
      <c r="B64" s="531" t="s">
        <v>1161</v>
      </c>
      <c r="C64" s="523"/>
      <c r="D64" s="537" t="str">
        <f>IF(ISBLANK(Table_Main[[#This Row],[Mã SKU]]),Table_Main[[#This Row],[Mã Nguyên liệu]],Table_Main[[#This Row],[Mã SKU]])</f>
        <v>TP2</v>
      </c>
      <c r="E64" s="420"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20"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20"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20"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20">
        <f>IFERROR(Table_Main[[#This Row],[Giá trị tồn đầu ngày]]/Table_Main[[#This Row],[Tồn kho đầu ngày]],0)</f>
        <v>0</v>
      </c>
      <c r="J64" s="420">
        <f>IFERROR(Table_Main[[#This Row],[Giá trị tồn cuối ngày]]/Table_Main[[#This Row],[Tồn kho cuối ngày]],0)</f>
        <v>0</v>
      </c>
      <c r="K64" s="415">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1165</v>
      </c>
      <c r="Q64" s="408">
        <v>48</v>
      </c>
      <c r="R64" s="523"/>
      <c r="S64" s="537">
        <f>IFERROR(VLOOKUP(Table_Main[[#This Row],[Đơn Mua]],Table_DonMua[[Mã Đơn mua]:[Add]],COUNTA(Table_DonMua[[#Headers],[Mã Đơn mua]:[Mã Đối tác]]),0),0)</f>
        <v>0</v>
      </c>
      <c r="T64" s="409"/>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23" t="s">
        <v>1209</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48">
        <f xml:space="preserve">
IF(Table_Main[[#This Row],[Đơn bán]]="", 0,
IFERROR(
VLOOKUP(Table_Main[[#This Row],[Mã SKU]],Table_SKU[[Mã SKU]:[Tỷ suất VAT]],COUNTA(Table_SKU[[#Headers],[Mã SKU]:[Tỷ suất VAT]]),0),0)*Table_Main[[#This Row],[Giá trị bán trước VAT]])</f>
        <v>0</v>
      </c>
      <c r="AG64" s="51">
        <f>IFERROR(VLOOKUP(Table_Main[[#This Row],[Đơn bán]],Table_DonBan[[Mã Đơn bán]:[Add]],COUNTA(Table_DonBan[[#Headers],[Mã Đơn bán]:[Mã NV]]),0),0)</f>
        <v>0</v>
      </c>
      <c r="AH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4" s="48">
        <f>IFERROR(Table_Main[[#This Row],[Giá trị bán trước VAT]]*Table_Main[[#This Row],[Tỷ lệ hoa hồng]],"")</f>
        <v>0</v>
      </c>
      <c r="AJ64" s="48">
        <f>IFERROR(VLOOKUP(Table_Main[[#This Row],[Đơn bán]],Table_DonBan[[Mã Đơn bán]:[Add]],COUNTA(Table_DonBan[[#Headers],[Mã Đơn bán]:[Kênh]]),0),0)</f>
        <v>0</v>
      </c>
      <c r="AK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4" s="48">
        <f>IFERROR(Table_Main[[#This Row],[Giá trị bán trước VAT]]*Table_Main[[#This Row],[Tỷ lệ CK kênh]],"")</f>
        <v>0</v>
      </c>
      <c r="AM64" s="230"/>
      <c r="AN64" s="232"/>
      <c r="AO64" s="226">
        <f>Table_Main[[#This Row],[ĐK - Phân loại]]*Table_Main[[#This Row],[ĐK - Thời gian]]*Table_Main[[#This Row],[ĐK - Giá trị]]*Table_Main[[#This Row],[ĐK - Số lượng]]*Table_Main[[#This Row],[ĐK - Sinh nhật]]*Table_Main[[#This Row],[ĐK - Ngày mua cuối]]</f>
        <v>1</v>
      </c>
      <c r="AP64" s="226">
        <f xml:space="preserve">
IF(ISBLANK(Table_Main[[#This Row],[Chương trình]]),1,
IF(VLOOKUP(Table_Main[[#This Row],[Chương trình]],Table_ChuongTrinh[[Mã Chương trình]:[Đối tượng CK]],Sheet_ChuongTrinh!$C$1,0) = "Sản phẩm",1,0))</f>
        <v>1</v>
      </c>
      <c r="AQ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7" ht="18" customHeight="1" x14ac:dyDescent="0.3">
      <c r="B65" s="531" t="s">
        <v>1160</v>
      </c>
      <c r="C65" s="523"/>
      <c r="D65" s="537" t="str">
        <f>IF(ISBLANK(Table_Main[[#This Row],[Mã SKU]]),Table_Main[[#This Row],[Mã Nguyên liệu]],Table_Main[[#This Row],[Mã SKU]])</f>
        <v>TP1</v>
      </c>
      <c r="E65" s="420"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20"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20"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20"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20">
        <f>IFERROR(Table_Main[[#This Row],[Giá trị tồn đầu ngày]]/Table_Main[[#This Row],[Tồn kho đầu ngày]],0)</f>
        <v>0</v>
      </c>
      <c r="J65" s="420">
        <f>IFERROR(Table_Main[[#This Row],[Giá trị tồn cuối ngày]]/Table_Main[[#This Row],[Tồn kho cuối ngày]],0)</f>
        <v>0</v>
      </c>
      <c r="K65" s="415">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1164</v>
      </c>
      <c r="P65" s="230" t="s">
        <v>1165</v>
      </c>
      <c r="Q65" s="408">
        <v>23</v>
      </c>
      <c r="R65" s="523"/>
      <c r="S65" s="537">
        <f>IFERROR(VLOOKUP(Table_Main[[#This Row],[Đơn Mua]],Table_DonMua[[Mã Đơn mua]:[Add]],COUNTA(Table_DonMua[[#Headers],[Mã Đơn mua]:[Mã Đối tác]]),0),0)</f>
        <v>0</v>
      </c>
      <c r="T65" s="409"/>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23"/>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48">
        <f xml:space="preserve">
IF(Table_Main[[#This Row],[Đơn bán]]="", 0,
IFERROR(
VLOOKUP(Table_Main[[#This Row],[Mã SKU]],Table_SKU[[Mã SKU]:[Tỷ suất VAT]],COUNTA(Table_SKU[[#Headers],[Mã SKU]:[Tỷ suất VAT]]),0),0)*Table_Main[[#This Row],[Giá trị bán trước VAT]])</f>
        <v>0</v>
      </c>
      <c r="AG65" s="51">
        <f>IFERROR(VLOOKUP(Table_Main[[#This Row],[Đơn bán]],Table_DonBan[[Mã Đơn bán]:[Add]],COUNTA(Table_DonBan[[#Headers],[Mã Đơn bán]:[Mã NV]]),0),0)</f>
        <v>0</v>
      </c>
      <c r="AH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5" s="48">
        <f>IFERROR(Table_Main[[#This Row],[Giá trị bán trước VAT]]*Table_Main[[#This Row],[Tỷ lệ hoa hồng]],"")</f>
        <v>0</v>
      </c>
      <c r="AJ65" s="48">
        <f>IFERROR(VLOOKUP(Table_Main[[#This Row],[Đơn bán]],Table_DonBan[[Mã Đơn bán]:[Add]],COUNTA(Table_DonBan[[#Headers],[Mã Đơn bán]:[Kênh]]),0),0)</f>
        <v>0</v>
      </c>
      <c r="AK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5" s="48">
        <f>IFERROR(Table_Main[[#This Row],[Giá trị bán trước VAT]]*Table_Main[[#This Row],[Tỷ lệ CK kênh]],"")</f>
        <v>0</v>
      </c>
      <c r="AM65" s="230"/>
      <c r="AN65" s="232"/>
      <c r="AO65" s="226">
        <f>Table_Main[[#This Row],[ĐK - Phân loại]]*Table_Main[[#This Row],[ĐK - Thời gian]]*Table_Main[[#This Row],[ĐK - Giá trị]]*Table_Main[[#This Row],[ĐK - Số lượng]]*Table_Main[[#This Row],[ĐK - Sinh nhật]]*Table_Main[[#This Row],[ĐK - Ngày mua cuối]]</f>
        <v>1</v>
      </c>
      <c r="AP65" s="226">
        <f xml:space="preserve">
IF(ISBLANK(Table_Main[[#This Row],[Chương trình]]),1,
IF(VLOOKUP(Table_Main[[#This Row],[Chương trình]],Table_ChuongTrinh[[Mã Chương trình]:[Đối tượng CK]],Sheet_ChuongTrinh!$C$1,0) = "Sản phẩm",1,0))</f>
        <v>1</v>
      </c>
      <c r="AQ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7" ht="18" customHeight="1" x14ac:dyDescent="0.3">
      <c r="B66" s="531" t="s">
        <v>1160</v>
      </c>
      <c r="C66" s="523"/>
      <c r="D66" s="537" t="str">
        <f>IF(ISBLANK(Table_Main[[#This Row],[Mã SKU]]),Table_Main[[#This Row],[Mã Nguyên liệu]],Table_Main[[#This Row],[Mã SKU]])</f>
        <v>TP1</v>
      </c>
      <c r="E66" s="420"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20"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20"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20"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20">
        <f>IFERROR(Table_Main[[#This Row],[Giá trị tồn đầu ngày]]/Table_Main[[#This Row],[Tồn kho đầu ngày]],0)</f>
        <v>0</v>
      </c>
      <c r="J66" s="420">
        <f>IFERROR(Table_Main[[#This Row],[Giá trị tồn cuối ngày]]/Table_Main[[#This Row],[Tồn kho cuối ngày]],0)</f>
        <v>0</v>
      </c>
      <c r="K66" s="415">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1164</v>
      </c>
      <c r="P66" s="230" t="s">
        <v>1165</v>
      </c>
      <c r="Q66" s="408">
        <v>33</v>
      </c>
      <c r="R66" s="523"/>
      <c r="S66" s="537">
        <f>IFERROR(VLOOKUP(Table_Main[[#This Row],[Đơn Mua]],Table_DonMua[[Mã Đơn mua]:[Add]],COUNTA(Table_DonMua[[#Headers],[Mã Đơn mua]:[Mã Đối tác]]),0),0)</f>
        <v>0</v>
      </c>
      <c r="T66" s="409"/>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23"/>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48">
        <f xml:space="preserve">
IF(Table_Main[[#This Row],[Đơn bán]]="", 0,
IFERROR(
VLOOKUP(Table_Main[[#This Row],[Mã SKU]],Table_SKU[[Mã SKU]:[Tỷ suất VAT]],COUNTA(Table_SKU[[#Headers],[Mã SKU]:[Tỷ suất VAT]]),0),0)*Table_Main[[#This Row],[Giá trị bán trước VAT]])</f>
        <v>0</v>
      </c>
      <c r="AG66" s="51">
        <f>IFERROR(VLOOKUP(Table_Main[[#This Row],[Đơn bán]],Table_DonBan[[Mã Đơn bán]:[Add]],COUNTA(Table_DonBan[[#Headers],[Mã Đơn bán]:[Mã NV]]),0),0)</f>
        <v>0</v>
      </c>
      <c r="AH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6" s="48">
        <f>IFERROR(Table_Main[[#This Row],[Giá trị bán trước VAT]]*Table_Main[[#This Row],[Tỷ lệ hoa hồng]],"")</f>
        <v>0</v>
      </c>
      <c r="AJ66" s="48">
        <f>IFERROR(VLOOKUP(Table_Main[[#This Row],[Đơn bán]],Table_DonBan[[Mã Đơn bán]:[Add]],COUNTA(Table_DonBan[[#Headers],[Mã Đơn bán]:[Kênh]]),0),0)</f>
        <v>0</v>
      </c>
      <c r="AK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6" s="48">
        <f>IFERROR(Table_Main[[#This Row],[Giá trị bán trước VAT]]*Table_Main[[#This Row],[Tỷ lệ CK kênh]],"")</f>
        <v>0</v>
      </c>
      <c r="AM66" s="230"/>
      <c r="AN66" s="232"/>
      <c r="AO66" s="226">
        <f>Table_Main[[#This Row],[ĐK - Phân loại]]*Table_Main[[#This Row],[ĐK - Thời gian]]*Table_Main[[#This Row],[ĐK - Giá trị]]*Table_Main[[#This Row],[ĐK - Số lượng]]*Table_Main[[#This Row],[ĐK - Sinh nhật]]*Table_Main[[#This Row],[ĐK - Ngày mua cuối]]</f>
        <v>1</v>
      </c>
      <c r="AP66" s="226">
        <f xml:space="preserve">
IF(ISBLANK(Table_Main[[#This Row],[Chương trình]]),1,
IF(VLOOKUP(Table_Main[[#This Row],[Chương trình]],Table_ChuongTrinh[[Mã Chương trình]:[Đối tượng CK]],Sheet_ChuongTrinh!$C$1,0) = "Sản phẩm",1,0))</f>
        <v>1</v>
      </c>
      <c r="AQ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7" ht="18" customHeight="1" x14ac:dyDescent="0.3">
      <c r="B67" s="531" t="s">
        <v>1159</v>
      </c>
      <c r="C67" s="523"/>
      <c r="D67" s="537" t="str">
        <f>IF(ISBLANK(Table_Main[[#This Row],[Mã SKU]]),Table_Main[[#This Row],[Mã Nguyên liệu]],Table_Main[[#This Row],[Mã SKU]])</f>
        <v>HH1</v>
      </c>
      <c r="E67" s="420"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20"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20"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20"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20">
        <f>IFERROR(Table_Main[[#This Row],[Giá trị tồn đầu ngày]]/Table_Main[[#This Row],[Tồn kho đầu ngày]],0)</f>
        <v>80000</v>
      </c>
      <c r="J67" s="420">
        <f>IFERROR(Table_Main[[#This Row],[Giá trị tồn cuối ngày]]/Table_Main[[#This Row],[Tồn kho cuối ngày]],0)</f>
        <v>90132.701492537308</v>
      </c>
      <c r="K67" s="415">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1164</v>
      </c>
      <c r="P67" s="230" t="s">
        <v>1165</v>
      </c>
      <c r="Q67" s="408">
        <v>23</v>
      </c>
      <c r="R67" s="523" t="s">
        <v>1175</v>
      </c>
      <c r="S67" s="537" t="str">
        <f>IFERROR(VLOOKUP(Table_Main[[#This Row],[Đơn Mua]],Table_DonMua[[Mã Đơn mua]:[Add]],COUNTA(Table_DonMua[[#Headers],[Mã Đơn mua]:[Mã Đối tác]]),0),0)</f>
        <v>NCC1</v>
      </c>
      <c r="T67" s="409">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23"/>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48">
        <f xml:space="preserve">
IF(Table_Main[[#This Row],[Đơn bán]]="", 0,
IFERROR(
VLOOKUP(Table_Main[[#This Row],[Mã SKU]],Table_SKU[[Mã SKU]:[Tỷ suất VAT]],COUNTA(Table_SKU[[#Headers],[Mã SKU]:[Tỷ suất VAT]]),0),0)*Table_Main[[#This Row],[Giá trị bán trước VAT]])</f>
        <v>0</v>
      </c>
      <c r="AG67" s="51">
        <f>IFERROR(VLOOKUP(Table_Main[[#This Row],[Đơn bán]],Table_DonBan[[Mã Đơn bán]:[Add]],COUNTA(Table_DonBan[[#Headers],[Mã Đơn bán]:[Mã NV]]),0),0)</f>
        <v>0</v>
      </c>
      <c r="AH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7" s="48">
        <f>IFERROR(Table_Main[[#This Row],[Giá trị bán trước VAT]]*Table_Main[[#This Row],[Tỷ lệ hoa hồng]],"")</f>
        <v>0</v>
      </c>
      <c r="AJ67" s="48">
        <f>IFERROR(VLOOKUP(Table_Main[[#This Row],[Đơn bán]],Table_DonBan[[Mã Đơn bán]:[Add]],COUNTA(Table_DonBan[[#Headers],[Mã Đơn bán]:[Kênh]]),0),0)</f>
        <v>0</v>
      </c>
      <c r="AK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7" s="48">
        <f>IFERROR(Table_Main[[#This Row],[Giá trị bán trước VAT]]*Table_Main[[#This Row],[Tỷ lệ CK kênh]],"")</f>
        <v>0</v>
      </c>
      <c r="AM67" s="230"/>
      <c r="AN67" s="232"/>
      <c r="AO67" s="226">
        <f>Table_Main[[#This Row],[ĐK - Phân loại]]*Table_Main[[#This Row],[ĐK - Thời gian]]*Table_Main[[#This Row],[ĐK - Giá trị]]*Table_Main[[#This Row],[ĐK - Số lượng]]*Table_Main[[#This Row],[ĐK - Sinh nhật]]*Table_Main[[#This Row],[ĐK - Ngày mua cuối]]</f>
        <v>1</v>
      </c>
      <c r="AP67" s="226">
        <f xml:space="preserve">
IF(ISBLANK(Table_Main[[#This Row],[Chương trình]]),1,
IF(VLOOKUP(Table_Main[[#This Row],[Chương trình]],Table_ChuongTrinh[[Mã Chương trình]:[Đối tượng CK]],Sheet_ChuongTrinh!$C$1,0) = "Sản phẩm",1,0))</f>
        <v>1</v>
      </c>
      <c r="AQ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7" ht="18" customHeight="1" x14ac:dyDescent="0.15">
      <c r="B68" s="237"/>
      <c r="C68" s="524" t="s">
        <v>1162</v>
      </c>
      <c r="D68" s="539" t="str">
        <f>IF(ISBLANK(Table_Main[[#This Row],[Mã SKU]]),Table_Main[[#This Row],[Mã Nguyên liệu]],Table_Main[[#This Row],[Mã SKU]])</f>
        <v>NL2</v>
      </c>
      <c r="E68" s="420"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20"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20"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20"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20">
        <f>IFERROR(Table_Main[[#This Row],[Giá trị tồn đầu ngày]]/Table_Main[[#This Row],[Tồn kho đầu ngày]],0)</f>
        <v>150000</v>
      </c>
      <c r="J68" s="420">
        <f>IFERROR(Table_Main[[#This Row],[Giá trị tồn cuối ngày]]/Table_Main[[#This Row],[Tồn kho cuối ngày]],0)</f>
        <v>150000</v>
      </c>
      <c r="K68" s="415">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51" t="str">
        <f>IF(Table_Main[[#This Row],[Ngày lên đơn]]=0,"",Table_Main[[#This Row],[Ngày xuất nhập]]-Table_Main[[#This Row],[Ngày lên đơn]])</f>
        <v/>
      </c>
      <c r="O68" s="7" t="s">
        <v>53</v>
      </c>
      <c r="P68" s="230" t="s">
        <v>1165</v>
      </c>
      <c r="Q68" s="525">
        <v>32</v>
      </c>
      <c r="R68" s="523"/>
      <c r="S68" s="550">
        <f>IFERROR(VLOOKUP(Table_Main[[#This Row],[Đơn Mua]],Table_DonMua[[Mã Đơn mua]:[Add]],COUNTA(Table_DonMua[[#Headers],[Mã Đơn mua]:[Mã Đối tác]]),0),0)</f>
        <v>0</v>
      </c>
      <c r="T68" s="431"/>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23"/>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48">
        <f xml:space="preserve">
IF(Table_Main[[#This Row],[Đơn bán]]="", 0,
IFERROR(
VLOOKUP(Table_Main[[#This Row],[Mã SKU]],Table_SKU[[Mã SKU]:[Tỷ suất VAT]],COUNTA(Table_SKU[[#Headers],[Mã SKU]:[Tỷ suất VAT]]),0),0)*Table_Main[[#This Row],[Giá trị bán trước VAT]])</f>
        <v>0</v>
      </c>
      <c r="AG68" s="51">
        <f>IFERROR(VLOOKUP(Table_Main[[#This Row],[Đơn bán]],Table_DonBan[[Mã Đơn bán]:[Add]],COUNTA(Table_DonBan[[#Headers],[Mã Đơn bán]:[Mã NV]]),0),0)</f>
        <v>0</v>
      </c>
      <c r="AH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8" s="48">
        <f>IFERROR(Table_Main[[#This Row],[Giá trị bán trước VAT]]*Table_Main[[#This Row],[Tỷ lệ hoa hồng]],"")</f>
        <v>0</v>
      </c>
      <c r="AJ68" s="48">
        <f>IFERROR(VLOOKUP(Table_Main[[#This Row],[Đơn bán]],Table_DonBan[[Mã Đơn bán]:[Add]],COUNTA(Table_DonBan[[#Headers],[Mã Đơn bán]:[Kênh]]),0),0)</f>
        <v>0</v>
      </c>
      <c r="AK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8" s="48">
        <f>IFERROR(Table_Main[[#This Row],[Giá trị bán trước VAT]]*Table_Main[[#This Row],[Tỷ lệ CK kênh]],"")</f>
        <v>0</v>
      </c>
      <c r="AM68" s="230"/>
      <c r="AN68" s="232"/>
      <c r="AO68" s="226">
        <f>Table_Main[[#This Row],[ĐK - Phân loại]]*Table_Main[[#This Row],[ĐK - Thời gian]]*Table_Main[[#This Row],[ĐK - Giá trị]]*Table_Main[[#This Row],[ĐK - Số lượng]]*Table_Main[[#This Row],[ĐK - Sinh nhật]]*Table_Main[[#This Row],[ĐK - Ngày mua cuối]]</f>
        <v>1</v>
      </c>
      <c r="AP68" s="226">
        <f xml:space="preserve">
IF(ISBLANK(Table_Main[[#This Row],[Chương trình]]),1,
IF(VLOOKUP(Table_Main[[#This Row],[Chương trình]],Table_ChuongTrinh[[Mã Chương trình]:[Đối tượng CK]],Sheet_ChuongTrinh!$C$1,0) = "Sản phẩm",1,0))</f>
        <v>1</v>
      </c>
      <c r="AQ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7" ht="18" customHeight="1" x14ac:dyDescent="0.3">
      <c r="B69" s="237"/>
      <c r="C69" s="239" t="s">
        <v>1163</v>
      </c>
      <c r="D69" s="538" t="str">
        <f>IF(ISBLANK(Table_Main[[#This Row],[Mã SKU]]),Table_Main[[#This Row],[Mã Nguyên liệu]],Table_Main[[#This Row],[Mã SKU]])</f>
        <v>NL1</v>
      </c>
      <c r="E69" s="420"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20"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20"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20"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20">
        <f>IFERROR(Table_Main[[#This Row],[Giá trị tồn đầu ngày]]/Table_Main[[#This Row],[Tồn kho đầu ngày]],0)</f>
        <v>100000</v>
      </c>
      <c r="J69" s="420">
        <f>IFERROR(Table_Main[[#This Row],[Giá trị tồn cuối ngày]]/Table_Main[[#This Row],[Tồn kho cuối ngày]],0)</f>
        <v>100718.58181818182</v>
      </c>
      <c r="K69" s="415">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1164</v>
      </c>
      <c r="P69" s="230" t="s">
        <v>1165</v>
      </c>
      <c r="Q69" s="408">
        <v>14</v>
      </c>
      <c r="R69" s="523" t="s">
        <v>1174</v>
      </c>
      <c r="S69" s="537" t="str">
        <f>IFERROR(VLOOKUP(Table_Main[[#This Row],[Đơn Mua]],Table_DonMua[[Mã Đơn mua]:[Add]],COUNTA(Table_DonMua[[#Headers],[Mã Đơn mua]:[Mã Đối tác]]),0),0)</f>
        <v>NCC2</v>
      </c>
      <c r="T69" s="409">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23"/>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48">
        <f xml:space="preserve">
IF(Table_Main[[#This Row],[Đơn bán]]="", 0,
IFERROR(
VLOOKUP(Table_Main[[#This Row],[Mã SKU]],Table_SKU[[Mã SKU]:[Tỷ suất VAT]],COUNTA(Table_SKU[[#Headers],[Mã SKU]:[Tỷ suất VAT]]),0),0)*Table_Main[[#This Row],[Giá trị bán trước VAT]])</f>
        <v>0</v>
      </c>
      <c r="AG69" s="51">
        <f>IFERROR(VLOOKUP(Table_Main[[#This Row],[Đơn bán]],Table_DonBan[[Mã Đơn bán]:[Add]],COUNTA(Table_DonBan[[#Headers],[Mã Đơn bán]:[Mã NV]]),0),0)</f>
        <v>0</v>
      </c>
      <c r="AH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9" s="48">
        <f>IFERROR(Table_Main[[#This Row],[Giá trị bán trước VAT]]*Table_Main[[#This Row],[Tỷ lệ hoa hồng]],"")</f>
        <v>0</v>
      </c>
      <c r="AJ69" s="48">
        <f>IFERROR(VLOOKUP(Table_Main[[#This Row],[Đơn bán]],Table_DonBan[[Mã Đơn bán]:[Add]],COUNTA(Table_DonBan[[#Headers],[Mã Đơn bán]:[Kênh]]),0),0)</f>
        <v>0</v>
      </c>
      <c r="AK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9" s="48">
        <f>IFERROR(Table_Main[[#This Row],[Giá trị bán trước VAT]]*Table_Main[[#This Row],[Tỷ lệ CK kênh]],"")</f>
        <v>0</v>
      </c>
      <c r="AM69" s="230"/>
      <c r="AN69" s="232"/>
      <c r="AO69" s="226">
        <f>Table_Main[[#This Row],[ĐK - Phân loại]]*Table_Main[[#This Row],[ĐK - Thời gian]]*Table_Main[[#This Row],[ĐK - Giá trị]]*Table_Main[[#This Row],[ĐK - Số lượng]]*Table_Main[[#This Row],[ĐK - Sinh nhật]]*Table_Main[[#This Row],[ĐK - Ngày mua cuối]]</f>
        <v>1</v>
      </c>
      <c r="AP69" s="226">
        <f xml:space="preserve">
IF(ISBLANK(Table_Main[[#This Row],[Chương trình]]),1,
IF(VLOOKUP(Table_Main[[#This Row],[Chương trình]],Table_ChuongTrinh[[Mã Chương trình]:[Đối tượng CK]],Sheet_ChuongTrinh!$C$1,0) = "Sản phẩm",1,0))</f>
        <v>1</v>
      </c>
      <c r="AQ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7" ht="18" customHeight="1" x14ac:dyDescent="0.3">
      <c r="B70" s="531" t="s">
        <v>1159</v>
      </c>
      <c r="C70" s="523"/>
      <c r="D70" s="537" t="str">
        <f>IF(ISBLANK(Table_Main[[#This Row],[Mã SKU]]),Table_Main[[#This Row],[Mã Nguyên liệu]],Table_Main[[#This Row],[Mã SKU]])</f>
        <v>HH1</v>
      </c>
      <c r="E70" s="420"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20"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20"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20"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20">
        <f>IFERROR(Table_Main[[#This Row],[Giá trị tồn đầu ngày]]/Table_Main[[#This Row],[Tồn kho đầu ngày]],0)</f>
        <v>80000</v>
      </c>
      <c r="J70" s="420">
        <f>IFERROR(Table_Main[[#This Row],[Giá trị tồn cuối ngày]]/Table_Main[[#This Row],[Tồn kho cuối ngày]],0)</f>
        <v>80000</v>
      </c>
      <c r="K70" s="415">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1165</v>
      </c>
      <c r="Q70" s="408">
        <v>39</v>
      </c>
      <c r="R70" s="523"/>
      <c r="S70" s="537">
        <f>IFERROR(VLOOKUP(Table_Main[[#This Row],[Đơn Mua]],Table_DonMua[[Mã Đơn mua]:[Add]],COUNTA(Table_DonMua[[#Headers],[Mã Đơn mua]:[Mã Đối tác]]),0),0)</f>
        <v>0</v>
      </c>
      <c r="T70" s="409"/>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23" t="s">
        <v>1208</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48">
        <f xml:space="preserve">
IF(Table_Main[[#This Row],[Đơn bán]]="", 0,
IFERROR(
VLOOKUP(Table_Main[[#This Row],[Mã SKU]],Table_SKU[[Mã SKU]:[Tỷ suất VAT]],COUNTA(Table_SKU[[#Headers],[Mã SKU]:[Tỷ suất VAT]]),0),0)*Table_Main[[#This Row],[Giá trị bán trước VAT]])</f>
        <v>0</v>
      </c>
      <c r="AG70" s="51">
        <f>IFERROR(VLOOKUP(Table_Main[[#This Row],[Đơn bán]],Table_DonBan[[Mã Đơn bán]:[Add]],COUNTA(Table_DonBan[[#Headers],[Mã Đơn bán]:[Mã NV]]),0),0)</f>
        <v>0</v>
      </c>
      <c r="AH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0" s="48">
        <f>IFERROR(Table_Main[[#This Row],[Giá trị bán trước VAT]]*Table_Main[[#This Row],[Tỷ lệ hoa hồng]],"")</f>
        <v>0</v>
      </c>
      <c r="AJ70" s="48">
        <f>IFERROR(VLOOKUP(Table_Main[[#This Row],[Đơn bán]],Table_DonBan[[Mã Đơn bán]:[Add]],COUNTA(Table_DonBan[[#Headers],[Mã Đơn bán]:[Kênh]]),0),0)</f>
        <v>0</v>
      </c>
      <c r="AK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0" s="48">
        <f>IFERROR(Table_Main[[#This Row],[Giá trị bán trước VAT]]*Table_Main[[#This Row],[Tỷ lệ CK kênh]],"")</f>
        <v>0</v>
      </c>
      <c r="AM70" s="230"/>
      <c r="AN70" s="232"/>
      <c r="AO70" s="226">
        <f>Table_Main[[#This Row],[ĐK - Phân loại]]*Table_Main[[#This Row],[ĐK - Thời gian]]*Table_Main[[#This Row],[ĐK - Giá trị]]*Table_Main[[#This Row],[ĐK - Số lượng]]*Table_Main[[#This Row],[ĐK - Sinh nhật]]*Table_Main[[#This Row],[ĐK - Ngày mua cuối]]</f>
        <v>1</v>
      </c>
      <c r="AP70" s="226">
        <f xml:space="preserve">
IF(ISBLANK(Table_Main[[#This Row],[Chương trình]]),1,
IF(VLOOKUP(Table_Main[[#This Row],[Chương trình]],Table_ChuongTrinh[[Mã Chương trình]:[Đối tượng CK]],Sheet_ChuongTrinh!$C$1,0) = "Sản phẩm",1,0))</f>
        <v>1</v>
      </c>
      <c r="AQ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7" ht="18" customHeight="1" x14ac:dyDescent="0.3">
      <c r="B71" s="531" t="s">
        <v>1161</v>
      </c>
      <c r="C71" s="523"/>
      <c r="D71" s="537" t="str">
        <f>IF(ISBLANK(Table_Main[[#This Row],[Mã SKU]]),Table_Main[[#This Row],[Mã Nguyên liệu]],Table_Main[[#This Row],[Mã SKU]])</f>
        <v>TP2</v>
      </c>
      <c r="E71" s="420"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20"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20"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20"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20">
        <f>IFERROR(Table_Main[[#This Row],[Giá trị tồn đầu ngày]]/Table_Main[[#This Row],[Tồn kho đầu ngày]],0)</f>
        <v>0</v>
      </c>
      <c r="J71" s="420">
        <f>IFERROR(Table_Main[[#This Row],[Giá trị tồn cuối ngày]]/Table_Main[[#This Row],[Tồn kho cuối ngày]],0)</f>
        <v>0</v>
      </c>
      <c r="K71" s="415">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1164</v>
      </c>
      <c r="P71" s="230" t="s">
        <v>1165</v>
      </c>
      <c r="Q71" s="408">
        <v>31</v>
      </c>
      <c r="R71" s="523"/>
      <c r="S71" s="537">
        <f>IFERROR(VLOOKUP(Table_Main[[#This Row],[Đơn Mua]],Table_DonMua[[Mã Đơn mua]:[Add]],COUNTA(Table_DonMua[[#Headers],[Mã Đơn mua]:[Mã Đối tác]]),0),0)</f>
        <v>0</v>
      </c>
      <c r="T71" s="409"/>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23"/>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48">
        <f xml:space="preserve">
IF(Table_Main[[#This Row],[Đơn bán]]="", 0,
IFERROR(
VLOOKUP(Table_Main[[#This Row],[Mã SKU]],Table_SKU[[Mã SKU]:[Tỷ suất VAT]],COUNTA(Table_SKU[[#Headers],[Mã SKU]:[Tỷ suất VAT]]),0),0)*Table_Main[[#This Row],[Giá trị bán trước VAT]])</f>
        <v>0</v>
      </c>
      <c r="AG71" s="51">
        <f>IFERROR(VLOOKUP(Table_Main[[#This Row],[Đơn bán]],Table_DonBan[[Mã Đơn bán]:[Add]],COUNTA(Table_DonBan[[#Headers],[Mã Đơn bán]:[Mã NV]]),0),0)</f>
        <v>0</v>
      </c>
      <c r="AH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1" s="48">
        <f>IFERROR(Table_Main[[#This Row],[Giá trị bán trước VAT]]*Table_Main[[#This Row],[Tỷ lệ hoa hồng]],"")</f>
        <v>0</v>
      </c>
      <c r="AJ71" s="48">
        <f>IFERROR(VLOOKUP(Table_Main[[#This Row],[Đơn bán]],Table_DonBan[[Mã Đơn bán]:[Add]],COUNTA(Table_DonBan[[#Headers],[Mã Đơn bán]:[Kênh]]),0),0)</f>
        <v>0</v>
      </c>
      <c r="AK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1" s="48">
        <f>IFERROR(Table_Main[[#This Row],[Giá trị bán trước VAT]]*Table_Main[[#This Row],[Tỷ lệ CK kênh]],"")</f>
        <v>0</v>
      </c>
      <c r="AM71" s="230"/>
      <c r="AN71" s="232"/>
      <c r="AO71" s="226">
        <f>Table_Main[[#This Row],[ĐK - Phân loại]]*Table_Main[[#This Row],[ĐK - Thời gian]]*Table_Main[[#This Row],[ĐK - Giá trị]]*Table_Main[[#This Row],[ĐK - Số lượng]]*Table_Main[[#This Row],[ĐK - Sinh nhật]]*Table_Main[[#This Row],[ĐK - Ngày mua cuối]]</f>
        <v>1</v>
      </c>
      <c r="AP71" s="226">
        <f xml:space="preserve">
IF(ISBLANK(Table_Main[[#This Row],[Chương trình]]),1,
IF(VLOOKUP(Table_Main[[#This Row],[Chương trình]],Table_ChuongTrinh[[Mã Chương trình]:[Đối tượng CK]],Sheet_ChuongTrinh!$C$1,0) = "Sản phẩm",1,0))</f>
        <v>1</v>
      </c>
      <c r="AQ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7" ht="18" customHeight="1" x14ac:dyDescent="0.3">
      <c r="B72" s="237"/>
      <c r="C72" s="239" t="s">
        <v>1163</v>
      </c>
      <c r="D72" s="538" t="str">
        <f>IF(ISBLANK(Table_Main[[#This Row],[Mã SKU]]),Table_Main[[#This Row],[Mã Nguyên liệu]],Table_Main[[#This Row],[Mã SKU]])</f>
        <v>NL1</v>
      </c>
      <c r="E72" s="420"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20"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20"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20"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20">
        <f>IFERROR(Table_Main[[#This Row],[Giá trị tồn đầu ngày]]/Table_Main[[#This Row],[Tồn kho đầu ngày]],0)</f>
        <v>100000</v>
      </c>
      <c r="J72" s="420">
        <f>IFERROR(Table_Main[[#This Row],[Giá trị tồn cuối ngày]]/Table_Main[[#This Row],[Tồn kho cuối ngày]],0)</f>
        <v>100000</v>
      </c>
      <c r="K72" s="415">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1165</v>
      </c>
      <c r="Q72" s="408">
        <v>49</v>
      </c>
      <c r="R72" s="523"/>
      <c r="S72" s="537">
        <f>IFERROR(VLOOKUP(Table_Main[[#This Row],[Đơn Mua]],Table_DonMua[[Mã Đơn mua]:[Add]],COUNTA(Table_DonMua[[#Headers],[Mã Đơn mua]:[Mã Đối tác]]),0),0)</f>
        <v>0</v>
      </c>
      <c r="T72" s="409"/>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23"/>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48">
        <f xml:space="preserve">
IF(Table_Main[[#This Row],[Đơn bán]]="", 0,
IFERROR(
VLOOKUP(Table_Main[[#This Row],[Mã SKU]],Table_SKU[[Mã SKU]:[Tỷ suất VAT]],COUNTA(Table_SKU[[#Headers],[Mã SKU]:[Tỷ suất VAT]]),0),0)*Table_Main[[#This Row],[Giá trị bán trước VAT]])</f>
        <v>0</v>
      </c>
      <c r="AG72" s="51">
        <f>IFERROR(VLOOKUP(Table_Main[[#This Row],[Đơn bán]],Table_DonBan[[Mã Đơn bán]:[Add]],COUNTA(Table_DonBan[[#Headers],[Mã Đơn bán]:[Mã NV]]),0),0)</f>
        <v>0</v>
      </c>
      <c r="AH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2" s="48">
        <f>IFERROR(Table_Main[[#This Row],[Giá trị bán trước VAT]]*Table_Main[[#This Row],[Tỷ lệ hoa hồng]],"")</f>
        <v>0</v>
      </c>
      <c r="AJ72" s="48">
        <f>IFERROR(VLOOKUP(Table_Main[[#This Row],[Đơn bán]],Table_DonBan[[Mã Đơn bán]:[Add]],COUNTA(Table_DonBan[[#Headers],[Mã Đơn bán]:[Kênh]]),0),0)</f>
        <v>0</v>
      </c>
      <c r="AK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2" s="48">
        <f>IFERROR(Table_Main[[#This Row],[Giá trị bán trước VAT]]*Table_Main[[#This Row],[Tỷ lệ CK kênh]],"")</f>
        <v>0</v>
      </c>
      <c r="AM72" s="230"/>
      <c r="AN72" s="232"/>
      <c r="AO72" s="226">
        <f>Table_Main[[#This Row],[ĐK - Phân loại]]*Table_Main[[#This Row],[ĐK - Thời gian]]*Table_Main[[#This Row],[ĐK - Giá trị]]*Table_Main[[#This Row],[ĐK - Số lượng]]*Table_Main[[#This Row],[ĐK - Sinh nhật]]*Table_Main[[#This Row],[ĐK - Ngày mua cuối]]</f>
        <v>1</v>
      </c>
      <c r="AP72" s="226">
        <f xml:space="preserve">
IF(ISBLANK(Table_Main[[#This Row],[Chương trình]]),1,
IF(VLOOKUP(Table_Main[[#This Row],[Chương trình]],Table_ChuongTrinh[[Mã Chương trình]:[Đối tượng CK]],Sheet_ChuongTrinh!$C$1,0) = "Sản phẩm",1,0))</f>
        <v>1</v>
      </c>
      <c r="AQ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7" ht="18" customHeight="1" x14ac:dyDescent="0.3">
      <c r="B73" s="237"/>
      <c r="C73" s="239" t="s">
        <v>1162</v>
      </c>
      <c r="D73" s="538" t="str">
        <f>IF(ISBLANK(Table_Main[[#This Row],[Mã SKU]]),Table_Main[[#This Row],[Mã Nguyên liệu]],Table_Main[[#This Row],[Mã SKU]])</f>
        <v>NL2</v>
      </c>
      <c r="E73" s="420"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20"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20"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20"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20">
        <f>IFERROR(Table_Main[[#This Row],[Giá trị tồn đầu ngày]]/Table_Main[[#This Row],[Tồn kho đầu ngày]],0)</f>
        <v>150000</v>
      </c>
      <c r="J73" s="420">
        <f>IFERROR(Table_Main[[#This Row],[Giá trị tồn cuối ngày]]/Table_Main[[#This Row],[Tồn kho cuối ngày]],0)</f>
        <v>142586.86153846153</v>
      </c>
      <c r="K73" s="415">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1164</v>
      </c>
      <c r="P73" s="230" t="s">
        <v>1165</v>
      </c>
      <c r="Q73" s="408">
        <v>12</v>
      </c>
      <c r="R73" s="523" t="s">
        <v>1173</v>
      </c>
      <c r="S73" s="537" t="str">
        <f>IFERROR(VLOOKUP(Table_Main[[#This Row],[Đơn Mua]],Table_DonMua[[Mã Đơn mua]:[Add]],COUNTA(Table_DonMua[[#Headers],[Mã Đơn mua]:[Mã Đối tác]]),0),0)</f>
        <v>NCC3</v>
      </c>
      <c r="T73" s="409">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23"/>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48">
        <f xml:space="preserve">
IF(Table_Main[[#This Row],[Đơn bán]]="", 0,
IFERROR(
VLOOKUP(Table_Main[[#This Row],[Mã SKU]],Table_SKU[[Mã SKU]:[Tỷ suất VAT]],COUNTA(Table_SKU[[#Headers],[Mã SKU]:[Tỷ suất VAT]]),0),0)*Table_Main[[#This Row],[Giá trị bán trước VAT]])</f>
        <v>0</v>
      </c>
      <c r="AG73" s="51">
        <f>IFERROR(VLOOKUP(Table_Main[[#This Row],[Đơn bán]],Table_DonBan[[Mã Đơn bán]:[Add]],COUNTA(Table_DonBan[[#Headers],[Mã Đơn bán]:[Mã NV]]),0),0)</f>
        <v>0</v>
      </c>
      <c r="AH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3" s="48">
        <f>IFERROR(Table_Main[[#This Row],[Giá trị bán trước VAT]]*Table_Main[[#This Row],[Tỷ lệ hoa hồng]],"")</f>
        <v>0</v>
      </c>
      <c r="AJ73" s="48">
        <f>IFERROR(VLOOKUP(Table_Main[[#This Row],[Đơn bán]],Table_DonBan[[Mã Đơn bán]:[Add]],COUNTA(Table_DonBan[[#Headers],[Mã Đơn bán]:[Kênh]]),0),0)</f>
        <v>0</v>
      </c>
      <c r="AK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3" s="48">
        <f>IFERROR(Table_Main[[#This Row],[Giá trị bán trước VAT]]*Table_Main[[#This Row],[Tỷ lệ CK kênh]],"")</f>
        <v>0</v>
      </c>
      <c r="AM73" s="230"/>
      <c r="AN73" s="232"/>
      <c r="AO73" s="226">
        <f>Table_Main[[#This Row],[ĐK - Phân loại]]*Table_Main[[#This Row],[ĐK - Thời gian]]*Table_Main[[#This Row],[ĐK - Giá trị]]*Table_Main[[#This Row],[ĐK - Số lượng]]*Table_Main[[#This Row],[ĐK - Sinh nhật]]*Table_Main[[#This Row],[ĐK - Ngày mua cuối]]</f>
        <v>1</v>
      </c>
      <c r="AP73" s="226">
        <f xml:space="preserve">
IF(ISBLANK(Table_Main[[#This Row],[Chương trình]]),1,
IF(VLOOKUP(Table_Main[[#This Row],[Chương trình]],Table_ChuongTrinh[[Mã Chương trình]:[Đối tượng CK]],Sheet_ChuongTrinh!$C$1,0) = "Sản phẩm",1,0))</f>
        <v>1</v>
      </c>
      <c r="AQ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7" ht="18" customHeight="1" x14ac:dyDescent="0.3">
      <c r="B74" s="532" t="s">
        <v>1160</v>
      </c>
      <c r="C74" s="523"/>
      <c r="D74" s="537" t="str">
        <f>IF(ISBLANK(Table_Main[[#This Row],[Mã SKU]]),Table_Main[[#This Row],[Mã Nguyên liệu]],Table_Main[[#This Row],[Mã SKU]])</f>
        <v>TP1</v>
      </c>
      <c r="E74" s="420"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20"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20"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20"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20">
        <f>IFERROR(Table_Main[[#This Row],[Giá trị tồn đầu ngày]]/Table_Main[[#This Row],[Tồn kho đầu ngày]],0)</f>
        <v>0</v>
      </c>
      <c r="J74" s="420">
        <f>IFERROR(Table_Main[[#This Row],[Giá trị tồn cuối ngày]]/Table_Main[[#This Row],[Tồn kho cuối ngày]],0)</f>
        <v>0</v>
      </c>
      <c r="K74" s="415">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1164</v>
      </c>
      <c r="P74" s="230" t="s">
        <v>1165</v>
      </c>
      <c r="Q74" s="408">
        <v>35</v>
      </c>
      <c r="R74" s="523"/>
      <c r="S74" s="537">
        <f>IFERROR(VLOOKUP(Table_Main[[#This Row],[Đơn Mua]],Table_DonMua[[Mã Đơn mua]:[Add]],COUNTA(Table_DonMua[[#Headers],[Mã Đơn mua]:[Mã Đối tác]]),0),0)</f>
        <v>0</v>
      </c>
      <c r="T74" s="409"/>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23"/>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48">
        <f xml:space="preserve">
IF(Table_Main[[#This Row],[Đơn bán]]="", 0,
IFERROR(
VLOOKUP(Table_Main[[#This Row],[Mã SKU]],Table_SKU[[Mã SKU]:[Tỷ suất VAT]],COUNTA(Table_SKU[[#Headers],[Mã SKU]:[Tỷ suất VAT]]),0),0)*Table_Main[[#This Row],[Giá trị bán trước VAT]])</f>
        <v>0</v>
      </c>
      <c r="AG74" s="51">
        <f>IFERROR(VLOOKUP(Table_Main[[#This Row],[Đơn bán]],Table_DonBan[[Mã Đơn bán]:[Add]],COUNTA(Table_DonBan[[#Headers],[Mã Đơn bán]:[Mã NV]]),0),0)</f>
        <v>0</v>
      </c>
      <c r="AH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4" s="48">
        <f>IFERROR(Table_Main[[#This Row],[Giá trị bán trước VAT]]*Table_Main[[#This Row],[Tỷ lệ hoa hồng]],"")</f>
        <v>0</v>
      </c>
      <c r="AJ74" s="48">
        <f>IFERROR(VLOOKUP(Table_Main[[#This Row],[Đơn bán]],Table_DonBan[[Mã Đơn bán]:[Add]],COUNTA(Table_DonBan[[#Headers],[Mã Đơn bán]:[Kênh]]),0),0)</f>
        <v>0</v>
      </c>
      <c r="AK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4" s="48">
        <f>IFERROR(Table_Main[[#This Row],[Giá trị bán trước VAT]]*Table_Main[[#This Row],[Tỷ lệ CK kênh]],"")</f>
        <v>0</v>
      </c>
      <c r="AM74" s="230"/>
      <c r="AN74" s="232"/>
      <c r="AO74" s="226">
        <f>Table_Main[[#This Row],[ĐK - Phân loại]]*Table_Main[[#This Row],[ĐK - Thời gian]]*Table_Main[[#This Row],[ĐK - Giá trị]]*Table_Main[[#This Row],[ĐK - Số lượng]]*Table_Main[[#This Row],[ĐK - Sinh nhật]]*Table_Main[[#This Row],[ĐK - Ngày mua cuối]]</f>
        <v>1</v>
      </c>
      <c r="AP74" s="226">
        <f xml:space="preserve">
IF(ISBLANK(Table_Main[[#This Row],[Chương trình]]),1,
IF(VLOOKUP(Table_Main[[#This Row],[Chương trình]],Table_ChuongTrinh[[Mã Chương trình]:[Đối tượng CK]],Sheet_ChuongTrinh!$C$1,0) = "Sản phẩm",1,0))</f>
        <v>1</v>
      </c>
      <c r="AQ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7" ht="18" customHeight="1" x14ac:dyDescent="0.3">
      <c r="B75" s="532" t="s">
        <v>1161</v>
      </c>
      <c r="C75" s="523"/>
      <c r="D75" s="537" t="str">
        <f>IF(ISBLANK(Table_Main[[#This Row],[Mã SKU]]),Table_Main[[#This Row],[Mã Nguyên liệu]],Table_Main[[#This Row],[Mã SKU]])</f>
        <v>TP2</v>
      </c>
      <c r="E75" s="420"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20"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20"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20"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20">
        <f>IFERROR(Table_Main[[#This Row],[Giá trị tồn đầu ngày]]/Table_Main[[#This Row],[Tồn kho đầu ngày]],0)</f>
        <v>0</v>
      </c>
      <c r="J75" s="420">
        <f>IFERROR(Table_Main[[#This Row],[Giá trị tồn cuối ngày]]/Table_Main[[#This Row],[Tồn kho cuối ngày]],0)</f>
        <v>0</v>
      </c>
      <c r="K75" s="415">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1164</v>
      </c>
      <c r="P75" s="230" t="s">
        <v>1165</v>
      </c>
      <c r="Q75" s="408">
        <v>45</v>
      </c>
      <c r="R75" s="523"/>
      <c r="S75" s="537">
        <f>IFERROR(VLOOKUP(Table_Main[[#This Row],[Đơn Mua]],Table_DonMua[[Mã Đơn mua]:[Add]],COUNTA(Table_DonMua[[#Headers],[Mã Đơn mua]:[Mã Đối tác]]),0),0)</f>
        <v>0</v>
      </c>
      <c r="T75" s="409"/>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23"/>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48">
        <f xml:space="preserve">
IF(Table_Main[[#This Row],[Đơn bán]]="", 0,
IFERROR(
VLOOKUP(Table_Main[[#This Row],[Mã SKU]],Table_SKU[[Mã SKU]:[Tỷ suất VAT]],COUNTA(Table_SKU[[#Headers],[Mã SKU]:[Tỷ suất VAT]]),0),0)*Table_Main[[#This Row],[Giá trị bán trước VAT]])</f>
        <v>0</v>
      </c>
      <c r="AG75" s="51">
        <f>IFERROR(VLOOKUP(Table_Main[[#This Row],[Đơn bán]],Table_DonBan[[Mã Đơn bán]:[Add]],COUNTA(Table_DonBan[[#Headers],[Mã Đơn bán]:[Mã NV]]),0),0)</f>
        <v>0</v>
      </c>
      <c r="AH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5" s="48">
        <f>IFERROR(Table_Main[[#This Row],[Giá trị bán trước VAT]]*Table_Main[[#This Row],[Tỷ lệ hoa hồng]],"")</f>
        <v>0</v>
      </c>
      <c r="AJ75" s="48">
        <f>IFERROR(VLOOKUP(Table_Main[[#This Row],[Đơn bán]],Table_DonBan[[Mã Đơn bán]:[Add]],COUNTA(Table_DonBan[[#Headers],[Mã Đơn bán]:[Kênh]]),0),0)</f>
        <v>0</v>
      </c>
      <c r="AK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5" s="48">
        <f>IFERROR(Table_Main[[#This Row],[Giá trị bán trước VAT]]*Table_Main[[#This Row],[Tỷ lệ CK kênh]],"")</f>
        <v>0</v>
      </c>
      <c r="AM75" s="230"/>
      <c r="AN75" s="232"/>
      <c r="AO75" s="226">
        <f>Table_Main[[#This Row],[ĐK - Phân loại]]*Table_Main[[#This Row],[ĐK - Thời gian]]*Table_Main[[#This Row],[ĐK - Giá trị]]*Table_Main[[#This Row],[ĐK - Số lượng]]*Table_Main[[#This Row],[ĐK - Sinh nhật]]*Table_Main[[#This Row],[ĐK - Ngày mua cuối]]</f>
        <v>1</v>
      </c>
      <c r="AP75" s="226">
        <f xml:space="preserve">
IF(ISBLANK(Table_Main[[#This Row],[Chương trình]]),1,
IF(VLOOKUP(Table_Main[[#This Row],[Chương trình]],Table_ChuongTrinh[[Mã Chương trình]:[Đối tượng CK]],Sheet_ChuongTrinh!$C$1,0) = "Sản phẩm",1,0))</f>
        <v>1</v>
      </c>
      <c r="AQ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7" ht="18" customHeight="1" x14ac:dyDescent="0.3">
      <c r="B76" s="237"/>
      <c r="C76" s="239" t="s">
        <v>1163</v>
      </c>
      <c r="D76" s="538" t="str">
        <f>IF(ISBLANK(Table_Main[[#This Row],[Mã SKU]]),Table_Main[[#This Row],[Mã Nguyên liệu]],Table_Main[[#This Row],[Mã SKU]])</f>
        <v>NL1</v>
      </c>
      <c r="E76" s="420"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20"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20"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20"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20">
        <f>IFERROR(Table_Main[[#This Row],[Giá trị tồn đầu ngày]]/Table_Main[[#This Row],[Tồn kho đầu ngày]],0)</f>
        <v>100000</v>
      </c>
      <c r="J76" s="420">
        <f>IFERROR(Table_Main[[#This Row],[Giá trị tồn cuối ngày]]/Table_Main[[#This Row],[Tồn kho cuối ngày]],0)</f>
        <v>100000</v>
      </c>
      <c r="K76" s="415">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1165</v>
      </c>
      <c r="Q76" s="408">
        <v>100</v>
      </c>
      <c r="R76" s="523"/>
      <c r="S76" s="537">
        <f>IFERROR(VLOOKUP(Table_Main[[#This Row],[Đơn Mua]],Table_DonMua[[Mã Đơn mua]:[Add]],COUNTA(Table_DonMua[[#Headers],[Mã Đơn mua]:[Mã Đối tác]]),0),0)</f>
        <v>0</v>
      </c>
      <c r="T76" s="409"/>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23"/>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48">
        <f xml:space="preserve">
IF(Table_Main[[#This Row],[Đơn bán]]="", 0,
IFERROR(
VLOOKUP(Table_Main[[#This Row],[Mã SKU]],Table_SKU[[Mã SKU]:[Tỷ suất VAT]],COUNTA(Table_SKU[[#Headers],[Mã SKU]:[Tỷ suất VAT]]),0),0)*Table_Main[[#This Row],[Giá trị bán trước VAT]])</f>
        <v>0</v>
      </c>
      <c r="AG76" s="51">
        <f>IFERROR(VLOOKUP(Table_Main[[#This Row],[Đơn bán]],Table_DonBan[[Mã Đơn bán]:[Add]],COUNTA(Table_DonBan[[#Headers],[Mã Đơn bán]:[Mã NV]]),0),0)</f>
        <v>0</v>
      </c>
      <c r="AH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6" s="48">
        <f>IFERROR(Table_Main[[#This Row],[Giá trị bán trước VAT]]*Table_Main[[#This Row],[Tỷ lệ hoa hồng]],"")</f>
        <v>0</v>
      </c>
      <c r="AJ76" s="48">
        <f>IFERROR(VLOOKUP(Table_Main[[#This Row],[Đơn bán]],Table_DonBan[[Mã Đơn bán]:[Add]],COUNTA(Table_DonBan[[#Headers],[Mã Đơn bán]:[Kênh]]),0),0)</f>
        <v>0</v>
      </c>
      <c r="AK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6" s="48">
        <f>IFERROR(Table_Main[[#This Row],[Giá trị bán trước VAT]]*Table_Main[[#This Row],[Tỷ lệ CK kênh]],"")</f>
        <v>0</v>
      </c>
      <c r="AM76" s="230"/>
      <c r="AN76" s="232"/>
      <c r="AO76" s="226">
        <f>Table_Main[[#This Row],[ĐK - Phân loại]]*Table_Main[[#This Row],[ĐK - Thời gian]]*Table_Main[[#This Row],[ĐK - Giá trị]]*Table_Main[[#This Row],[ĐK - Số lượng]]*Table_Main[[#This Row],[ĐK - Sinh nhật]]*Table_Main[[#This Row],[ĐK - Ngày mua cuối]]</f>
        <v>1</v>
      </c>
      <c r="AP76" s="226">
        <f xml:space="preserve">
IF(ISBLANK(Table_Main[[#This Row],[Chương trình]]),1,
IF(VLOOKUP(Table_Main[[#This Row],[Chương trình]],Table_ChuongTrinh[[Mã Chương trình]:[Đối tượng CK]],Sheet_ChuongTrinh!$C$1,0) = "Sản phẩm",1,0))</f>
        <v>1</v>
      </c>
      <c r="AQ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7" ht="18" customHeight="1" x14ac:dyDescent="0.15">
      <c r="B77" s="237"/>
      <c r="C77" s="239" t="s">
        <v>1162</v>
      </c>
      <c r="D77" s="538" t="str">
        <f>IF(ISBLANK(Table_Main[[#This Row],[Mã SKU]]),Table_Main[[#This Row],[Mã Nguyên liệu]],Table_Main[[#This Row],[Mã SKU]])</f>
        <v>NL2</v>
      </c>
      <c r="E77" s="420"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20"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20"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20"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20">
        <f>IFERROR(Table_Main[[#This Row],[Giá trị tồn đầu ngày]]/Table_Main[[#This Row],[Tồn kho đầu ngày]],0)</f>
        <v>150000</v>
      </c>
      <c r="J77" s="420">
        <f>IFERROR(Table_Main[[#This Row],[Giá trị tồn cuối ngày]]/Table_Main[[#This Row],[Tồn kho cuối ngày]],0)</f>
        <v>150000</v>
      </c>
      <c r="K77" s="415">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51" t="str">
        <f>IF(Table_Main[[#This Row],[Ngày lên đơn]]=0,"",Table_Main[[#This Row],[Ngày xuất nhập]]-Table_Main[[#This Row],[Ngày lên đơn]])</f>
        <v/>
      </c>
      <c r="O77" s="7" t="s">
        <v>53</v>
      </c>
      <c r="P77" s="230" t="s">
        <v>1165</v>
      </c>
      <c r="Q77" s="408">
        <v>50</v>
      </c>
      <c r="R77" s="523"/>
      <c r="S77" s="537">
        <f>IFERROR(VLOOKUP(Table_Main[[#This Row],[Đơn Mua]],Table_DonMua[[Mã Đơn mua]:[Add]],COUNTA(Table_DonMua[[#Headers],[Mã Đơn mua]:[Mã Đối tác]]),0),0)</f>
        <v>0</v>
      </c>
      <c r="T77" s="409"/>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23"/>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48">
        <f xml:space="preserve">
IF(Table_Main[[#This Row],[Đơn bán]]="", 0,
IFERROR(
VLOOKUP(Table_Main[[#This Row],[Mã SKU]],Table_SKU[[Mã SKU]:[Tỷ suất VAT]],COUNTA(Table_SKU[[#Headers],[Mã SKU]:[Tỷ suất VAT]]),0),0)*Table_Main[[#This Row],[Giá trị bán trước VAT]])</f>
        <v>0</v>
      </c>
      <c r="AG77" s="51">
        <f>IFERROR(VLOOKUP(Table_Main[[#This Row],[Đơn bán]],Table_DonBan[[Mã Đơn bán]:[Add]],COUNTA(Table_DonBan[[#Headers],[Mã Đơn bán]:[Mã NV]]),0),0)</f>
        <v>0</v>
      </c>
      <c r="AH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7" s="48">
        <f>IFERROR(Table_Main[[#This Row],[Giá trị bán trước VAT]]*Table_Main[[#This Row],[Tỷ lệ hoa hồng]],"")</f>
        <v>0</v>
      </c>
      <c r="AJ77" s="48">
        <f>IFERROR(VLOOKUP(Table_Main[[#This Row],[Đơn bán]],Table_DonBan[[Mã Đơn bán]:[Add]],COUNTA(Table_DonBan[[#Headers],[Mã Đơn bán]:[Kênh]]),0),0)</f>
        <v>0</v>
      </c>
      <c r="AK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7" s="48">
        <f>IFERROR(Table_Main[[#This Row],[Giá trị bán trước VAT]]*Table_Main[[#This Row],[Tỷ lệ CK kênh]],"")</f>
        <v>0</v>
      </c>
      <c r="AM77" s="230"/>
      <c r="AN77" s="232"/>
      <c r="AO77" s="226">
        <f>Table_Main[[#This Row],[ĐK - Phân loại]]*Table_Main[[#This Row],[ĐK - Thời gian]]*Table_Main[[#This Row],[ĐK - Giá trị]]*Table_Main[[#This Row],[ĐK - Số lượng]]*Table_Main[[#This Row],[ĐK - Sinh nhật]]*Table_Main[[#This Row],[ĐK - Ngày mua cuối]]</f>
        <v>1</v>
      </c>
      <c r="AP77" s="226">
        <f xml:space="preserve">
IF(ISBLANK(Table_Main[[#This Row],[Chương trình]]),1,
IF(VLOOKUP(Table_Main[[#This Row],[Chương trình]],Table_ChuongTrinh[[Mã Chương trình]:[Đối tượng CK]],Sheet_ChuongTrinh!$C$1,0) = "Sản phẩm",1,0))</f>
        <v>1</v>
      </c>
      <c r="AQ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7" ht="18" customHeight="1" x14ac:dyDescent="0.3">
      <c r="B78" s="532" t="s">
        <v>1159</v>
      </c>
      <c r="C78" s="523"/>
      <c r="D78" s="537" t="str">
        <f>IF(ISBLANK(Table_Main[[#This Row],[Mã SKU]]),Table_Main[[#This Row],[Mã Nguyên liệu]],Table_Main[[#This Row],[Mã SKU]])</f>
        <v>HH1</v>
      </c>
      <c r="E78" s="420"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20"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20"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20"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20">
        <f>IFERROR(Table_Main[[#This Row],[Giá trị tồn đầu ngày]]/Table_Main[[#This Row],[Tồn kho đầu ngày]],0)</f>
        <v>0</v>
      </c>
      <c r="J78" s="420">
        <f>IFERROR(Table_Main[[#This Row],[Giá trị tồn cuối ngày]]/Table_Main[[#This Row],[Tồn kho cuối ngày]],0)</f>
        <v>80000</v>
      </c>
      <c r="K78" s="415">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1164</v>
      </c>
      <c r="P78" s="230" t="s">
        <v>1165</v>
      </c>
      <c r="Q78" s="408">
        <v>150</v>
      </c>
      <c r="R78" s="523" t="s">
        <v>1172</v>
      </c>
      <c r="S78" s="537" t="str">
        <f>IFERROR(VLOOKUP(Table_Main[[#This Row],[Đơn Mua]],Table_DonMua[[Mã Đơn mua]:[Add]],COUNTA(Table_DonMua[[#Headers],[Mã Đơn mua]:[Mã Đối tác]]),0),0)</f>
        <v>NCC1</v>
      </c>
      <c r="T78" s="409">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23"/>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48">
        <f xml:space="preserve">
IF(Table_Main[[#This Row],[Đơn bán]]="", 0,
IFERROR(
VLOOKUP(Table_Main[[#This Row],[Mã SKU]],Table_SKU[[Mã SKU]:[Tỷ suất VAT]],COUNTA(Table_SKU[[#Headers],[Mã SKU]:[Tỷ suất VAT]]),0),0)*Table_Main[[#This Row],[Giá trị bán trước VAT]])</f>
        <v>0</v>
      </c>
      <c r="AG78" s="51">
        <f>IFERROR(VLOOKUP(Table_Main[[#This Row],[Đơn bán]],Table_DonBan[[Mã Đơn bán]:[Add]],COUNTA(Table_DonBan[[#Headers],[Mã Đơn bán]:[Mã NV]]),0),0)</f>
        <v>0</v>
      </c>
      <c r="AH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8" s="48">
        <f>IFERROR(Table_Main[[#This Row],[Giá trị bán trước VAT]]*Table_Main[[#This Row],[Tỷ lệ hoa hồng]],"")</f>
        <v>0</v>
      </c>
      <c r="AJ78" s="48">
        <f>IFERROR(VLOOKUP(Table_Main[[#This Row],[Đơn bán]],Table_DonBan[[Mã Đơn bán]:[Add]],COUNTA(Table_DonBan[[#Headers],[Mã Đơn bán]:[Kênh]]),0),0)</f>
        <v>0</v>
      </c>
      <c r="AK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8" s="48">
        <f>IFERROR(Table_Main[[#This Row],[Giá trị bán trước VAT]]*Table_Main[[#This Row],[Tỷ lệ CK kênh]],"")</f>
        <v>0</v>
      </c>
      <c r="AM78" s="230"/>
      <c r="AN78" s="232"/>
      <c r="AO78" s="226">
        <f>Table_Main[[#This Row],[ĐK - Phân loại]]*Table_Main[[#This Row],[ĐK - Thời gian]]*Table_Main[[#This Row],[ĐK - Giá trị]]*Table_Main[[#This Row],[ĐK - Số lượng]]*Table_Main[[#This Row],[ĐK - Sinh nhật]]*Table_Main[[#This Row],[ĐK - Ngày mua cuối]]</f>
        <v>1</v>
      </c>
      <c r="AP78" s="226">
        <f xml:space="preserve">
IF(ISBLANK(Table_Main[[#This Row],[Chương trình]]),1,
IF(VLOOKUP(Table_Main[[#This Row],[Chương trình]],Table_ChuongTrinh[[Mã Chương trình]:[Đối tượng CK]],Sheet_ChuongTrinh!$C$1,0) = "Sản phẩm",1,0))</f>
        <v>1</v>
      </c>
      <c r="AQ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7" ht="18" customHeight="1" x14ac:dyDescent="0.3">
      <c r="B79" s="237"/>
      <c r="C79" s="239" t="s">
        <v>1162</v>
      </c>
      <c r="D79" s="538" t="str">
        <f>IF(ISBLANK(Table_Main[[#This Row],[Mã SKU]]),Table_Main[[#This Row],[Mã Nguyên liệu]],Table_Main[[#This Row],[Mã SKU]])</f>
        <v>NL2</v>
      </c>
      <c r="E79" s="420"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20"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20"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20"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20">
        <f>IFERROR(Table_Main[[#This Row],[Giá trị tồn đầu ngày]]/Table_Main[[#This Row],[Tồn kho đầu ngày]],0)</f>
        <v>0</v>
      </c>
      <c r="J79" s="420">
        <f>IFERROR(Table_Main[[#This Row],[Giá trị tồn cuối ngày]]/Table_Main[[#This Row],[Tồn kho cuối ngày]],0)</f>
        <v>150000</v>
      </c>
      <c r="K79" s="415">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1164</v>
      </c>
      <c r="P79" s="230" t="s">
        <v>1165</v>
      </c>
      <c r="Q79" s="408">
        <v>200</v>
      </c>
      <c r="R79" s="523" t="s">
        <v>1172</v>
      </c>
      <c r="S79" s="537" t="str">
        <f>IFERROR(VLOOKUP(Table_Main[[#This Row],[Đơn Mua]],Table_DonMua[[Mã Đơn mua]:[Add]],COUNTA(Table_DonMua[[#Headers],[Mã Đơn mua]:[Mã Đối tác]]),0),0)</f>
        <v>NCC1</v>
      </c>
      <c r="T79" s="409">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23"/>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48">
        <f xml:space="preserve">
IF(Table_Main[[#This Row],[Đơn bán]]="", 0,
IFERROR(
VLOOKUP(Table_Main[[#This Row],[Mã SKU]],Table_SKU[[Mã SKU]:[Tỷ suất VAT]],COUNTA(Table_SKU[[#Headers],[Mã SKU]:[Tỷ suất VAT]]),0),0)*Table_Main[[#This Row],[Giá trị bán trước VAT]])</f>
        <v>0</v>
      </c>
      <c r="AG79" s="51">
        <f>IFERROR(VLOOKUP(Table_Main[[#This Row],[Đơn bán]],Table_DonBan[[Mã Đơn bán]:[Add]],COUNTA(Table_DonBan[[#Headers],[Mã Đơn bán]:[Mã NV]]),0),0)</f>
        <v>0</v>
      </c>
      <c r="AH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9" s="48">
        <f>IFERROR(Table_Main[[#This Row],[Giá trị bán trước VAT]]*Table_Main[[#This Row],[Tỷ lệ hoa hồng]],"")</f>
        <v>0</v>
      </c>
      <c r="AJ79" s="48">
        <f>IFERROR(VLOOKUP(Table_Main[[#This Row],[Đơn bán]],Table_DonBan[[Mã Đơn bán]:[Add]],COUNTA(Table_DonBan[[#Headers],[Mã Đơn bán]:[Kênh]]),0),0)</f>
        <v>0</v>
      </c>
      <c r="AK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9" s="48">
        <f>IFERROR(Table_Main[[#This Row],[Giá trị bán trước VAT]]*Table_Main[[#This Row],[Tỷ lệ CK kênh]],"")</f>
        <v>0</v>
      </c>
      <c r="AM79" s="230"/>
      <c r="AN79" s="232"/>
      <c r="AO79" s="226">
        <f>Table_Main[[#This Row],[ĐK - Phân loại]]*Table_Main[[#This Row],[ĐK - Thời gian]]*Table_Main[[#This Row],[ĐK - Giá trị]]*Table_Main[[#This Row],[ĐK - Số lượng]]*Table_Main[[#This Row],[ĐK - Sinh nhật]]*Table_Main[[#This Row],[ĐK - Ngày mua cuối]]</f>
        <v>1</v>
      </c>
      <c r="AP79" s="226">
        <f xml:space="preserve">
IF(ISBLANK(Table_Main[[#This Row],[Chương trình]]),1,
IF(VLOOKUP(Table_Main[[#This Row],[Chương trình]],Table_ChuongTrinh[[Mã Chương trình]:[Đối tượng CK]],Sheet_ChuongTrinh!$C$1,0) = "Sản phẩm",1,0))</f>
        <v>1</v>
      </c>
      <c r="AQ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7" ht="18" customHeight="1" x14ac:dyDescent="0.15">
      <c r="B80" s="237"/>
      <c r="C80" s="239" t="s">
        <v>1163</v>
      </c>
      <c r="D80" s="538" t="str">
        <f>IF(ISBLANK(Table_Main[[#This Row],[Mã SKU]]),Table_Main[[#This Row],[Mã Nguyên liệu]],Table_Main[[#This Row],[Mã SKU]])</f>
        <v>NL1</v>
      </c>
      <c r="E80" s="420"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20"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20"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20"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20">
        <f>IFERROR(Table_Main[[#This Row],[Giá trị tồn đầu ngày]]/Table_Main[[#This Row],[Tồn kho đầu ngày]],0)</f>
        <v>0</v>
      </c>
      <c r="J80" s="420">
        <f>IFERROR(Table_Main[[#This Row],[Giá trị tồn cuối ngày]]/Table_Main[[#This Row],[Tồn kho cuối ngày]],0)</f>
        <v>100000</v>
      </c>
      <c r="K80" s="415">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51">
        <f>IF(Table_Main[[#This Row],[Ngày lên đơn]]=0,"",Table_Main[[#This Row],[Ngày xuất nhập]]-Table_Main[[#This Row],[Ngày lên đơn]])</f>
        <v>2</v>
      </c>
      <c r="O80" s="7" t="s">
        <v>1164</v>
      </c>
      <c r="P80" s="230" t="s">
        <v>1165</v>
      </c>
      <c r="Q80" s="408">
        <v>300</v>
      </c>
      <c r="R80" s="523" t="s">
        <v>1171</v>
      </c>
      <c r="S80" s="537" t="str">
        <f>IFERROR(VLOOKUP(Table_Main[[#This Row],[Đơn Mua]],Table_DonMua[[Mã Đơn mua]:[Add]],COUNTA(Table_DonMua[[#Headers],[Mã Đơn mua]:[Mã Đối tác]]),0),0)</f>
        <v>NCC2</v>
      </c>
      <c r="T80" s="409">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23"/>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48">
        <f xml:space="preserve">
IF(Table_Main[[#This Row],[Đơn bán]]="", 0,
IFERROR(
VLOOKUP(Table_Main[[#This Row],[Mã SKU]],Table_SKU[[Mã SKU]:[Tỷ suất VAT]],COUNTA(Table_SKU[[#Headers],[Mã SKU]:[Tỷ suất VAT]]),0),0)*Table_Main[[#This Row],[Giá trị bán trước VAT]])</f>
        <v>0</v>
      </c>
      <c r="AG80" s="51">
        <f>IFERROR(VLOOKUP(Table_Main[[#This Row],[Đơn bán]],Table_DonBan[[Mã Đơn bán]:[Add]],COUNTA(Table_DonBan[[#Headers],[Mã Đơn bán]:[Mã NV]]),0),0)</f>
        <v>0</v>
      </c>
      <c r="AH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0" s="48">
        <f>IFERROR(Table_Main[[#This Row],[Giá trị bán trước VAT]]*Table_Main[[#This Row],[Tỷ lệ hoa hồng]],"")</f>
        <v>0</v>
      </c>
      <c r="AJ80" s="48">
        <f>IFERROR(VLOOKUP(Table_Main[[#This Row],[Đơn bán]],Table_DonBan[[Mã Đơn bán]:[Add]],COUNTA(Table_DonBan[[#Headers],[Mã Đơn bán]:[Kênh]]),0),0)</f>
        <v>0</v>
      </c>
      <c r="AK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0" s="48">
        <f>IFERROR(Table_Main[[#This Row],[Giá trị bán trước VAT]]*Table_Main[[#This Row],[Tỷ lệ CK kênh]],"")</f>
        <v>0</v>
      </c>
      <c r="AM80" s="230"/>
      <c r="AN80" s="232"/>
      <c r="AO80" s="226">
        <f>Table_Main[[#This Row],[ĐK - Phân loại]]*Table_Main[[#This Row],[ĐK - Thời gian]]*Table_Main[[#This Row],[ĐK - Giá trị]]*Table_Main[[#This Row],[ĐK - Số lượng]]*Table_Main[[#This Row],[ĐK - Sinh nhật]]*Table_Main[[#This Row],[ĐK - Ngày mua cuối]]</f>
        <v>1</v>
      </c>
      <c r="AP80" s="226">
        <f xml:space="preserve">
IF(ISBLANK(Table_Main[[#This Row],[Chương trình]]),1,
IF(VLOOKUP(Table_Main[[#This Row],[Chương trình]],Table_ChuongTrinh[[Mã Chương trình]:[Đối tượng CK]],Sheet_ChuongTrinh!$C$1,0) = "Sản phẩm",1,0))</f>
        <v>1</v>
      </c>
      <c r="AQ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7" ht="18" customHeight="1" x14ac:dyDescent="0.15">
      <c r="B81" s="21"/>
      <c r="C81" s="240"/>
      <c r="D81" s="540">
        <f>IF(ISBLANK(Table_Main[[#This Row],[Mã SKU]]),Table_Main[[#This Row],[Mã Nguyên liệu]],Table_Main[[#This Row],[Mã SKU]])</f>
        <v>0</v>
      </c>
      <c r="E81" s="420"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20"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20"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20"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20">
        <f>IFERROR(Table_Main[[#This Row],[Giá trị tồn đầu ngày]]/Table_Main[[#This Row],[Tồn kho đầu ngày]],0)</f>
        <v>0</v>
      </c>
      <c r="J81" s="420">
        <f>IFERROR(Table_Main[[#This Row],[Giá trị tồn cuối ngày]]/Table_Main[[#This Row],[Tồn kho cuối ngày]],0)</f>
        <v>0</v>
      </c>
      <c r="K81" s="415"/>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51" t="str">
        <f>IF(Table_Main[[#This Row],[Ngày lên đơn]]=0,"",Table_Main[[#This Row],[Ngày xuất nhập]]-Table_Main[[#This Row],[Ngày lên đơn]])</f>
        <v/>
      </c>
      <c r="O81" s="7"/>
      <c r="P81" s="230"/>
      <c r="Q81" s="421"/>
      <c r="R81" s="7"/>
      <c r="S81" s="28">
        <f>IFERROR(VLOOKUP(Table_Main[[#This Row],[Đơn Mua]],Table_DonMua[[Mã Đơn mua]:[Add]],COUNTA(Table_DonMua[[#Headers],[Mã Đơn mua]:[Mã Đối tác]]),0),0)</f>
        <v>0</v>
      </c>
      <c r="T81" s="422"/>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48">
        <f xml:space="preserve">
IF(Table_Main[[#This Row],[Đơn bán]]="", 0,
IFERROR(
VLOOKUP(Table_Main[[#This Row],[Mã SKU]],Table_SKU[[Mã SKU]:[Tỷ suất VAT]],COUNTA(Table_SKU[[#Headers],[Mã SKU]:[Tỷ suất VAT]]),0),0)*Table_Main[[#This Row],[Giá trị bán trước VAT]])</f>
        <v>0</v>
      </c>
      <c r="AG81" s="226">
        <f>IFERROR(VLOOKUP(Table_Main[[#This Row],[Đơn bán]],Table_DonBan[[Mã Đơn bán]:[Add]],COUNTA(Table_DonBan[[#Headers],[Mã Đơn bán]:[Mã NV]]),0),0)</f>
        <v>0</v>
      </c>
      <c r="AH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1" s="48">
        <f>IFERROR(Table_Main[[#This Row],[Giá trị bán trước VAT]]*Table_Main[[#This Row],[Tỷ lệ hoa hồng]],"")</f>
        <v>0</v>
      </c>
      <c r="AJ81" s="48">
        <f>IFERROR(VLOOKUP(Table_Main[[#This Row],[Đơn bán]],Table_DonBan[[Mã Đơn bán]:[Add]],COUNTA(Table_DonBan[[#Headers],[Mã Đơn bán]:[Kênh]]),0),0)</f>
        <v>0</v>
      </c>
      <c r="AK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1" s="48">
        <f>IFERROR(Table_Main[[#This Row],[Giá trị bán trước VAT]]*Table_Main[[#This Row],[Tỷ lệ CK kênh]],"")</f>
        <v>0</v>
      </c>
      <c r="AM81" s="218"/>
      <c r="AN81" s="232"/>
      <c r="AO81" s="380">
        <f>Table_Main[[#This Row],[ĐK - Phân loại]]*Table_Main[[#This Row],[ĐK - Thời gian]]*Table_Main[[#This Row],[ĐK - Giá trị]]*Table_Main[[#This Row],[ĐK - Số lượng]]*Table_Main[[#This Row],[ĐK - Sinh nhật]]*Table_Main[[#This Row],[ĐK - Ngày mua cuối]]</f>
        <v>1</v>
      </c>
      <c r="AP81" s="380">
        <f xml:space="preserve">
IF(ISBLANK(Table_Main[[#This Row],[Chương trình]]),1,
IF(VLOOKUP(Table_Main[[#This Row],[Chương trình]],Table_ChuongTrinh[[Mã Chương trình]:[Đối tượng CK]],Sheet_ChuongTrinh!$C$1,0) = "Sản phẩm",1,0))</f>
        <v>1</v>
      </c>
      <c r="AQ81" s="380">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1" s="380">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1" s="380">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1" s="380">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1" s="380">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7OxWYrdxIa5FQW4lGY6eoJi1TnA/Kzq4MuUOHEjjT+ej/criqiqwVpvSTraiath15tPosUVpUVRRUhki9aRx9w==" saltValue="D0YORTV+fJrS+/tOWExOAQ==" spinCount="100000" sheet="1" scenarios="1" formatCells="0" formatColumns="0" formatRows="0" insertColumns="0" insertRows="0" deleteColumns="0" deleteRows="0" sort="0" autoFilter="0" pivotTables="0"/>
  <protectedRanges>
    <protectedRange sqref="A1:A2 E82:E1047769 AO82:AO1048576 B82:B1047769 A4:A1048490 AE82:AF1047769 BT6:XFD1048490 BL6:BM1048490 AT82:AT1048576 BE6:BJ1048490 I82:J1047769 G82:G1047769 C81:J81 R81:S81 C3:XFD3 AI82:AN1047769 U81:AU81 P82:Q1047769 AT4:XFD5 AT6:AU80 W4:AI80 AM4:AN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J4:AL80" name="Range1_6"/>
    <protectedRange sqref="AO4:AS80" name="Range1_9"/>
    <protectedRange sqref="E4:J80" name="Range1_10"/>
  </protectedRanges>
  <phoneticPr fontId="14" type="noConversion"/>
  <conditionalFormatting sqref="AB3">
    <cfRule type="expression" dxfId="521" priority="3">
      <formula>$AO$3=0</formula>
    </cfRule>
  </conditionalFormatting>
  <conditionalFormatting sqref="AB5:AB81">
    <cfRule type="expression" dxfId="520" priority="593">
      <formula>$AO$81=0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M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M5:AM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39</xdr:col>
                    <xdr:colOff>28575</xdr:colOff>
                    <xdr:row>1</xdr:row>
                    <xdr:rowOff>200025</xdr:rowOff>
                  </from>
                  <to>
                    <xdr:col>47</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38</xdr:col>
                    <xdr:colOff>38100</xdr:colOff>
                    <xdr:row>0</xdr:row>
                    <xdr:rowOff>104775</xdr:rowOff>
                  </from>
                  <to>
                    <xdr:col>38</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38</xdr:col>
                    <xdr:colOff>590550</xdr:colOff>
                    <xdr:row>0</xdr:row>
                    <xdr:rowOff>104775</xdr:rowOff>
                  </from>
                  <to>
                    <xdr:col>38</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AT4:XFD4 A4:C4 A5:A1048576 AV5:XFD1048576 C5:D53 L5:N80 R5:S80 U5:AU80 Q81:AU81 P5:P81 K4:AN4 A1:XFD3 B82:AU1048576 B81:O81</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AO4:AS4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topLeftCell="K42" workbookViewId="0">
      <selection activeCell="P75" sqref="P75"/>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9"/>
      <c r="B1" s="56" t="str">
        <f>EULA!$B11</f>
        <v>Công ty ABC XYZ</v>
      </c>
      <c r="C1" s="282"/>
      <c r="D1" s="282"/>
      <c r="E1" s="282"/>
      <c r="F1" s="282"/>
      <c r="G1" s="282"/>
      <c r="H1" s="57" t="s">
        <v>697</v>
      </c>
      <c r="I1" s="249"/>
      <c r="J1" s="249"/>
      <c r="K1" s="275"/>
      <c r="L1" s="249"/>
      <c r="M1" s="249"/>
      <c r="N1" s="249"/>
      <c r="O1" s="249"/>
      <c r="P1" s="249"/>
      <c r="Q1" s="249"/>
      <c r="R1" s="249"/>
      <c r="S1" s="249"/>
      <c r="T1" s="249"/>
      <c r="U1" s="249"/>
      <c r="V1" s="249"/>
      <c r="W1" s="249"/>
      <c r="X1" s="249"/>
      <c r="Y1" s="249"/>
      <c r="Z1" s="249"/>
      <c r="AA1" s="249"/>
    </row>
    <row r="2" spans="1:27" ht="18" hidden="1" customHeight="1" outlineLevel="2" x14ac:dyDescent="0.3">
      <c r="A2" s="242"/>
      <c r="B2" s="276"/>
      <c r="C2" s="1" t="s">
        <v>698</v>
      </c>
      <c r="D2" s="276"/>
      <c r="E2" s="276"/>
      <c r="F2" s="276"/>
      <c r="G2" s="276"/>
      <c r="H2" s="276"/>
      <c r="I2" s="242"/>
      <c r="J2" s="242"/>
      <c r="K2" s="275"/>
      <c r="L2" s="242"/>
      <c r="M2" s="242"/>
      <c r="N2" s="242"/>
      <c r="O2" s="242"/>
      <c r="P2" s="242"/>
      <c r="Q2" s="242"/>
      <c r="R2" s="242"/>
      <c r="S2" s="242"/>
      <c r="T2" s="242"/>
      <c r="U2" s="242"/>
      <c r="V2" s="242"/>
      <c r="W2" s="242"/>
      <c r="X2" s="242"/>
      <c r="Y2" s="243"/>
      <c r="Z2" s="243"/>
      <c r="AA2" s="242"/>
    </row>
    <row r="3" spans="1:27" ht="18" hidden="1" customHeight="1" outlineLevel="2" x14ac:dyDescent="0.3">
      <c r="A3" s="242"/>
      <c r="B3" s="276"/>
      <c r="C3" s="283"/>
      <c r="D3" s="276"/>
      <c r="E3" s="276"/>
      <c r="F3" s="276"/>
      <c r="G3" s="276"/>
      <c r="H3" s="276"/>
      <c r="I3" s="242"/>
      <c r="J3" s="242"/>
      <c r="K3" s="275"/>
      <c r="L3" s="242"/>
      <c r="M3" s="242"/>
      <c r="N3" s="242"/>
      <c r="O3" s="242"/>
      <c r="P3" s="242"/>
      <c r="Q3" s="242"/>
      <c r="R3" s="242"/>
      <c r="S3" s="242"/>
      <c r="T3" s="242"/>
      <c r="U3" s="242"/>
      <c r="V3" s="242"/>
      <c r="W3" s="242"/>
      <c r="X3" s="242"/>
      <c r="Y3" s="243"/>
      <c r="Z3" s="243"/>
      <c r="AA3" s="242"/>
    </row>
    <row r="4" spans="1:27" ht="18" hidden="1" customHeight="1" outlineLevel="1" collapsed="1" x14ac:dyDescent="0.3">
      <c r="A4" s="242"/>
      <c r="B4" s="568" t="str">
        <f>EULA!$B14</f>
        <v>[Địa chỉ]</v>
      </c>
      <c r="C4" s="568" t="str">
        <f>EULA!$B14</f>
        <v>[Địa chỉ]</v>
      </c>
      <c r="D4" s="569"/>
      <c r="E4" s="568" t="str">
        <f>EULA!$B14</f>
        <v>[Địa chỉ]</v>
      </c>
      <c r="F4" s="185" t="s">
        <v>699</v>
      </c>
      <c r="G4" s="570" t="str">
        <f>CONCATENATE("NHAP-",C3,"-",MOD(YEAR(G5),100)*10000+MONTH(G5)*100+DAY(G5),"-",I4)</f>
        <v>NHAP--100-1</v>
      </c>
      <c r="H4" s="571"/>
      <c r="I4" s="284">
        <v>1</v>
      </c>
      <c r="K4" s="275"/>
      <c r="L4" s="242"/>
      <c r="M4" s="242"/>
      <c r="N4" s="242"/>
      <c r="O4" s="242"/>
      <c r="P4" s="242"/>
      <c r="Q4" s="242"/>
      <c r="R4" s="242"/>
      <c r="S4" s="242"/>
      <c r="T4" s="242"/>
      <c r="U4" s="242"/>
      <c r="V4" s="242"/>
      <c r="W4" s="242"/>
      <c r="X4" s="242"/>
      <c r="Y4" s="243"/>
      <c r="Z4" s="242"/>
      <c r="AA4" s="242"/>
    </row>
    <row r="5" spans="1:27" ht="18" hidden="1" customHeight="1" outlineLevel="1" x14ac:dyDescent="0.3">
      <c r="A5" s="242"/>
      <c r="B5" s="568" t="str">
        <f>EULA!$B15</f>
        <v>[Mã số thuế]</v>
      </c>
      <c r="C5" s="568" t="str">
        <f>EULA!$B15</f>
        <v>[Mã số thuế]</v>
      </c>
      <c r="D5" s="569"/>
      <c r="E5" s="568" t="str">
        <f>EULA!$B15</f>
        <v>[Mã số thuế]</v>
      </c>
      <c r="F5" s="1" t="s">
        <v>700</v>
      </c>
      <c r="G5" s="572"/>
      <c r="H5" s="573"/>
      <c r="I5" s="242"/>
      <c r="J5" s="242"/>
      <c r="K5" s="275"/>
      <c r="L5" s="242"/>
      <c r="M5" s="242"/>
      <c r="N5" s="242"/>
      <c r="O5" s="242"/>
      <c r="P5" s="242"/>
      <c r="Q5" s="242"/>
      <c r="R5" s="242"/>
      <c r="S5" s="242"/>
      <c r="T5" s="242"/>
      <c r="U5" s="242"/>
      <c r="V5" s="242"/>
      <c r="W5" s="242"/>
      <c r="X5" s="242"/>
      <c r="Y5" s="243"/>
      <c r="Z5" s="242"/>
      <c r="AA5" s="242"/>
    </row>
    <row r="6" spans="1:27" ht="18" hidden="1" customHeight="1" outlineLevel="1" x14ac:dyDescent="0.3">
      <c r="A6" s="242"/>
      <c r="B6" s="568" t="str">
        <f>EULA!$B16</f>
        <v>[SĐT - Fax]</v>
      </c>
      <c r="C6" s="568" t="str">
        <f>EULA!$B16</f>
        <v>[SĐT - Fax]</v>
      </c>
      <c r="D6" s="569"/>
      <c r="E6" s="568" t="str">
        <f>EULA!$B16</f>
        <v>[SĐT - Fax]</v>
      </c>
      <c r="F6" s="185" t="s">
        <v>556</v>
      </c>
      <c r="G6" s="574" t="str">
        <f>IFERROR(VLOOKUP($C$3,Table_NhaCungCap[[Mã Đối tác]:[Tên Đối tác]],Sheet_DoiTac!$C$1,0),"")</f>
        <v/>
      </c>
      <c r="H6" s="575"/>
      <c r="I6" s="242"/>
      <c r="J6" s="242"/>
      <c r="K6" s="275"/>
      <c r="L6" s="242"/>
      <c r="M6" s="242"/>
      <c r="N6" s="242"/>
      <c r="O6" s="242"/>
      <c r="P6" s="242"/>
      <c r="Q6" s="242"/>
      <c r="R6" s="242"/>
      <c r="S6" s="242"/>
      <c r="T6" s="242"/>
      <c r="U6" s="242"/>
      <c r="V6" s="242"/>
      <c r="W6" s="242"/>
      <c r="X6" s="242"/>
      <c r="Y6" s="243"/>
      <c r="Z6" s="242"/>
      <c r="AA6" s="242"/>
    </row>
    <row r="7" spans="1:27" ht="18" hidden="1" customHeight="1" outlineLevel="1" x14ac:dyDescent="0.3">
      <c r="A7" s="242"/>
      <c r="B7" s="185" t="str">
        <f>EULA!$B18</f>
        <v>[STK - Ngân hàng]</v>
      </c>
      <c r="C7" s="276"/>
      <c r="D7" s="276"/>
      <c r="E7" s="276"/>
      <c r="F7" s="185" t="s">
        <v>701</v>
      </c>
      <c r="G7" s="576"/>
      <c r="H7" s="575"/>
      <c r="I7" s="242"/>
      <c r="J7" s="242"/>
      <c r="K7" s="275"/>
      <c r="L7" s="242"/>
      <c r="M7" s="242"/>
      <c r="N7" s="242"/>
      <c r="O7" s="242"/>
      <c r="P7" s="242"/>
      <c r="Q7" s="242"/>
      <c r="R7" s="242"/>
      <c r="S7" s="242"/>
      <c r="T7" s="242"/>
      <c r="U7" s="242"/>
      <c r="V7" s="242"/>
      <c r="W7" s="242"/>
      <c r="X7" s="242"/>
      <c r="Y7" s="243"/>
      <c r="Z7" s="243"/>
      <c r="AA7" s="242"/>
    </row>
    <row r="8" spans="1:27" ht="18" hidden="1" customHeight="1" outlineLevel="1" x14ac:dyDescent="0.3">
      <c r="A8" s="242"/>
      <c r="B8" s="276"/>
      <c r="C8" s="276"/>
      <c r="D8" s="276"/>
      <c r="E8" s="276"/>
      <c r="F8" s="185" t="s">
        <v>702</v>
      </c>
      <c r="G8" s="576"/>
      <c r="H8" s="575"/>
      <c r="I8" s="242"/>
      <c r="J8" s="242"/>
      <c r="K8" s="275"/>
      <c r="L8" s="242"/>
      <c r="M8" s="242"/>
      <c r="N8" s="242"/>
      <c r="O8" s="242"/>
      <c r="P8" s="242"/>
      <c r="Q8" s="242"/>
      <c r="R8" s="242"/>
      <c r="S8" s="242"/>
      <c r="T8" s="242"/>
      <c r="U8" s="242"/>
      <c r="V8" s="242"/>
      <c r="W8" s="242"/>
      <c r="X8" s="242"/>
      <c r="Y8" s="243"/>
      <c r="Z8" s="243"/>
      <c r="AA8" s="242"/>
    </row>
    <row r="9" spans="1:27" ht="18" hidden="1" customHeight="1" outlineLevel="1" x14ac:dyDescent="0.3">
      <c r="A9" s="242"/>
      <c r="B9" s="276"/>
      <c r="C9" s="276"/>
      <c r="D9" s="276"/>
      <c r="E9" s="276"/>
      <c r="F9" s="276"/>
      <c r="G9" s="276"/>
      <c r="H9" s="276"/>
      <c r="I9" s="242"/>
      <c r="J9" s="242"/>
      <c r="K9" s="275"/>
      <c r="L9" s="242"/>
      <c r="M9" s="242"/>
      <c r="N9" s="242"/>
      <c r="O9" s="242"/>
      <c r="P9" s="242"/>
      <c r="Q9" s="242"/>
      <c r="R9" s="242"/>
      <c r="S9" s="242"/>
      <c r="T9" s="242"/>
      <c r="U9" s="242"/>
      <c r="V9" s="242"/>
      <c r="W9" s="242"/>
      <c r="X9" s="242"/>
      <c r="Y9" s="243"/>
      <c r="Z9" s="243"/>
      <c r="AA9" s="242"/>
    </row>
    <row r="10" spans="1:27" ht="18" hidden="1" customHeight="1" outlineLevel="1" x14ac:dyDescent="0.3">
      <c r="A10" s="242"/>
      <c r="B10" s="276"/>
      <c r="C10" s="276"/>
      <c r="D10" s="276"/>
      <c r="E10" s="276"/>
      <c r="F10" s="276"/>
      <c r="G10" s="276"/>
      <c r="H10" s="276"/>
      <c r="I10" s="242"/>
      <c r="J10" s="242"/>
      <c r="K10" s="275"/>
      <c r="L10" s="242"/>
      <c r="M10" s="242"/>
      <c r="N10" s="242"/>
      <c r="O10" s="242"/>
      <c r="P10" s="242"/>
      <c r="Q10" s="242"/>
      <c r="R10" s="242"/>
      <c r="S10" s="242"/>
      <c r="T10" s="242"/>
      <c r="U10" s="242"/>
      <c r="V10" s="242"/>
      <c r="W10" s="242"/>
      <c r="X10" s="242"/>
      <c r="Y10" s="243"/>
      <c r="Z10" s="243"/>
      <c r="AA10" s="242"/>
    </row>
    <row r="11" spans="1:27" ht="18" hidden="1" customHeight="1" outlineLevel="1" x14ac:dyDescent="0.3">
      <c r="A11" s="242"/>
      <c r="B11" s="58" t="s">
        <v>703</v>
      </c>
      <c r="C11" s="285"/>
      <c r="D11" s="285"/>
      <c r="E11" s="285"/>
      <c r="F11" s="276"/>
      <c r="G11" s="276"/>
      <c r="H11" s="276"/>
      <c r="I11" s="242"/>
      <c r="J11" s="242"/>
      <c r="K11" s="275"/>
      <c r="L11" s="242"/>
      <c r="M11" s="242"/>
      <c r="N11" s="242"/>
      <c r="O11" s="242"/>
      <c r="P11" s="242"/>
      <c r="Q11" s="242"/>
      <c r="R11" s="242"/>
      <c r="S11" s="242"/>
      <c r="T11" s="242"/>
      <c r="U11" s="242"/>
      <c r="V11" s="242"/>
      <c r="W11" s="242"/>
      <c r="X11" s="242"/>
      <c r="Y11" s="243"/>
      <c r="Z11" s="243"/>
      <c r="AA11" s="242"/>
    </row>
    <row r="12" spans="1:27" ht="18" hidden="1" customHeight="1" outlineLevel="2" x14ac:dyDescent="0.3">
      <c r="A12" s="242"/>
      <c r="B12" s="1" t="s">
        <v>704</v>
      </c>
      <c r="C12" s="276"/>
      <c r="D12" s="276"/>
      <c r="E12" s="276"/>
      <c r="F12" s="568" t="str">
        <f>IFERROR(VLOOKUP($G$7,Table_Kho[[#All],[Mã Kho]:[Tên Kho]],Sheet_Kho!$C$2,0),"")</f>
        <v/>
      </c>
      <c r="G12" s="569"/>
      <c r="H12" s="569"/>
      <c r="I12" s="569"/>
      <c r="J12" s="569"/>
      <c r="K12" s="275"/>
      <c r="L12" s="242"/>
      <c r="M12" s="242"/>
      <c r="N12" s="242"/>
      <c r="O12" s="242"/>
      <c r="P12" s="242"/>
      <c r="Q12" s="242"/>
      <c r="R12" s="242"/>
      <c r="S12" s="242"/>
      <c r="T12" s="242"/>
      <c r="U12" s="242"/>
      <c r="V12" s="242"/>
      <c r="W12" s="242"/>
      <c r="X12" s="242"/>
      <c r="Y12" s="243"/>
      <c r="Z12" s="243"/>
      <c r="AA12" s="242"/>
    </row>
    <row r="13" spans="1:27" ht="18" hidden="1" customHeight="1" outlineLevel="2" x14ac:dyDescent="0.3">
      <c r="A13" s="242"/>
      <c r="B13" s="1" t="s">
        <v>705</v>
      </c>
      <c r="C13" s="276"/>
      <c r="D13" s="276"/>
      <c r="E13" s="276"/>
      <c r="F13" s="568" t="str">
        <f>IFERROR(VLOOKUP($G$7,Table_Kho[[#All],[Mã Kho]:[Địa điểm]],Sheet_Kho!$E$2,0),"")</f>
        <v/>
      </c>
      <c r="G13" s="569"/>
      <c r="H13" s="569"/>
      <c r="I13" s="569"/>
      <c r="J13" s="569"/>
      <c r="K13" s="275"/>
      <c r="L13" s="242"/>
      <c r="M13" s="242"/>
      <c r="N13" s="242"/>
      <c r="O13" s="242"/>
      <c r="P13" s="242"/>
      <c r="Q13" s="242"/>
      <c r="R13" s="242"/>
      <c r="S13" s="242"/>
      <c r="T13" s="242"/>
      <c r="U13" s="242"/>
      <c r="V13" s="242"/>
      <c r="W13" s="242"/>
      <c r="X13" s="242"/>
      <c r="Y13" s="243"/>
      <c r="Z13" s="243"/>
      <c r="AA13" s="242"/>
    </row>
    <row r="14" spans="1:27" ht="18" hidden="1" customHeight="1" outlineLevel="2" x14ac:dyDescent="0.3">
      <c r="A14" s="242"/>
      <c r="B14" s="1" t="s">
        <v>542</v>
      </c>
      <c r="C14" s="276"/>
      <c r="D14" s="276"/>
      <c r="E14" s="276"/>
      <c r="F14" s="568" t="str">
        <f>IFERROR(VLOOKUP(G7,Table_Kho[[#All],[Mã Kho]:[SĐT]],Sheet_Kho!$D$2,0),"")</f>
        <v/>
      </c>
      <c r="G14" s="569"/>
      <c r="H14" s="569"/>
      <c r="I14" s="569"/>
      <c r="J14" s="569"/>
      <c r="K14" s="275"/>
      <c r="L14" s="242"/>
      <c r="M14" s="242"/>
      <c r="N14" s="242"/>
      <c r="O14" s="242"/>
      <c r="P14" s="242"/>
      <c r="Q14" s="242"/>
      <c r="R14" s="242"/>
      <c r="S14" s="242"/>
      <c r="T14" s="242"/>
      <c r="U14" s="242"/>
      <c r="V14" s="242"/>
      <c r="W14" s="242"/>
      <c r="X14" s="242"/>
      <c r="Y14" s="243"/>
      <c r="Z14" s="243"/>
      <c r="AA14" s="242"/>
    </row>
    <row r="15" spans="1:27" ht="18" hidden="1" customHeight="1" outlineLevel="2" collapsed="1" x14ac:dyDescent="0.3">
      <c r="A15" s="242"/>
      <c r="B15" s="276"/>
      <c r="C15" s="276"/>
      <c r="D15" s="276"/>
      <c r="E15" s="276"/>
      <c r="F15" s="276"/>
      <c r="G15" s="276"/>
      <c r="H15" s="276"/>
      <c r="I15" s="242"/>
      <c r="J15" s="242"/>
      <c r="K15" s="275"/>
      <c r="L15" s="242"/>
      <c r="M15" s="242"/>
      <c r="N15" s="242"/>
      <c r="O15" s="242"/>
      <c r="P15" s="242"/>
      <c r="Q15" s="242"/>
      <c r="R15" s="242"/>
      <c r="S15" s="242"/>
      <c r="T15" s="242"/>
      <c r="U15" s="242"/>
      <c r="V15" s="242"/>
      <c r="W15" s="242"/>
      <c r="X15" s="242"/>
      <c r="Y15" s="243"/>
      <c r="Z15" s="243"/>
      <c r="AA15" s="242"/>
    </row>
    <row r="16" spans="1:27" ht="18" hidden="1" customHeight="1" outlineLevel="2" x14ac:dyDescent="0.3">
      <c r="A16" s="242"/>
      <c r="B16" s="276"/>
      <c r="C16" s="276"/>
      <c r="D16" s="276"/>
      <c r="E16" s="276"/>
      <c r="F16" s="276"/>
      <c r="G16" s="92" t="s">
        <v>322</v>
      </c>
      <c r="H16" s="93" t="s">
        <v>329</v>
      </c>
      <c r="I16" s="242"/>
      <c r="J16" s="242"/>
      <c r="K16" s="275"/>
      <c r="L16" s="242"/>
      <c r="M16" s="242"/>
      <c r="N16" s="242"/>
      <c r="O16" s="242"/>
      <c r="P16" s="242"/>
      <c r="Q16" s="242"/>
      <c r="R16" s="242"/>
      <c r="S16" s="242"/>
      <c r="T16" s="242"/>
      <c r="U16" s="242"/>
      <c r="V16" s="242"/>
      <c r="W16" s="242"/>
      <c r="X16" s="242"/>
      <c r="Y16" s="243"/>
      <c r="Z16" s="243"/>
      <c r="AA16" s="242"/>
    </row>
    <row r="17" spans="1:27" ht="18" hidden="1" customHeight="1" outlineLevel="1" x14ac:dyDescent="0.3">
      <c r="A17" s="242"/>
      <c r="B17" s="59" t="s">
        <v>643</v>
      </c>
      <c r="C17" s="59" t="s">
        <v>564</v>
      </c>
      <c r="D17" s="59" t="s">
        <v>706</v>
      </c>
      <c r="E17" s="59" t="s">
        <v>707</v>
      </c>
      <c r="F17" s="60" t="s">
        <v>30</v>
      </c>
      <c r="G17" s="59" t="s">
        <v>708</v>
      </c>
      <c r="H17" s="60" t="s">
        <v>709</v>
      </c>
      <c r="I17" s="59" t="s">
        <v>710</v>
      </c>
      <c r="J17" s="59" t="s">
        <v>686</v>
      </c>
      <c r="K17" s="275"/>
      <c r="L17" s="242"/>
      <c r="M17" s="242"/>
      <c r="N17" s="242"/>
      <c r="O17" s="242"/>
      <c r="P17" s="242"/>
      <c r="Q17" s="242"/>
      <c r="R17" s="242"/>
      <c r="S17" s="242"/>
      <c r="T17" s="242"/>
      <c r="U17" s="242"/>
      <c r="V17" s="242"/>
      <c r="W17" s="242"/>
      <c r="X17" s="242"/>
      <c r="Y17" s="243"/>
      <c r="Z17" s="243"/>
      <c r="AA17" s="242"/>
    </row>
    <row r="18" spans="1:27" ht="18" hidden="1" customHeight="1" outlineLevel="2" x14ac:dyDescent="0.3">
      <c r="A18" s="242"/>
      <c r="B18" s="40" t="str">
        <f>IF(Table_FormDonMua_SKU[[#This Row],[Mã hàng]]&lt;&gt;"",COUNTIF($C$18:C28,"&lt;&gt;"""),"")</f>
        <v/>
      </c>
      <c r="C18" s="286"/>
      <c r="D18" s="286"/>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5"/>
      <c r="L18" s="242"/>
      <c r="M18" s="242"/>
      <c r="N18" s="242"/>
      <c r="O18" s="242"/>
      <c r="P18" s="242"/>
      <c r="Q18" s="242"/>
      <c r="R18" s="242"/>
      <c r="S18" s="242"/>
      <c r="T18" s="242"/>
      <c r="U18" s="242"/>
      <c r="V18" s="242"/>
      <c r="W18" s="242"/>
      <c r="X18" s="242"/>
      <c r="Y18" s="243"/>
      <c r="Z18" s="243"/>
      <c r="AA18" s="242"/>
    </row>
    <row r="19" spans="1:27" ht="18" hidden="1" customHeight="1" outlineLevel="2" x14ac:dyDescent="0.3">
      <c r="A19" s="242"/>
      <c r="B19" s="7"/>
      <c r="C19" s="286"/>
      <c r="D19" s="286"/>
      <c r="E19" s="7"/>
      <c r="F19" s="15"/>
      <c r="G19" s="15"/>
      <c r="H19" s="15"/>
      <c r="I19" s="119"/>
      <c r="J19" s="50"/>
      <c r="K19" s="275"/>
      <c r="L19" s="242"/>
      <c r="M19" s="242"/>
      <c r="N19" s="242"/>
      <c r="O19" s="242"/>
      <c r="P19" s="242"/>
      <c r="Q19" s="242"/>
      <c r="R19" s="242"/>
      <c r="S19" s="242"/>
      <c r="T19" s="242"/>
      <c r="U19" s="242"/>
      <c r="V19" s="242"/>
      <c r="W19" s="242"/>
      <c r="X19" s="242"/>
      <c r="Y19" s="243"/>
      <c r="Z19" s="243"/>
      <c r="AA19" s="242"/>
    </row>
    <row r="20" spans="1:27" ht="18" hidden="1" customHeight="1" outlineLevel="2" x14ac:dyDescent="0.3">
      <c r="A20" s="242"/>
      <c r="B20" s="7"/>
      <c r="C20" s="286"/>
      <c r="D20" s="286"/>
      <c r="E20" s="7"/>
      <c r="F20" s="15"/>
      <c r="G20" s="15"/>
      <c r="H20" s="15"/>
      <c r="I20" s="119"/>
      <c r="J20" s="50"/>
      <c r="K20" s="275"/>
      <c r="L20" s="242"/>
      <c r="M20" s="242"/>
      <c r="N20" s="242"/>
      <c r="O20" s="242"/>
      <c r="P20" s="242"/>
      <c r="Q20" s="242"/>
      <c r="R20" s="242"/>
      <c r="S20" s="242"/>
      <c r="T20" s="242"/>
      <c r="U20" s="242"/>
      <c r="V20" s="242"/>
      <c r="W20" s="242"/>
      <c r="X20" s="242"/>
      <c r="Y20" s="243"/>
      <c r="Z20" s="243"/>
      <c r="AA20" s="242"/>
    </row>
    <row r="21" spans="1:27" ht="18" hidden="1" customHeight="1" outlineLevel="2" x14ac:dyDescent="0.3">
      <c r="A21" s="242"/>
      <c r="B21" s="7"/>
      <c r="C21" s="286"/>
      <c r="D21" s="286"/>
      <c r="E21" s="7"/>
      <c r="F21" s="15"/>
      <c r="G21" s="15"/>
      <c r="H21" s="15"/>
      <c r="I21" s="119"/>
      <c r="J21" s="50"/>
      <c r="K21" s="275"/>
      <c r="L21" s="242"/>
      <c r="M21" s="242"/>
      <c r="N21" s="242"/>
      <c r="O21" s="242"/>
      <c r="P21" s="242"/>
      <c r="Q21" s="242"/>
      <c r="R21" s="242"/>
      <c r="S21" s="242"/>
      <c r="T21" s="242"/>
      <c r="U21" s="242"/>
      <c r="V21" s="242"/>
      <c r="W21" s="242"/>
      <c r="X21" s="242"/>
      <c r="Y21" s="243"/>
      <c r="Z21" s="243"/>
      <c r="AA21" s="242"/>
    </row>
    <row r="22" spans="1:27" ht="18" hidden="1" customHeight="1" outlineLevel="2" x14ac:dyDescent="0.3">
      <c r="A22" s="242"/>
      <c r="B22" s="7"/>
      <c r="C22" s="286"/>
      <c r="D22" s="286"/>
      <c r="E22" s="7"/>
      <c r="F22" s="15"/>
      <c r="G22" s="15"/>
      <c r="H22" s="15"/>
      <c r="I22" s="119"/>
      <c r="J22" s="50"/>
      <c r="K22" s="275"/>
      <c r="L22" s="242"/>
      <c r="M22" s="242"/>
      <c r="N22" s="242"/>
      <c r="O22" s="242"/>
      <c r="P22" s="242"/>
      <c r="Q22" s="242"/>
      <c r="R22" s="242"/>
      <c r="S22" s="242"/>
      <c r="T22" s="242"/>
      <c r="U22" s="242"/>
      <c r="V22" s="242"/>
      <c r="W22" s="242"/>
      <c r="X22" s="242"/>
      <c r="Y22" s="243"/>
      <c r="Z22" s="243"/>
      <c r="AA22" s="242"/>
    </row>
    <row r="23" spans="1:27" ht="18" hidden="1" customHeight="1" outlineLevel="2" x14ac:dyDescent="0.3">
      <c r="A23" s="242"/>
      <c r="B23" s="7"/>
      <c r="C23" s="286"/>
      <c r="D23" s="286"/>
      <c r="E23" s="7"/>
      <c r="F23" s="15"/>
      <c r="G23" s="15"/>
      <c r="H23" s="15"/>
      <c r="I23" s="119"/>
      <c r="J23" s="50"/>
      <c r="K23" s="275"/>
      <c r="L23" s="242"/>
      <c r="M23" s="242"/>
      <c r="N23" s="242"/>
      <c r="O23" s="242"/>
      <c r="P23" s="242"/>
      <c r="Q23" s="242"/>
      <c r="R23" s="242"/>
      <c r="S23" s="242"/>
      <c r="T23" s="242"/>
      <c r="U23" s="242"/>
      <c r="V23" s="242"/>
      <c r="W23" s="242"/>
      <c r="X23" s="242"/>
      <c r="Y23" s="243"/>
      <c r="Z23" s="243"/>
      <c r="AA23" s="242"/>
    </row>
    <row r="24" spans="1:27" ht="18" hidden="1" customHeight="1" outlineLevel="2" x14ac:dyDescent="0.3">
      <c r="A24" s="242"/>
      <c r="B24" s="7"/>
      <c r="C24" s="286"/>
      <c r="D24" s="286"/>
      <c r="E24" s="7"/>
      <c r="F24" s="15"/>
      <c r="G24" s="15"/>
      <c r="H24" s="15"/>
      <c r="I24" s="119"/>
      <c r="J24" s="50"/>
      <c r="K24" s="275"/>
      <c r="L24" s="242"/>
      <c r="M24" s="242"/>
      <c r="N24" s="242"/>
      <c r="O24" s="242"/>
      <c r="P24" s="242"/>
      <c r="Q24" s="242"/>
      <c r="R24" s="242"/>
      <c r="S24" s="242"/>
      <c r="T24" s="242"/>
      <c r="U24" s="242"/>
      <c r="V24" s="242"/>
      <c r="W24" s="242"/>
      <c r="X24" s="242"/>
      <c r="Y24" s="243"/>
      <c r="Z24" s="243"/>
      <c r="AA24" s="242"/>
    </row>
    <row r="25" spans="1:27" ht="18" hidden="1" customHeight="1" outlineLevel="2" x14ac:dyDescent="0.3">
      <c r="A25" s="242"/>
      <c r="B25" s="7"/>
      <c r="C25" s="286"/>
      <c r="D25" s="286"/>
      <c r="E25" s="7"/>
      <c r="F25" s="15"/>
      <c r="G25" s="15"/>
      <c r="H25" s="15"/>
      <c r="I25" s="119"/>
      <c r="J25" s="50"/>
      <c r="K25" s="275"/>
      <c r="L25" s="242"/>
      <c r="M25" s="242"/>
      <c r="N25" s="242"/>
      <c r="O25" s="242"/>
      <c r="P25" s="242"/>
      <c r="Q25" s="242"/>
      <c r="R25" s="242"/>
      <c r="S25" s="242"/>
      <c r="T25" s="242"/>
      <c r="U25" s="242"/>
      <c r="V25" s="242"/>
      <c r="W25" s="242"/>
      <c r="X25" s="242"/>
      <c r="Y25" s="243"/>
      <c r="Z25" s="243"/>
      <c r="AA25" s="242"/>
    </row>
    <row r="26" spans="1:27" ht="18" hidden="1" customHeight="1" outlineLevel="2" x14ac:dyDescent="0.3">
      <c r="A26" s="242"/>
      <c r="B26" s="7"/>
      <c r="C26" s="286"/>
      <c r="D26" s="286"/>
      <c r="E26" s="7"/>
      <c r="F26" s="15"/>
      <c r="G26" s="15"/>
      <c r="H26" s="15"/>
      <c r="I26" s="119"/>
      <c r="J26" s="50"/>
      <c r="K26" s="275"/>
      <c r="L26" s="242"/>
      <c r="M26" s="242"/>
      <c r="N26" s="242"/>
      <c r="O26" s="242"/>
      <c r="P26" s="242"/>
      <c r="Q26" s="242"/>
      <c r="R26" s="242"/>
      <c r="S26" s="242"/>
      <c r="T26" s="242"/>
      <c r="U26" s="242"/>
      <c r="V26" s="242"/>
      <c r="W26" s="242"/>
      <c r="X26" s="242"/>
      <c r="Y26" s="243"/>
      <c r="Z26" s="243"/>
      <c r="AA26" s="242"/>
    </row>
    <row r="27" spans="1:27" ht="18" hidden="1" customHeight="1" outlineLevel="2" x14ac:dyDescent="0.3">
      <c r="A27" s="242"/>
      <c r="B27" s="7"/>
      <c r="C27" s="286"/>
      <c r="D27" s="286"/>
      <c r="E27" s="7"/>
      <c r="F27" s="15"/>
      <c r="G27" s="15"/>
      <c r="H27" s="15"/>
      <c r="I27" s="119"/>
      <c r="J27" s="50"/>
      <c r="K27" s="275"/>
      <c r="L27" s="242"/>
      <c r="M27" s="242"/>
      <c r="N27" s="242"/>
      <c r="O27" s="242"/>
      <c r="P27" s="242"/>
      <c r="Q27" s="242"/>
      <c r="R27" s="242"/>
      <c r="S27" s="242"/>
      <c r="T27" s="242"/>
      <c r="U27" s="242"/>
      <c r="V27" s="242"/>
      <c r="W27" s="242"/>
      <c r="X27" s="242"/>
      <c r="Y27" s="243"/>
      <c r="Z27" s="243"/>
      <c r="AA27" s="242"/>
    </row>
    <row r="28" spans="1:27" ht="18" hidden="1" customHeight="1" outlineLevel="1" x14ac:dyDescent="0.3">
      <c r="A28" s="242"/>
      <c r="B28" s="7"/>
      <c r="C28" s="286"/>
      <c r="D28" s="286"/>
      <c r="E28" s="7"/>
      <c r="F28" s="15"/>
      <c r="G28" s="15"/>
      <c r="H28" s="15"/>
      <c r="I28" s="119"/>
      <c r="J28" s="50"/>
      <c r="K28" s="275"/>
      <c r="L28" s="242"/>
      <c r="M28" s="242"/>
      <c r="N28" s="242"/>
      <c r="O28" s="242"/>
      <c r="P28" s="242"/>
      <c r="Q28" s="242"/>
      <c r="R28" s="242"/>
      <c r="S28" s="242"/>
      <c r="T28" s="242"/>
      <c r="U28" s="242"/>
      <c r="V28" s="242"/>
      <c r="W28" s="242"/>
      <c r="X28" s="242"/>
      <c r="Y28" s="243"/>
      <c r="Z28" s="243"/>
      <c r="AA28" s="242"/>
    </row>
    <row r="29" spans="1:27" ht="18" hidden="1" customHeight="1" outlineLevel="1" x14ac:dyDescent="0.3">
      <c r="A29" s="242"/>
      <c r="B29" s="242"/>
      <c r="C29" s="242"/>
      <c r="D29" s="242"/>
      <c r="E29" s="242"/>
      <c r="F29" s="244"/>
      <c r="G29" s="244"/>
      <c r="H29" s="244"/>
      <c r="I29" s="242"/>
      <c r="J29" s="242"/>
      <c r="K29" s="275"/>
      <c r="L29" s="242"/>
      <c r="M29" s="242"/>
      <c r="N29" s="242"/>
      <c r="O29" s="242"/>
      <c r="P29" s="242"/>
      <c r="Q29" s="242"/>
      <c r="R29" s="242"/>
      <c r="S29" s="242"/>
      <c r="T29" s="242"/>
      <c r="U29" s="242"/>
      <c r="V29" s="242"/>
      <c r="W29" s="242"/>
      <c r="X29" s="242"/>
      <c r="Y29" s="243"/>
      <c r="Z29" s="243"/>
      <c r="AA29" s="242"/>
    </row>
    <row r="30" spans="1:27" ht="18" hidden="1" customHeight="1" outlineLevel="1" x14ac:dyDescent="0.3">
      <c r="A30" s="242"/>
      <c r="B30" s="61" t="s">
        <v>544</v>
      </c>
      <c r="C30" s="287"/>
      <c r="D30" s="287"/>
      <c r="E30" s="288"/>
      <c r="F30" s="185" t="s">
        <v>711</v>
      </c>
      <c r="G30" s="289"/>
      <c r="H30" s="414">
        <f>SUM(Table_FormDonMua_SKU[Thành tiền])</f>
        <v>0</v>
      </c>
      <c r="I30" s="242"/>
      <c r="J30" s="242"/>
      <c r="K30" s="275"/>
      <c r="L30" s="242"/>
      <c r="M30" s="242"/>
      <c r="N30" s="242"/>
      <c r="O30" s="242"/>
      <c r="P30" s="242"/>
      <c r="Q30" s="242"/>
      <c r="R30" s="242"/>
      <c r="S30" s="242"/>
      <c r="T30" s="242"/>
      <c r="U30" s="242"/>
      <c r="V30" s="242"/>
      <c r="W30" s="242"/>
      <c r="X30" s="242"/>
      <c r="Y30" s="243"/>
      <c r="Z30" s="243"/>
      <c r="AA30" s="242"/>
    </row>
    <row r="31" spans="1:27" ht="18" hidden="1" customHeight="1" outlineLevel="1" x14ac:dyDescent="0.3">
      <c r="A31" s="242"/>
      <c r="B31" s="290"/>
      <c r="C31" s="276"/>
      <c r="D31" s="276"/>
      <c r="E31" s="291"/>
      <c r="F31" s="185" t="s">
        <v>712</v>
      </c>
      <c r="G31" s="289"/>
      <c r="H31" s="411"/>
      <c r="I31" s="242"/>
      <c r="J31" s="242"/>
      <c r="K31" s="275"/>
      <c r="L31" s="242"/>
      <c r="M31" s="242"/>
      <c r="N31" s="242"/>
      <c r="O31" s="242"/>
      <c r="P31" s="242"/>
      <c r="Q31" s="242"/>
      <c r="R31" s="242"/>
      <c r="S31" s="242"/>
      <c r="T31" s="242"/>
      <c r="U31" s="242"/>
      <c r="V31" s="242"/>
      <c r="W31" s="242"/>
      <c r="X31" s="242"/>
      <c r="Y31" s="243"/>
      <c r="Z31" s="243"/>
      <c r="AA31" s="242"/>
    </row>
    <row r="32" spans="1:27" ht="18" hidden="1" customHeight="1" outlineLevel="1" x14ac:dyDescent="0.3">
      <c r="A32" s="242"/>
      <c r="B32" s="290"/>
      <c r="C32" s="276"/>
      <c r="D32" s="276"/>
      <c r="E32" s="291"/>
      <c r="F32" s="1" t="s">
        <v>713</v>
      </c>
      <c r="G32" s="289"/>
      <c r="H32" s="411"/>
      <c r="I32" s="242"/>
      <c r="J32" s="242"/>
      <c r="K32" s="275"/>
      <c r="L32" s="242"/>
      <c r="M32" s="242"/>
      <c r="N32" s="242"/>
      <c r="O32" s="242"/>
      <c r="P32" s="242"/>
      <c r="Q32" s="242"/>
      <c r="R32" s="242"/>
      <c r="S32" s="242"/>
      <c r="T32" s="242"/>
      <c r="U32" s="242"/>
      <c r="V32" s="242"/>
      <c r="W32" s="242"/>
      <c r="X32" s="242"/>
      <c r="Y32" s="243"/>
      <c r="Z32" s="243"/>
      <c r="AA32" s="242"/>
    </row>
    <row r="33" spans="1:27" ht="18" hidden="1" customHeight="1" outlineLevel="1" x14ac:dyDescent="0.3">
      <c r="A33" s="242"/>
      <c r="B33" s="290"/>
      <c r="C33" s="276"/>
      <c r="D33" s="276"/>
      <c r="E33" s="291"/>
      <c r="F33" s="1" t="s">
        <v>714</v>
      </c>
      <c r="G33" s="289"/>
      <c r="H33" s="411">
        <f>U43</f>
        <v>0</v>
      </c>
      <c r="I33" s="242"/>
      <c r="J33" s="242"/>
      <c r="K33" s="275"/>
      <c r="L33" s="242"/>
      <c r="M33" s="242"/>
      <c r="N33" s="242"/>
      <c r="O33" s="242"/>
      <c r="P33" s="242"/>
      <c r="Q33" s="242"/>
      <c r="R33" s="242"/>
      <c r="S33" s="242"/>
      <c r="T33" s="242"/>
      <c r="U33" s="242"/>
      <c r="V33" s="242"/>
      <c r="W33" s="242"/>
      <c r="X33" s="242"/>
      <c r="Y33" s="243"/>
      <c r="Z33" s="243"/>
      <c r="AA33" s="242"/>
    </row>
    <row r="34" spans="1:27" ht="18" hidden="1" customHeight="1" outlineLevel="1" x14ac:dyDescent="0.3">
      <c r="A34" s="242"/>
      <c r="B34" s="292"/>
      <c r="C34" s="293"/>
      <c r="D34" s="293"/>
      <c r="E34" s="294"/>
      <c r="F34" s="62" t="s">
        <v>715</v>
      </c>
      <c r="G34" s="295"/>
      <c r="H34" s="410">
        <f>+H30+H31-H32</f>
        <v>0</v>
      </c>
      <c r="I34" s="242"/>
      <c r="J34" s="242"/>
      <c r="K34" s="275"/>
      <c r="L34" s="242"/>
      <c r="M34" s="242"/>
      <c r="N34" s="242"/>
      <c r="O34" s="242"/>
      <c r="P34" s="242"/>
      <c r="Q34" s="242"/>
      <c r="R34" s="242"/>
      <c r="S34" s="242"/>
      <c r="T34" s="242"/>
      <c r="U34" s="242"/>
      <c r="V34" s="242"/>
      <c r="W34" s="242"/>
      <c r="X34" s="242"/>
      <c r="Y34" s="243"/>
      <c r="Z34" s="243"/>
      <c r="AA34" s="242"/>
    </row>
    <row r="35" spans="1:27" ht="18" hidden="1" customHeight="1" outlineLevel="1" x14ac:dyDescent="0.3">
      <c r="A35" s="242"/>
      <c r="B35" s="276"/>
      <c r="C35" s="276"/>
      <c r="D35" s="276"/>
      <c r="E35" s="276"/>
      <c r="F35" s="276"/>
      <c r="G35" s="276"/>
      <c r="H35" s="276"/>
      <c r="I35" s="242"/>
      <c r="J35" s="242"/>
      <c r="K35" s="275"/>
      <c r="L35" s="242"/>
      <c r="M35" s="242"/>
      <c r="N35" s="242"/>
      <c r="O35" s="242"/>
      <c r="P35" s="242"/>
      <c r="Q35" s="242"/>
      <c r="R35" s="242"/>
      <c r="S35" s="242"/>
      <c r="T35" s="242"/>
      <c r="U35" s="242"/>
      <c r="V35" s="242"/>
      <c r="W35" s="242"/>
      <c r="X35" s="242"/>
      <c r="Y35" s="243"/>
      <c r="Z35" s="243"/>
      <c r="AA35" s="242"/>
    </row>
    <row r="36" spans="1:27" ht="18" hidden="1" customHeight="1" outlineLevel="1" x14ac:dyDescent="0.3">
      <c r="A36" s="242"/>
      <c r="B36" s="276"/>
      <c r="C36" s="276"/>
      <c r="D36" s="276"/>
      <c r="E36" s="276"/>
      <c r="F36" s="276"/>
      <c r="G36" s="566" t="str">
        <f>B1</f>
        <v>Công ty ABC XYZ</v>
      </c>
      <c r="H36" s="567"/>
      <c r="I36" s="242"/>
      <c r="J36" s="242"/>
      <c r="K36" s="275"/>
      <c r="L36" s="242"/>
      <c r="M36" s="242"/>
      <c r="N36" s="242"/>
      <c r="O36" s="242"/>
      <c r="P36" s="242"/>
      <c r="Q36" s="242"/>
      <c r="R36" s="242"/>
      <c r="S36" s="242"/>
      <c r="T36" s="242"/>
      <c r="U36" s="242"/>
      <c r="V36" s="242"/>
      <c r="W36" s="242"/>
      <c r="X36" s="242"/>
      <c r="Y36" s="243"/>
      <c r="Z36" s="243"/>
      <c r="AA36" s="242"/>
    </row>
    <row r="37" spans="1:27" ht="18" hidden="1" customHeight="1" outlineLevel="1" x14ac:dyDescent="0.3">
      <c r="A37" s="242"/>
      <c r="B37" s="276"/>
      <c r="C37" s="276"/>
      <c r="D37" s="276"/>
      <c r="E37" s="276"/>
      <c r="F37" s="276"/>
      <c r="G37" s="566" t="s">
        <v>716</v>
      </c>
      <c r="H37" s="567"/>
      <c r="I37" s="242"/>
      <c r="J37" s="242"/>
      <c r="K37" s="275"/>
      <c r="L37" s="242"/>
      <c r="M37" s="242"/>
      <c r="N37" s="242"/>
      <c r="O37" s="242"/>
      <c r="P37" s="242"/>
      <c r="Q37" s="242"/>
      <c r="R37" s="242"/>
      <c r="S37" s="242"/>
      <c r="T37" s="242"/>
      <c r="U37" s="242"/>
      <c r="V37" s="242"/>
      <c r="W37" s="242"/>
      <c r="X37" s="242"/>
      <c r="Y37" s="243"/>
      <c r="Z37" s="243"/>
      <c r="AA37" s="242"/>
    </row>
    <row r="38" spans="1:27" ht="18" hidden="1" customHeight="1" outlineLevel="1" x14ac:dyDescent="0.3">
      <c r="A38" s="242"/>
      <c r="B38" s="276"/>
      <c r="C38" s="276"/>
      <c r="D38" s="276"/>
      <c r="E38" s="276"/>
      <c r="F38" s="276"/>
      <c r="G38" s="564" t="str">
        <f>IFERROR(VLOOKUP(G8,Table_NhanVien[#All],Sheet_CauTruc!$T$1,0),"")</f>
        <v/>
      </c>
      <c r="H38" s="565"/>
      <c r="I38" s="242"/>
      <c r="J38" s="242"/>
      <c r="K38" s="275"/>
      <c r="L38" s="242"/>
      <c r="M38" s="242"/>
      <c r="N38" s="242"/>
      <c r="O38" s="242"/>
      <c r="P38" s="242"/>
      <c r="Q38" s="242"/>
      <c r="R38" s="242"/>
      <c r="S38" s="242"/>
      <c r="T38" s="242"/>
      <c r="U38" s="242"/>
      <c r="V38" s="242"/>
      <c r="W38" s="242"/>
      <c r="X38" s="242"/>
      <c r="Y38" s="243"/>
      <c r="Z38" s="243"/>
      <c r="AA38" s="242"/>
    </row>
    <row r="39" spans="1:27" ht="18" hidden="1" customHeight="1" outlineLevel="1" x14ac:dyDescent="0.3">
      <c r="A39" s="242"/>
      <c r="B39" s="276"/>
      <c r="C39" s="276"/>
      <c r="D39" s="276"/>
      <c r="E39" s="276"/>
      <c r="F39" s="276"/>
      <c r="G39" s="296"/>
      <c r="H39" s="296"/>
      <c r="I39" s="242"/>
      <c r="J39" s="242"/>
      <c r="K39" s="275"/>
      <c r="L39" s="242"/>
      <c r="M39" s="242"/>
      <c r="N39" s="242"/>
      <c r="O39" s="242"/>
      <c r="P39" s="242"/>
      <c r="Q39" s="242"/>
      <c r="R39" s="242"/>
      <c r="S39" s="242"/>
      <c r="T39" s="242"/>
      <c r="U39" s="242"/>
      <c r="V39" s="242"/>
      <c r="W39" s="242"/>
      <c r="X39" s="242"/>
      <c r="Y39" s="243"/>
      <c r="Z39" s="243"/>
      <c r="AA39" s="242"/>
    </row>
    <row r="40" spans="1:27" ht="18" hidden="1" customHeight="1" outlineLevel="1" x14ac:dyDescent="0.3">
      <c r="A40" s="242"/>
      <c r="B40" s="276"/>
      <c r="C40" s="276"/>
      <c r="D40" s="276"/>
      <c r="E40" s="276"/>
      <c r="F40" s="276"/>
      <c r="G40" s="242"/>
      <c r="H40" s="242"/>
      <c r="I40" s="242"/>
      <c r="J40" s="242"/>
      <c r="K40" s="275"/>
      <c r="L40" s="242"/>
      <c r="M40" s="242"/>
      <c r="N40" s="242"/>
      <c r="O40" s="242"/>
      <c r="P40" s="242"/>
      <c r="Q40" s="242"/>
      <c r="R40" s="242"/>
      <c r="S40" s="242"/>
      <c r="T40" s="242"/>
      <c r="U40" s="242"/>
      <c r="V40" s="242"/>
      <c r="W40" s="242"/>
      <c r="X40" s="242"/>
      <c r="Y40" s="243"/>
      <c r="Z40" s="243"/>
      <c r="AA40" s="242"/>
    </row>
    <row r="41" spans="1:27" ht="18" hidden="1" customHeight="1" outlineLevel="1" x14ac:dyDescent="0.3">
      <c r="A41" s="242"/>
      <c r="B41" s="276"/>
      <c r="C41" s="276"/>
      <c r="D41" s="276"/>
      <c r="E41" s="276"/>
      <c r="F41" s="276"/>
      <c r="G41" s="242"/>
      <c r="H41" s="242"/>
      <c r="I41" s="242"/>
      <c r="J41" s="242"/>
      <c r="K41" s="275"/>
      <c r="L41" s="242"/>
      <c r="M41" s="242"/>
      <c r="N41" s="242"/>
      <c r="O41" s="242"/>
      <c r="P41" s="242"/>
      <c r="Q41" s="242"/>
      <c r="R41" s="242"/>
      <c r="S41" s="242"/>
      <c r="T41" s="242"/>
      <c r="U41" s="242"/>
      <c r="V41" s="242"/>
      <c r="W41" s="242"/>
      <c r="X41" s="242"/>
      <c r="Y41" s="243"/>
      <c r="Z41" s="243"/>
      <c r="AA41" s="242"/>
    </row>
    <row r="42" spans="1:27" ht="18" customHeight="1" collapsed="1" x14ac:dyDescent="0.3">
      <c r="A42" s="242"/>
      <c r="B42" s="276"/>
      <c r="C42" s="276"/>
      <c r="D42" s="276"/>
      <c r="E42" s="276"/>
      <c r="F42" s="276"/>
      <c r="G42" s="297"/>
      <c r="H42" s="297"/>
      <c r="I42" s="242"/>
      <c r="J42" s="242"/>
      <c r="K42" s="275"/>
      <c r="L42" s="301">
        <v>0</v>
      </c>
      <c r="M42" s="301">
        <f t="shared" ref="M42:W42" si="0">+L42+1</f>
        <v>1</v>
      </c>
      <c r="N42" s="301">
        <f t="shared" si="0"/>
        <v>2</v>
      </c>
      <c r="O42" s="301">
        <f t="shared" si="0"/>
        <v>3</v>
      </c>
      <c r="P42" s="301">
        <f t="shared" si="0"/>
        <v>4</v>
      </c>
      <c r="Q42" s="301">
        <f t="shared" si="0"/>
        <v>5</v>
      </c>
      <c r="R42" s="301">
        <f t="shared" si="0"/>
        <v>6</v>
      </c>
      <c r="S42" s="301">
        <f t="shared" si="0"/>
        <v>7</v>
      </c>
      <c r="T42" s="301">
        <f t="shared" si="0"/>
        <v>8</v>
      </c>
      <c r="U42" s="301">
        <f t="shared" si="0"/>
        <v>9</v>
      </c>
      <c r="V42" s="301">
        <f t="shared" si="0"/>
        <v>10</v>
      </c>
      <c r="W42" s="301">
        <f t="shared" si="0"/>
        <v>11</v>
      </c>
      <c r="X42" s="301"/>
      <c r="Y42" s="243"/>
      <c r="Z42" s="243"/>
      <c r="AA42" s="242"/>
    </row>
    <row r="43" spans="1:27" ht="18" customHeight="1" x14ac:dyDescent="0.3">
      <c r="A43" s="242"/>
      <c r="B43" s="276"/>
      <c r="C43" s="276"/>
      <c r="D43" s="276"/>
      <c r="E43" s="276"/>
      <c r="F43" s="276"/>
      <c r="G43" s="276"/>
      <c r="H43" s="276"/>
      <c r="I43" s="242"/>
      <c r="J43" s="242"/>
      <c r="K43" s="275"/>
      <c r="L43" s="298"/>
      <c r="M43" s="51" t="str">
        <f>G4</f>
        <v>NHAP--100-1</v>
      </c>
      <c r="N43" s="415">
        <f>G5</f>
        <v>0</v>
      </c>
      <c r="O43" s="246">
        <f>C3</f>
        <v>0</v>
      </c>
      <c r="P43" s="246">
        <f>G7</f>
        <v>0</v>
      </c>
      <c r="Q43" s="48">
        <f>H30</f>
        <v>0</v>
      </c>
      <c r="R43" s="48">
        <f xml:space="preserve">
SUM(Table_FormDonMua_SKU[VAT khấu trừ])</f>
        <v>0</v>
      </c>
      <c r="S43" s="48">
        <f>H31</f>
        <v>0</v>
      </c>
      <c r="T43" s="48">
        <f>H32</f>
        <v>0</v>
      </c>
      <c r="U43" s="393">
        <f xml:space="preserve">
IFERROR(
R43+R43/Q43*(S43-T43),0)</f>
        <v>0</v>
      </c>
      <c r="V43" s="393">
        <f>W43-U43</f>
        <v>0</v>
      </c>
      <c r="W43" s="416">
        <f>H34</f>
        <v>0</v>
      </c>
      <c r="X43" s="299"/>
      <c r="Y43" s="300"/>
      <c r="Z43" s="243"/>
      <c r="AA43" s="242"/>
    </row>
    <row r="44" spans="1:27" ht="18" customHeight="1" x14ac:dyDescent="0.3">
      <c r="A44" s="242"/>
      <c r="B44" s="276"/>
      <c r="C44" s="276"/>
      <c r="D44" s="276"/>
      <c r="E44" s="276"/>
      <c r="F44" s="276"/>
      <c r="G44" s="276"/>
      <c r="H44" s="276"/>
      <c r="I44" s="242"/>
      <c r="J44" s="242"/>
      <c r="K44" s="275"/>
      <c r="L44" s="298"/>
      <c r="M44" s="51" t="str">
        <f>CONCATENATE("NHAP-",O44,"-",MOD(YEAR(N44),100)*10000+MONTH(N44)*100+DAY(N44),"-",L44)</f>
        <v>NHAP--100-</v>
      </c>
      <c r="N44" s="415"/>
      <c r="O44" s="246"/>
      <c r="P44" s="246"/>
      <c r="Q44" s="48" cm="1">
        <f t="array" ref="Q44">IFERROR(
SUM(_xlfn._xlws.FILTER(Table_Main[Giá trị hàng nhập],
(Table_Main[Đơn Mua] = M44)
)),0)</f>
        <v>0</v>
      </c>
      <c r="R44" s="48" cm="1">
        <f t="array" ref="R44">IFERROR(
SUM(_xlfn._xlws.FILTER(Table_Main[VAT khấu trừ],
(Table_Main[Đơn Mua] = M44)
)),0)</f>
        <v>0</v>
      </c>
      <c r="S44" s="48"/>
      <c r="T44" s="48"/>
      <c r="U44" s="393">
        <f xml:space="preserve">
IFERROR(
R44+R44/Q44*(S44-T44),0)</f>
        <v>0</v>
      </c>
      <c r="V44" s="393">
        <f>W44-U44</f>
        <v>0</v>
      </c>
      <c r="W44" s="416">
        <f>IF(M44="TONKHODAU",0,Q44+S44-T44)</f>
        <v>0</v>
      </c>
      <c r="X44" s="299"/>
      <c r="Y44" s="300"/>
      <c r="Z44" s="243"/>
      <c r="AA44" s="242"/>
    </row>
    <row r="45" spans="1:27" ht="18" customHeight="1" x14ac:dyDescent="0.3">
      <c r="A45" s="242"/>
      <c r="B45" s="276"/>
      <c r="C45" s="276"/>
      <c r="D45" s="276"/>
      <c r="E45" s="276"/>
      <c r="F45" s="276"/>
      <c r="G45" s="276"/>
      <c r="H45" s="276"/>
      <c r="I45" s="242"/>
      <c r="J45" s="242"/>
      <c r="K45" s="275"/>
      <c r="L45" s="42" t="s">
        <v>60</v>
      </c>
      <c r="M45" s="42" t="s">
        <v>717</v>
      </c>
      <c r="N45" s="42" t="s">
        <v>700</v>
      </c>
      <c r="O45" s="42" t="s">
        <v>698</v>
      </c>
      <c r="P45" s="42" t="s">
        <v>718</v>
      </c>
      <c r="Q45" s="42" t="s">
        <v>719</v>
      </c>
      <c r="R45" s="42" t="s">
        <v>720</v>
      </c>
      <c r="S45" s="42" t="s">
        <v>712</v>
      </c>
      <c r="T45" s="42" t="s">
        <v>721</v>
      </c>
      <c r="U45" s="42" t="s">
        <v>714</v>
      </c>
      <c r="V45" s="42" t="s">
        <v>657</v>
      </c>
      <c r="W45" s="42" t="s">
        <v>722</v>
      </c>
      <c r="X45" s="7" t="s">
        <v>883</v>
      </c>
      <c r="Y45" s="7" t="s">
        <v>1253</v>
      </c>
      <c r="Z45" s="243"/>
      <c r="AA45" s="242"/>
    </row>
    <row r="46" spans="1:27" ht="18" customHeight="1" x14ac:dyDescent="0.3">
      <c r="A46" s="242"/>
      <c r="B46" s="276"/>
      <c r="C46" s="276"/>
      <c r="D46" s="276"/>
      <c r="E46" s="276"/>
      <c r="F46" s="276"/>
      <c r="G46" s="276"/>
      <c r="H46" s="276"/>
      <c r="I46" s="242"/>
      <c r="J46" s="242"/>
      <c r="K46" s="275"/>
      <c r="L46" s="250"/>
      <c r="M46" s="527" t="str">
        <f>CONCATENATE("NHAP-",Table_DonMua[[#This Row],[Mã Đối tác]],"-",MOD(YEAR(Table_DonMua[[#This Row],[Ngày lập]]),100)*10000+MONTH(Table_DonMua[[#This Row],[Ngày lập]])*100+DAY(Table_DonMua[[#This Row],[Ngày lập]]),"-",Table_DonMua[[#This Row],[TT]])</f>
        <v>NHAP-NCC1-250528-</v>
      </c>
      <c r="N46" s="415">
        <v>45805</v>
      </c>
      <c r="O46" s="534" t="s">
        <v>1168</v>
      </c>
      <c r="P46" s="534" t="s">
        <v>1165</v>
      </c>
      <c r="Q46" s="417">
        <f>IFERROR(
SUM(_xlfn._xlws.FILTER(Table_Main[Giá trị hàng nhập],
(Table_Main[Đơn Mua] = Table_DonMua[[#This Row],[Mã Đơn mua]])
)),0)</f>
        <v>4191908</v>
      </c>
      <c r="R46" s="417">
        <f>IFERROR(
SUM(_xlfn._xlws.FILTER(Table_Main[VAT khấu trừ],
(Table_Main[Đơn Mua] = Table_DonMua[[#This Row],[Mã Đơn mua]])
)),0)</f>
        <v>0</v>
      </c>
      <c r="S46" s="535"/>
      <c r="T46" s="535"/>
      <c r="U46" s="120">
        <f xml:space="preserve">
IFERROR(Table_DonMua[[#This Row],[VAT hàng]]+Table_DonMua[[#This Row],[VAT hàng]]/Table_DonMua[[#This Row],[Tiền hàng]]*(Table_DonMua[[#This Row],[Phụ phí]]-Table_DonMua[[#This Row],[Khuyến mãi]]),0)</f>
        <v>0</v>
      </c>
      <c r="V46" s="419">
        <f>Table_DonMua[[#This Row],[Phải trả]]-Table_DonMua[[#This Row],[Tổng VAT khấu trừ]]</f>
        <v>4191908</v>
      </c>
      <c r="W46" s="417">
        <f xml:space="preserve">
IF(Table_DonMua[[#This Row],[Mã Đơn mua]]="TONKHODAU",0,
+Table_DonMua[[#This Row],[Tiền hàng]]+Table_DonMua[[#This Row],[Phụ phí]]-Table_DonMua[[#This Row],[Khuyến mãi]])</f>
        <v>4191908</v>
      </c>
      <c r="X46" s="528"/>
      <c r="Y4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3"/>
      <c r="AA46" s="242"/>
    </row>
    <row r="47" spans="1:27" ht="18" customHeight="1" x14ac:dyDescent="0.3">
      <c r="L47" s="250"/>
      <c r="M47" s="527" t="str">
        <f>CONCATENATE("NHAP-",Table_DonMua[[#This Row],[Mã Đối tác]],"-",MOD(YEAR(Table_DonMua[[#This Row],[Ngày lập]]),100)*10000+MONTH(Table_DonMua[[#This Row],[Ngày lập]])*100+DAY(Table_DonMua[[#This Row],[Ngày lập]]),"-",Table_DonMua[[#This Row],[TT]])</f>
        <v>NHAP-NCC2-250527-</v>
      </c>
      <c r="N47" s="415">
        <v>45804</v>
      </c>
      <c r="O47" s="534" t="s">
        <v>1169</v>
      </c>
      <c r="P47" s="534" t="s">
        <v>1165</v>
      </c>
      <c r="Q47" s="417">
        <f>IFERROR(
SUM(_xlfn._xlws.FILTER(Table_Main[Giá trị hàng nhập],
(Table_Main[Đơn Mua] = Table_DonMua[[#This Row],[Mã Đơn mua]])
)),0)</f>
        <v>3270208</v>
      </c>
      <c r="R47" s="417">
        <f>IFERROR(
SUM(_xlfn._xlws.FILTER(Table_Main[VAT khấu trừ],
(Table_Main[Đơn Mua] = Table_DonMua[[#This Row],[Mã Đơn mua]])
)),0)</f>
        <v>0</v>
      </c>
      <c r="S47" s="535"/>
      <c r="T47" s="535"/>
      <c r="U47" s="120">
        <f xml:space="preserve">
IFERROR(Table_DonMua[[#This Row],[VAT hàng]]+Table_DonMua[[#This Row],[VAT hàng]]/Table_DonMua[[#This Row],[Tiền hàng]]*(Table_DonMua[[#This Row],[Phụ phí]]-Table_DonMua[[#This Row],[Khuyến mãi]]),0)</f>
        <v>0</v>
      </c>
      <c r="V47" s="419">
        <f>Table_DonMua[[#This Row],[Phải trả]]-Table_DonMua[[#This Row],[Tổng VAT khấu trừ]]</f>
        <v>3270208</v>
      </c>
      <c r="W47" s="417">
        <f xml:space="preserve">
IF(Table_DonMua[[#This Row],[Mã Đơn mua]]="TONKHODAU",0,
+Table_DonMua[[#This Row],[Tiền hàng]]+Table_DonMua[[#This Row],[Phụ phí]]-Table_DonMua[[#This Row],[Khuyến mãi]])</f>
        <v>3270208</v>
      </c>
      <c r="X47" s="528"/>
      <c r="Y4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50"/>
      <c r="M48" s="527" t="str">
        <f>CONCATENATE("NHAP-",Table_DonMua[[#This Row],[Mã Đối tác]],"-",MOD(YEAR(Table_DonMua[[#This Row],[Ngày lập]]),100)*10000+MONTH(Table_DonMua[[#This Row],[Ngày lập]])*100+DAY(Table_DonMua[[#This Row],[Ngày lập]]),"-",Table_DonMua[[#This Row],[TT]])</f>
        <v>NHAP-NCC3-250525-</v>
      </c>
      <c r="N48" s="415">
        <v>45802</v>
      </c>
      <c r="O48" s="534" t="s">
        <v>1170</v>
      </c>
      <c r="P48" s="534" t="s">
        <v>1165</v>
      </c>
      <c r="Q48" s="417">
        <f>IFERROR(
SUM(_xlfn._xlws.FILTER(Table_Main[Giá trị hàng nhập],
(Table_Main[Đơn Mua] = Table_DonMua[[#This Row],[Mã Đơn mua]])
)),0)</f>
        <v>1326520</v>
      </c>
      <c r="R48" s="417">
        <f>IFERROR(
SUM(_xlfn._xlws.FILTER(Table_Main[VAT khấu trừ],
(Table_Main[Đơn Mua] = Table_DonMua[[#This Row],[Mã Đơn mua]])
)),0)</f>
        <v>0</v>
      </c>
      <c r="S48" s="535"/>
      <c r="T48" s="535"/>
      <c r="U48" s="120">
        <f xml:space="preserve">
IFERROR(Table_DonMua[[#This Row],[VAT hàng]]+Table_DonMua[[#This Row],[VAT hàng]]/Table_DonMua[[#This Row],[Tiền hàng]]*(Table_DonMua[[#This Row],[Phụ phí]]-Table_DonMua[[#This Row],[Khuyến mãi]]),0)</f>
        <v>0</v>
      </c>
      <c r="V48" s="419">
        <f>Table_DonMua[[#This Row],[Phải trả]]-Table_DonMua[[#This Row],[Tổng VAT khấu trừ]]</f>
        <v>1326520</v>
      </c>
      <c r="W48" s="417">
        <f xml:space="preserve">
IF(Table_DonMua[[#This Row],[Mã Đơn mua]]="TONKHODAU",0,
+Table_DonMua[[#This Row],[Tiền hàng]]+Table_DonMua[[#This Row],[Phụ phí]]-Table_DonMua[[#This Row],[Khuyến mãi]])</f>
        <v>1326520</v>
      </c>
      <c r="X48" s="528"/>
      <c r="Y4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50"/>
      <c r="M49" s="527" t="str">
        <f>CONCATENATE("NHAP-",Table_DonMua[[#This Row],[Mã Đối tác]],"-",MOD(YEAR(Table_DonMua[[#This Row],[Ngày lập]]),100)*10000+MONTH(Table_DonMua[[#This Row],[Ngày lập]])*100+DAY(Table_DonMua[[#This Row],[Ngày lập]]),"-",Table_DonMua[[#This Row],[TT]])</f>
        <v>NHAP-NCC2-250523-</v>
      </c>
      <c r="N49" s="415">
        <v>45800</v>
      </c>
      <c r="O49" s="534" t="s">
        <v>1169</v>
      </c>
      <c r="P49" s="534" t="s">
        <v>1165</v>
      </c>
      <c r="Q49" s="417">
        <f>IFERROR(
SUM(_xlfn._xlws.FILTER(Table_Main[Giá trị hàng nhập],
(Table_Main[Đơn Mua] = Table_DonMua[[#This Row],[Mã Đơn mua]])
)),0)</f>
        <v>2388672</v>
      </c>
      <c r="R49" s="417">
        <f>IFERROR(
SUM(_xlfn._xlws.FILTER(Table_Main[VAT khấu trừ],
(Table_Main[Đơn Mua] = Table_DonMua[[#This Row],[Mã Đơn mua]])
)),0)</f>
        <v>0</v>
      </c>
      <c r="S49" s="535"/>
      <c r="T49" s="535"/>
      <c r="U49" s="120">
        <f xml:space="preserve">
IFERROR(Table_DonMua[[#This Row],[VAT hàng]]+Table_DonMua[[#This Row],[VAT hàng]]/Table_DonMua[[#This Row],[Tiền hàng]]*(Table_DonMua[[#This Row],[Phụ phí]]-Table_DonMua[[#This Row],[Khuyến mãi]]),0)</f>
        <v>0</v>
      </c>
      <c r="V49" s="419">
        <f>Table_DonMua[[#This Row],[Phải trả]]-Table_DonMua[[#This Row],[Tổng VAT khấu trừ]]</f>
        <v>2388672</v>
      </c>
      <c r="W49" s="417">
        <f xml:space="preserve">
IF(Table_DonMua[[#This Row],[Mã Đơn mua]]="TONKHODAU",0,
+Table_DonMua[[#This Row],[Tiền hàng]]+Table_DonMua[[#This Row],[Phụ phí]]-Table_DonMua[[#This Row],[Khuyến mãi]])</f>
        <v>2388672</v>
      </c>
      <c r="X49" s="528"/>
      <c r="Y4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50"/>
      <c r="M50" s="527" t="str">
        <f>CONCATENATE("NHAP-",Table_DonMua[[#This Row],[Mã Đối tác]],"-",MOD(YEAR(Table_DonMua[[#This Row],[Ngày lập]]),100)*10000+MONTH(Table_DonMua[[#This Row],[Ngày lập]])*100+DAY(Table_DonMua[[#This Row],[Ngày lập]]),"-",Table_DonMua[[#This Row],[TT]])</f>
        <v>NHAP-NCC2-250520-</v>
      </c>
      <c r="N50" s="415">
        <v>45797</v>
      </c>
      <c r="O50" s="534" t="s">
        <v>1169</v>
      </c>
      <c r="P50" s="534" t="s">
        <v>1165</v>
      </c>
      <c r="Q50" s="417">
        <f>IFERROR(
SUM(_xlfn._xlws.FILTER(Table_Main[Giá trị hàng nhập],
(Table_Main[Đơn Mua] = Table_DonMua[[#This Row],[Mã Đơn mua]])
)),0)</f>
        <v>4980430</v>
      </c>
      <c r="R50" s="417">
        <f>IFERROR(
SUM(_xlfn._xlws.FILTER(Table_Main[VAT khấu trừ],
(Table_Main[Đơn Mua] = Table_DonMua[[#This Row],[Mã Đơn mua]])
)),0)</f>
        <v>0</v>
      </c>
      <c r="S50" s="535"/>
      <c r="T50" s="535"/>
      <c r="U50" s="120">
        <f xml:space="preserve">
IFERROR(Table_DonMua[[#This Row],[VAT hàng]]+Table_DonMua[[#This Row],[VAT hàng]]/Table_DonMua[[#This Row],[Tiền hàng]]*(Table_DonMua[[#This Row],[Phụ phí]]-Table_DonMua[[#This Row],[Khuyến mãi]]),0)</f>
        <v>0</v>
      </c>
      <c r="V50" s="419">
        <f>Table_DonMua[[#This Row],[Phải trả]]-Table_DonMua[[#This Row],[Tổng VAT khấu trừ]]</f>
        <v>4980430</v>
      </c>
      <c r="W50" s="417">
        <f xml:space="preserve">
IF(Table_DonMua[[#This Row],[Mã Đơn mua]]="TONKHODAU",0,
+Table_DonMua[[#This Row],[Tiền hàng]]+Table_DonMua[[#This Row],[Phụ phí]]-Table_DonMua[[#This Row],[Khuyến mãi]])</f>
        <v>4980430</v>
      </c>
      <c r="X50" s="528"/>
      <c r="Y5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50"/>
      <c r="M51" s="527" t="str">
        <f>CONCATENATE("NHAP-",Table_DonMua[[#This Row],[Mã Đối tác]],"-",MOD(YEAR(Table_DonMua[[#This Row],[Ngày lập]]),100)*10000+MONTH(Table_DonMua[[#This Row],[Ngày lập]])*100+DAY(Table_DonMua[[#This Row],[Ngày lập]]),"-",Table_DonMua[[#This Row],[TT]])</f>
        <v>NHAP-NCC2-250511-</v>
      </c>
      <c r="N51" s="415">
        <v>45788</v>
      </c>
      <c r="O51" s="534" t="s">
        <v>1169</v>
      </c>
      <c r="P51" s="534" t="s">
        <v>1165</v>
      </c>
      <c r="Q51" s="417">
        <f>IFERROR(
SUM(_xlfn._xlws.FILTER(Table_Main[Giá trị hàng nhập],
(Table_Main[Đơn Mua] = Table_DonMua[[#This Row],[Mã Đơn mua]])
)),0)</f>
        <v>540624</v>
      </c>
      <c r="R51" s="417">
        <f>IFERROR(
SUM(_xlfn._xlws.FILTER(Table_Main[VAT khấu trừ],
(Table_Main[Đơn Mua] = Table_DonMua[[#This Row],[Mã Đơn mua]])
)),0)</f>
        <v>0</v>
      </c>
      <c r="S51" s="535"/>
      <c r="T51" s="535"/>
      <c r="U51" s="120">
        <f xml:space="preserve">
IFERROR(Table_DonMua[[#This Row],[VAT hàng]]+Table_DonMua[[#This Row],[VAT hàng]]/Table_DonMua[[#This Row],[Tiền hàng]]*(Table_DonMua[[#This Row],[Phụ phí]]-Table_DonMua[[#This Row],[Khuyến mãi]]),0)</f>
        <v>0</v>
      </c>
      <c r="V51" s="419">
        <f>Table_DonMua[[#This Row],[Phải trả]]-Table_DonMua[[#This Row],[Tổng VAT khấu trừ]]</f>
        <v>540624</v>
      </c>
      <c r="W51" s="417">
        <f xml:space="preserve">
IF(Table_DonMua[[#This Row],[Mã Đơn mua]]="TONKHODAU",0,
+Table_DonMua[[#This Row],[Tiền hàng]]+Table_DonMua[[#This Row],[Phụ phí]]-Table_DonMua[[#This Row],[Khuyến mãi]])</f>
        <v>540624</v>
      </c>
      <c r="X51" s="528"/>
      <c r="Y5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50"/>
      <c r="M52" s="527" t="str">
        <f>CONCATENATE("NHAP-",Table_DonMua[[#This Row],[Mã Đối tác]],"-",MOD(YEAR(Table_DonMua[[#This Row],[Ngày lập]]),100)*10000+MONTH(Table_DonMua[[#This Row],[Ngày lập]])*100+DAY(Table_DonMua[[#This Row],[Ngày lập]]),"-",Table_DonMua[[#This Row],[TT]])</f>
        <v>NHAP-NCC1-250505-</v>
      </c>
      <c r="N52" s="415">
        <v>45782</v>
      </c>
      <c r="O52" s="534" t="s">
        <v>1168</v>
      </c>
      <c r="P52" s="534" t="s">
        <v>1165</v>
      </c>
      <c r="Q52" s="417">
        <f>IFERROR(
SUM(_xlfn._xlws.FILTER(Table_Main[Giá trị hàng nhập],
(Table_Main[Đơn Mua] = Table_DonMua[[#This Row],[Mã Đơn mua]])
)),0)</f>
        <v>2571280</v>
      </c>
      <c r="R52" s="417">
        <f>IFERROR(
SUM(_xlfn._xlws.FILTER(Table_Main[VAT khấu trừ],
(Table_Main[Đơn Mua] = Table_DonMua[[#This Row],[Mã Đơn mua]])
)),0)</f>
        <v>0</v>
      </c>
      <c r="S52" s="535"/>
      <c r="T52" s="535"/>
      <c r="U52" s="120">
        <f xml:space="preserve">
IFERROR(Table_DonMua[[#This Row],[VAT hàng]]+Table_DonMua[[#This Row],[VAT hàng]]/Table_DonMua[[#This Row],[Tiền hàng]]*(Table_DonMua[[#This Row],[Phụ phí]]-Table_DonMua[[#This Row],[Khuyến mãi]]),0)</f>
        <v>0</v>
      </c>
      <c r="V52" s="419">
        <f>Table_DonMua[[#This Row],[Phải trả]]-Table_DonMua[[#This Row],[Tổng VAT khấu trừ]]</f>
        <v>2571280</v>
      </c>
      <c r="W52" s="417">
        <f xml:space="preserve">
IF(Table_DonMua[[#This Row],[Mã Đơn mua]]="TONKHODAU",0,
+Table_DonMua[[#This Row],[Tiền hàng]]+Table_DonMua[[#This Row],[Phụ phí]]-Table_DonMua[[#This Row],[Khuyến mãi]])</f>
        <v>2571280</v>
      </c>
      <c r="X52" s="528"/>
      <c r="Y5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50"/>
      <c r="M53" s="527" t="str">
        <f>CONCATENATE("NHAP-",Table_DonMua[[#This Row],[Mã Đối tác]],"-",MOD(YEAR(Table_DonMua[[#This Row],[Ngày lập]]),100)*10000+MONTH(Table_DonMua[[#This Row],[Ngày lập]])*100+DAY(Table_DonMua[[#This Row],[Ngày lập]]),"-",Table_DonMua[[#This Row],[TT]])</f>
        <v>NHAP-NCC2-250501-</v>
      </c>
      <c r="N53" s="415">
        <v>45778</v>
      </c>
      <c r="O53" s="534" t="s">
        <v>1169</v>
      </c>
      <c r="P53" s="534" t="s">
        <v>1165</v>
      </c>
      <c r="Q53" s="417">
        <f>IFERROR(
SUM(_xlfn._xlws.FILTER(Table_Main[Giá trị hàng nhập],
(Table_Main[Đơn Mua] = Table_DonMua[[#This Row],[Mã Đơn mua]])
)),0)</f>
        <v>1367328</v>
      </c>
      <c r="R53" s="417">
        <f>IFERROR(
SUM(_xlfn._xlws.FILTER(Table_Main[VAT khấu trừ],
(Table_Main[Đơn Mua] = Table_DonMua[[#This Row],[Mã Đơn mua]])
)),0)</f>
        <v>0</v>
      </c>
      <c r="S53" s="535"/>
      <c r="T53" s="535"/>
      <c r="U53" s="120">
        <f xml:space="preserve">
IFERROR(Table_DonMua[[#This Row],[VAT hàng]]+Table_DonMua[[#This Row],[VAT hàng]]/Table_DonMua[[#This Row],[Tiền hàng]]*(Table_DonMua[[#This Row],[Phụ phí]]-Table_DonMua[[#This Row],[Khuyến mãi]]),0)</f>
        <v>0</v>
      </c>
      <c r="V53" s="419">
        <f>Table_DonMua[[#This Row],[Phải trả]]-Table_DonMua[[#This Row],[Tổng VAT khấu trừ]]</f>
        <v>1367328</v>
      </c>
      <c r="W53" s="417">
        <f xml:space="preserve">
IF(Table_DonMua[[#This Row],[Mã Đơn mua]]="TONKHODAU",0,
+Table_DonMua[[#This Row],[Tiền hàng]]+Table_DonMua[[#This Row],[Phụ phí]]-Table_DonMua[[#This Row],[Khuyến mãi]])</f>
        <v>1367328</v>
      </c>
      <c r="X53" s="528"/>
      <c r="Y5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50"/>
      <c r="M54" s="527" t="str">
        <f>CONCATENATE("NHAP-",Table_DonMua[[#This Row],[Mã Đối tác]],"-",MOD(YEAR(Table_DonMua[[#This Row],[Ngày lập]]),100)*10000+MONTH(Table_DonMua[[#This Row],[Ngày lập]])*100+DAY(Table_DonMua[[#This Row],[Ngày lập]]),"-",Table_DonMua[[#This Row],[TT]])</f>
        <v>NHAP-NCC1-250428-</v>
      </c>
      <c r="N54" s="415">
        <v>45775</v>
      </c>
      <c r="O54" s="534" t="s">
        <v>1168</v>
      </c>
      <c r="P54" s="534" t="s">
        <v>1165</v>
      </c>
      <c r="Q54" s="417">
        <f>IFERROR(
SUM(_xlfn._xlws.FILTER(Table_Main[Giá trị hàng nhập],
(Table_Main[Đơn Mua] = Table_DonMua[[#This Row],[Mã Đơn mua]])
)),0)</f>
        <v>948135</v>
      </c>
      <c r="R54" s="417">
        <f>IFERROR(
SUM(_xlfn._xlws.FILTER(Table_Main[VAT khấu trừ],
(Table_Main[Đơn Mua] = Table_DonMua[[#This Row],[Mã Đơn mua]])
)),0)</f>
        <v>0</v>
      </c>
      <c r="S54" s="535"/>
      <c r="T54" s="535"/>
      <c r="U54" s="120">
        <f xml:space="preserve">
IFERROR(Table_DonMua[[#This Row],[VAT hàng]]+Table_DonMua[[#This Row],[VAT hàng]]/Table_DonMua[[#This Row],[Tiền hàng]]*(Table_DonMua[[#This Row],[Phụ phí]]-Table_DonMua[[#This Row],[Khuyến mãi]]),0)</f>
        <v>0</v>
      </c>
      <c r="V54" s="419">
        <f>Table_DonMua[[#This Row],[Phải trả]]-Table_DonMua[[#This Row],[Tổng VAT khấu trừ]]</f>
        <v>948135</v>
      </c>
      <c r="W54" s="417">
        <f xml:space="preserve">
IF(Table_DonMua[[#This Row],[Mã Đơn mua]]="TONKHODAU",0,
+Table_DonMua[[#This Row],[Tiền hàng]]+Table_DonMua[[#This Row],[Phụ phí]]-Table_DonMua[[#This Row],[Khuyến mãi]])</f>
        <v>948135</v>
      </c>
      <c r="X54" s="528"/>
      <c r="Y5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50"/>
      <c r="M55" s="527" t="str">
        <f>CONCATENATE("NHAP-",Table_DonMua[[#This Row],[Mã Đối tác]],"-",MOD(YEAR(Table_DonMua[[#This Row],[Ngày lập]]),100)*10000+MONTH(Table_DonMua[[#This Row],[Ngày lập]])*100+DAY(Table_DonMua[[#This Row],[Ngày lập]]),"-",Table_DonMua[[#This Row],[TT]])</f>
        <v>NHAP-NCC2-250425-</v>
      </c>
      <c r="N55" s="415">
        <v>45772</v>
      </c>
      <c r="O55" s="534" t="s">
        <v>1169</v>
      </c>
      <c r="P55" s="534" t="s">
        <v>1165</v>
      </c>
      <c r="Q55" s="417">
        <f>IFERROR(
SUM(_xlfn._xlws.FILTER(Table_Main[Giá trị hàng nhập],
(Table_Main[Đơn Mua] = Table_DonMua[[#This Row],[Mã Đơn mua]])
)),0)</f>
        <v>3671875</v>
      </c>
      <c r="R55" s="417">
        <f>IFERROR(
SUM(_xlfn._xlws.FILTER(Table_Main[VAT khấu trừ],
(Table_Main[Đơn Mua] = Table_DonMua[[#This Row],[Mã Đơn mua]])
)),0)</f>
        <v>0</v>
      </c>
      <c r="S55" s="535"/>
      <c r="T55" s="535"/>
      <c r="U55" s="120">
        <f xml:space="preserve">
IFERROR(Table_DonMua[[#This Row],[VAT hàng]]+Table_DonMua[[#This Row],[VAT hàng]]/Table_DonMua[[#This Row],[Tiền hàng]]*(Table_DonMua[[#This Row],[Phụ phí]]-Table_DonMua[[#This Row],[Khuyến mãi]]),0)</f>
        <v>0</v>
      </c>
      <c r="V55" s="419">
        <f>Table_DonMua[[#This Row],[Phải trả]]-Table_DonMua[[#This Row],[Tổng VAT khấu trừ]]</f>
        <v>3671875</v>
      </c>
      <c r="W55" s="417">
        <f xml:space="preserve">
IF(Table_DonMua[[#This Row],[Mã Đơn mua]]="TONKHODAU",0,
+Table_DonMua[[#This Row],[Tiền hàng]]+Table_DonMua[[#This Row],[Phụ phí]]-Table_DonMua[[#This Row],[Khuyến mãi]])</f>
        <v>3671875</v>
      </c>
      <c r="X55" s="528"/>
      <c r="Y55"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50"/>
      <c r="M56" s="527" t="str">
        <f>CONCATENATE("NHAP-",Table_DonMua[[#This Row],[Mã Đối tác]],"-",MOD(YEAR(Table_DonMua[[#This Row],[Ngày lập]]),100)*10000+MONTH(Table_DonMua[[#This Row],[Ngày lập]])*100+DAY(Table_DonMua[[#This Row],[Ngày lập]]),"-",Table_DonMua[[#This Row],[TT]])</f>
        <v>NHAP-NCC3-250420-</v>
      </c>
      <c r="N56" s="415">
        <v>45767</v>
      </c>
      <c r="O56" s="534" t="s">
        <v>1170</v>
      </c>
      <c r="P56" s="534" t="s">
        <v>1165</v>
      </c>
      <c r="Q56" s="417">
        <f>IFERROR(
SUM(_xlfn._xlws.FILTER(Table_Main[Giá trị hàng nhập],
(Table_Main[Đơn Mua] = Table_DonMua[[#This Row],[Mã Đơn mua]])
)),0)</f>
        <v>1584286</v>
      </c>
      <c r="R56" s="417">
        <f>IFERROR(
SUM(_xlfn._xlws.FILTER(Table_Main[VAT khấu trừ],
(Table_Main[Đơn Mua] = Table_DonMua[[#This Row],[Mã Đơn mua]])
)),0)</f>
        <v>0</v>
      </c>
      <c r="S56" s="535"/>
      <c r="T56" s="535"/>
      <c r="U56" s="120">
        <f xml:space="preserve">
IFERROR(Table_DonMua[[#This Row],[VAT hàng]]+Table_DonMua[[#This Row],[VAT hàng]]/Table_DonMua[[#This Row],[Tiền hàng]]*(Table_DonMua[[#This Row],[Phụ phí]]-Table_DonMua[[#This Row],[Khuyến mãi]]),0)</f>
        <v>0</v>
      </c>
      <c r="V56" s="419">
        <f>Table_DonMua[[#This Row],[Phải trả]]-Table_DonMua[[#This Row],[Tổng VAT khấu trừ]]</f>
        <v>1584286</v>
      </c>
      <c r="W56" s="417">
        <f xml:space="preserve">
IF(Table_DonMua[[#This Row],[Mã Đơn mua]]="TONKHODAU",0,
+Table_DonMua[[#This Row],[Tiền hàng]]+Table_DonMua[[#This Row],[Phụ phí]]-Table_DonMua[[#This Row],[Khuyến mãi]])</f>
        <v>1584286</v>
      </c>
      <c r="X56" s="528"/>
      <c r="Y5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50"/>
      <c r="M57" s="527" t="str">
        <f>CONCATENATE("NHAP-",Table_DonMua[[#This Row],[Mã Đối tác]],"-",MOD(YEAR(Table_DonMua[[#This Row],[Ngày lập]]),100)*10000+MONTH(Table_DonMua[[#This Row],[Ngày lập]])*100+DAY(Table_DonMua[[#This Row],[Ngày lập]]),"-",Table_DonMua[[#This Row],[TT]])</f>
        <v>NHAP-NCC1-250417-</v>
      </c>
      <c r="N57" s="415">
        <v>45764</v>
      </c>
      <c r="O57" s="534" t="s">
        <v>1168</v>
      </c>
      <c r="P57" s="534" t="s">
        <v>1165</v>
      </c>
      <c r="Q57" s="417">
        <f>IFERROR(
SUM(_xlfn._xlws.FILTER(Table_Main[Giá trị hàng nhập],
(Table_Main[Đơn Mua] = Table_DonMua[[#This Row],[Mã Đơn mua]])
)),0)</f>
        <v>730769</v>
      </c>
      <c r="R57" s="417">
        <f>IFERROR(
SUM(_xlfn._xlws.FILTER(Table_Main[VAT khấu trừ],
(Table_Main[Đơn Mua] = Table_DonMua[[#This Row],[Mã Đơn mua]])
)),0)</f>
        <v>0</v>
      </c>
      <c r="S57" s="535"/>
      <c r="T57" s="535"/>
      <c r="U57" s="120">
        <f xml:space="preserve">
IFERROR(Table_DonMua[[#This Row],[VAT hàng]]+Table_DonMua[[#This Row],[VAT hàng]]/Table_DonMua[[#This Row],[Tiền hàng]]*(Table_DonMua[[#This Row],[Phụ phí]]-Table_DonMua[[#This Row],[Khuyến mãi]]),0)</f>
        <v>0</v>
      </c>
      <c r="V57" s="419">
        <f>Table_DonMua[[#This Row],[Phải trả]]-Table_DonMua[[#This Row],[Tổng VAT khấu trừ]]</f>
        <v>730769</v>
      </c>
      <c r="W57" s="417">
        <f xml:space="preserve">
IF(Table_DonMua[[#This Row],[Mã Đơn mua]]="TONKHODAU",0,
+Table_DonMua[[#This Row],[Tiền hàng]]+Table_DonMua[[#This Row],[Phụ phí]]-Table_DonMua[[#This Row],[Khuyến mãi]])</f>
        <v>730769</v>
      </c>
      <c r="X57" s="528"/>
      <c r="Y5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50"/>
      <c r="M58" s="527" t="str">
        <f>CONCATENATE("NHAP-",Table_DonMua[[#This Row],[Mã Đối tác]],"-",MOD(YEAR(Table_DonMua[[#This Row],[Ngày lập]]),100)*10000+MONTH(Table_DonMua[[#This Row],[Ngày lập]])*100+DAY(Table_DonMua[[#This Row],[Ngày lập]]),"-",Table_DonMua[[#This Row],[TT]])</f>
        <v>NHAP-NCC2-250328-</v>
      </c>
      <c r="N58" s="415">
        <v>45744</v>
      </c>
      <c r="O58" s="534" t="s">
        <v>1169</v>
      </c>
      <c r="P58" s="534" t="s">
        <v>1165</v>
      </c>
      <c r="Q58" s="417">
        <f>IFERROR(
SUM(_xlfn._xlws.FILTER(Table_Main[Giá trị hàng nhập],
(Table_Main[Đơn Mua] = Table_DonMua[[#This Row],[Mã Đơn mua]])
)),0)</f>
        <v>885396</v>
      </c>
      <c r="R58" s="417">
        <f>IFERROR(
SUM(_xlfn._xlws.FILTER(Table_Main[VAT khấu trừ],
(Table_Main[Đơn Mua] = Table_DonMua[[#This Row],[Mã Đơn mua]])
)),0)</f>
        <v>0</v>
      </c>
      <c r="S58" s="535"/>
      <c r="T58" s="535"/>
      <c r="U58" s="120">
        <f xml:space="preserve">
IFERROR(Table_DonMua[[#This Row],[VAT hàng]]+Table_DonMua[[#This Row],[VAT hàng]]/Table_DonMua[[#This Row],[Tiền hàng]]*(Table_DonMua[[#This Row],[Phụ phí]]-Table_DonMua[[#This Row],[Khuyến mãi]]),0)</f>
        <v>0</v>
      </c>
      <c r="V58" s="419">
        <f>Table_DonMua[[#This Row],[Phải trả]]-Table_DonMua[[#This Row],[Tổng VAT khấu trừ]]</f>
        <v>885396</v>
      </c>
      <c r="W58" s="417">
        <f xml:space="preserve">
IF(Table_DonMua[[#This Row],[Mã Đơn mua]]="TONKHODAU",0,
+Table_DonMua[[#This Row],[Tiền hàng]]+Table_DonMua[[#This Row],[Phụ phí]]-Table_DonMua[[#This Row],[Khuyến mãi]])</f>
        <v>885396</v>
      </c>
      <c r="X58" s="528"/>
      <c r="Y5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50"/>
      <c r="M59" s="527" t="str">
        <f>CONCATENATE("NHAP-",Table_DonMua[[#This Row],[Mã Đối tác]],"-",MOD(YEAR(Table_DonMua[[#This Row],[Ngày lập]]),100)*10000+MONTH(Table_DonMua[[#This Row],[Ngày lập]])*100+DAY(Table_DonMua[[#This Row],[Ngày lập]]),"-",Table_DonMua[[#This Row],[TT]])</f>
        <v>NHAP-NCC1-250321-</v>
      </c>
      <c r="N59" s="415">
        <v>45737</v>
      </c>
      <c r="O59" s="534" t="s">
        <v>1168</v>
      </c>
      <c r="P59" s="534" t="s">
        <v>1165</v>
      </c>
      <c r="Q59" s="417">
        <f>IFERROR(
SUM(_xlfn._xlws.FILTER(Table_Main[Giá trị hàng nhập],
(Table_Main[Đơn Mua] = Table_DonMua[[#This Row],[Mã Đơn mua]])
)),0)</f>
        <v>790272</v>
      </c>
      <c r="R59" s="417">
        <f>IFERROR(
SUM(_xlfn._xlws.FILTER(Table_Main[VAT khấu trừ],
(Table_Main[Đơn Mua] = Table_DonMua[[#This Row],[Mã Đơn mua]])
)),0)</f>
        <v>0</v>
      </c>
      <c r="S59" s="535"/>
      <c r="T59" s="535"/>
      <c r="U59" s="120">
        <f xml:space="preserve">
IFERROR(Table_DonMua[[#This Row],[VAT hàng]]+Table_DonMua[[#This Row],[VAT hàng]]/Table_DonMua[[#This Row],[Tiền hàng]]*(Table_DonMua[[#This Row],[Phụ phí]]-Table_DonMua[[#This Row],[Khuyến mãi]]),0)</f>
        <v>0</v>
      </c>
      <c r="V59" s="419">
        <f>Table_DonMua[[#This Row],[Phải trả]]-Table_DonMua[[#This Row],[Tổng VAT khấu trừ]]</f>
        <v>790272</v>
      </c>
      <c r="W59" s="417">
        <f xml:space="preserve">
IF(Table_DonMua[[#This Row],[Mã Đơn mua]]="TONKHODAU",0,
+Table_DonMua[[#This Row],[Tiền hàng]]+Table_DonMua[[#This Row],[Phụ phí]]-Table_DonMua[[#This Row],[Khuyến mãi]])</f>
        <v>790272</v>
      </c>
      <c r="X59" s="528"/>
      <c r="Y5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50"/>
      <c r="M60" s="527" t="str">
        <f>CONCATENATE("NHAP-",Table_DonMua[[#This Row],[Mã Đối tác]],"-",MOD(YEAR(Table_DonMua[[#This Row],[Ngày lập]]),100)*10000+MONTH(Table_DonMua[[#This Row],[Ngày lập]])*100+DAY(Table_DonMua[[#This Row],[Ngày lập]]),"-",Table_DonMua[[#This Row],[TT]])</f>
        <v>NHAP-NCC1-250316-</v>
      </c>
      <c r="N60" s="415">
        <v>45732</v>
      </c>
      <c r="O60" s="534" t="s">
        <v>1168</v>
      </c>
      <c r="P60" s="534" t="s">
        <v>1165</v>
      </c>
      <c r="Q60" s="417">
        <f>IFERROR(
SUM(_xlfn._xlws.FILTER(Table_Main[Giá trị hàng nhập],
(Table_Main[Đơn Mua] = Table_DonMua[[#This Row],[Mã Đơn mua]])
)),0)</f>
        <v>3197782</v>
      </c>
      <c r="R60" s="417">
        <f>IFERROR(
SUM(_xlfn._xlws.FILTER(Table_Main[VAT khấu trừ],
(Table_Main[Đơn Mua] = Table_DonMua[[#This Row],[Mã Đơn mua]])
)),0)</f>
        <v>0</v>
      </c>
      <c r="S60" s="535"/>
      <c r="T60" s="535"/>
      <c r="U60" s="120">
        <f xml:space="preserve">
IFERROR(Table_DonMua[[#This Row],[VAT hàng]]+Table_DonMua[[#This Row],[VAT hàng]]/Table_DonMua[[#This Row],[Tiền hàng]]*(Table_DonMua[[#This Row],[Phụ phí]]-Table_DonMua[[#This Row],[Khuyến mãi]]),0)</f>
        <v>0</v>
      </c>
      <c r="V60" s="419">
        <f>Table_DonMua[[#This Row],[Phải trả]]-Table_DonMua[[#This Row],[Tổng VAT khấu trừ]]</f>
        <v>3197782</v>
      </c>
      <c r="W60" s="417">
        <f xml:space="preserve">
IF(Table_DonMua[[#This Row],[Mã Đơn mua]]="TONKHODAU",0,
+Table_DonMua[[#This Row],[Tiền hàng]]+Table_DonMua[[#This Row],[Phụ phí]]-Table_DonMua[[#This Row],[Khuyến mãi]])</f>
        <v>3197782</v>
      </c>
      <c r="X60" s="528"/>
      <c r="Y6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50"/>
      <c r="M61" s="527" t="str">
        <f>CONCATENATE("NHAP-",Table_DonMua[[#This Row],[Mã Đối tác]],"-",MOD(YEAR(Table_DonMua[[#This Row],[Ngày lập]]),100)*10000+MONTH(Table_DonMua[[#This Row],[Ngày lập]])*100+DAY(Table_DonMua[[#This Row],[Ngày lập]]),"-",Table_DonMua[[#This Row],[TT]])</f>
        <v>NHAP-NCC2-250314-</v>
      </c>
      <c r="N61" s="415">
        <v>45730</v>
      </c>
      <c r="O61" s="534" t="s">
        <v>1169</v>
      </c>
      <c r="P61" s="534" t="s">
        <v>1165</v>
      </c>
      <c r="Q61" s="417">
        <f>IFERROR(
SUM(_xlfn._xlws.FILTER(Table_Main[Giá trị hàng nhập],
(Table_Main[Đơn Mua] = Table_DonMua[[#This Row],[Mã Đơn mua]])
)),0)</f>
        <v>1518566</v>
      </c>
      <c r="R61" s="417">
        <f>IFERROR(
SUM(_xlfn._xlws.FILTER(Table_Main[VAT khấu trừ],
(Table_Main[Đơn Mua] = Table_DonMua[[#This Row],[Mã Đơn mua]])
)),0)</f>
        <v>0</v>
      </c>
      <c r="S61" s="535"/>
      <c r="T61" s="535"/>
      <c r="U61" s="120">
        <f xml:space="preserve">
IFERROR(Table_DonMua[[#This Row],[VAT hàng]]+Table_DonMua[[#This Row],[VAT hàng]]/Table_DonMua[[#This Row],[Tiền hàng]]*(Table_DonMua[[#This Row],[Phụ phí]]-Table_DonMua[[#This Row],[Khuyến mãi]]),0)</f>
        <v>0</v>
      </c>
      <c r="V61" s="419">
        <f>Table_DonMua[[#This Row],[Phải trả]]-Table_DonMua[[#This Row],[Tổng VAT khấu trừ]]</f>
        <v>1518566</v>
      </c>
      <c r="W61" s="417">
        <f xml:space="preserve">
IF(Table_DonMua[[#This Row],[Mã Đơn mua]]="TONKHODAU",0,
+Table_DonMua[[#This Row],[Tiền hàng]]+Table_DonMua[[#This Row],[Phụ phí]]-Table_DonMua[[#This Row],[Khuyến mãi]])</f>
        <v>1518566</v>
      </c>
      <c r="X61" s="528"/>
      <c r="Y6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50"/>
      <c r="M62" s="527" t="str">
        <f>CONCATENATE("NHAP-",Table_DonMua[[#This Row],[Mã Đối tác]],"-",MOD(YEAR(Table_DonMua[[#This Row],[Ngày lập]]),100)*10000+MONTH(Table_DonMua[[#This Row],[Ngày lập]])*100+DAY(Table_DonMua[[#This Row],[Ngày lập]]),"-",Table_DonMua[[#This Row],[TT]])</f>
        <v>NHAP-NCC3-250312-</v>
      </c>
      <c r="N62" s="415">
        <v>45728</v>
      </c>
      <c r="O62" s="534" t="s">
        <v>1170</v>
      </c>
      <c r="P62" s="534" t="s">
        <v>1165</v>
      </c>
      <c r="Q62" s="417">
        <f>IFERROR(
SUM(_xlfn._xlws.FILTER(Table_Main[Giá trị hàng nhập],
(Table_Main[Đơn Mua] = Table_DonMua[[#This Row],[Mã Đơn mua]])
)),0)</f>
        <v>836292</v>
      </c>
      <c r="R62" s="417">
        <f>IFERROR(
SUM(_xlfn._xlws.FILTER(Table_Main[VAT khấu trừ],
(Table_Main[Đơn Mua] = Table_DonMua[[#This Row],[Mã Đơn mua]])
)),0)</f>
        <v>0</v>
      </c>
      <c r="S62" s="535"/>
      <c r="T62" s="535"/>
      <c r="U62" s="120">
        <f xml:space="preserve">
IFERROR(Table_DonMua[[#This Row],[VAT hàng]]+Table_DonMua[[#This Row],[VAT hàng]]/Table_DonMua[[#This Row],[Tiền hàng]]*(Table_DonMua[[#This Row],[Phụ phí]]-Table_DonMua[[#This Row],[Khuyến mãi]]),0)</f>
        <v>0</v>
      </c>
      <c r="V62" s="419">
        <f>Table_DonMua[[#This Row],[Phải trả]]-Table_DonMua[[#This Row],[Tổng VAT khấu trừ]]</f>
        <v>836292</v>
      </c>
      <c r="W62" s="417">
        <f xml:space="preserve">
IF(Table_DonMua[[#This Row],[Mã Đơn mua]]="TONKHODAU",0,
+Table_DonMua[[#This Row],[Tiền hàng]]+Table_DonMua[[#This Row],[Phụ phí]]-Table_DonMua[[#This Row],[Khuyến mãi]])</f>
        <v>836292</v>
      </c>
      <c r="X62" s="528"/>
      <c r="Y6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50"/>
      <c r="M63" s="527" t="str">
        <f>CONCATENATE("NHAP-",Table_DonMua[[#This Row],[Mã Đối tác]],"-",MOD(YEAR(Table_DonMua[[#This Row],[Ngày lập]]),100)*10000+MONTH(Table_DonMua[[#This Row],[Ngày lập]])*100+DAY(Table_DonMua[[#This Row],[Ngày lập]]),"-",Table_DonMua[[#This Row],[TT]])</f>
        <v>NHAP-NCC1-250306-</v>
      </c>
      <c r="N63" s="415">
        <v>45722</v>
      </c>
      <c r="O63" s="534" t="s">
        <v>1168</v>
      </c>
      <c r="P63" s="534" t="s">
        <v>1165</v>
      </c>
      <c r="Q63" s="417">
        <f>IFERROR(
SUM(_xlfn._xlws.FILTER(Table_Main[Giá trị hàng nhập],
(Table_Main[Đơn Mua] = Table_DonMua[[#This Row],[Mã Đơn mua]])
)),0)</f>
        <v>42000000</v>
      </c>
      <c r="R63" s="417">
        <f>IFERROR(
SUM(_xlfn._xlws.FILTER(Table_Main[VAT khấu trừ],
(Table_Main[Đơn Mua] = Table_DonMua[[#This Row],[Mã Đơn mua]])
)),0)</f>
        <v>0</v>
      </c>
      <c r="S63" s="535"/>
      <c r="T63" s="535"/>
      <c r="U63" s="120">
        <f xml:space="preserve">
IFERROR(Table_DonMua[[#This Row],[VAT hàng]]+Table_DonMua[[#This Row],[VAT hàng]]/Table_DonMua[[#This Row],[Tiền hàng]]*(Table_DonMua[[#This Row],[Phụ phí]]-Table_DonMua[[#This Row],[Khuyến mãi]]),0)</f>
        <v>0</v>
      </c>
      <c r="V63" s="419">
        <f>Table_DonMua[[#This Row],[Phải trả]]-Table_DonMua[[#This Row],[Tổng VAT khấu trừ]]</f>
        <v>42000000</v>
      </c>
      <c r="W63" s="417">
        <f xml:space="preserve">
IF(Table_DonMua[[#This Row],[Mã Đơn mua]]="TONKHODAU",0,
+Table_DonMua[[#This Row],[Tiền hàng]]+Table_DonMua[[#This Row],[Phụ phí]]-Table_DonMua[[#This Row],[Khuyến mãi]])</f>
        <v>42000000</v>
      </c>
      <c r="X63" s="528"/>
      <c r="Y6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50"/>
      <c r="M64" s="527" t="str">
        <f>CONCATENATE("NHAP-",Table_DonMua[[#This Row],[Mã Đối tác]],"-",MOD(YEAR(Table_DonMua[[#This Row],[Ngày lập]]),100)*10000+MONTH(Table_DonMua[[#This Row],[Ngày lập]])*100+DAY(Table_DonMua[[#This Row],[Ngày lập]]),"-",Table_DonMua[[#This Row],[TT]])</f>
        <v>NHAP-NCC2-250304-</v>
      </c>
      <c r="N64" s="415">
        <v>45720</v>
      </c>
      <c r="O64" s="534" t="s">
        <v>1169</v>
      </c>
      <c r="P64" s="534" t="s">
        <v>1165</v>
      </c>
      <c r="Q64" s="417">
        <f>IFERROR(
SUM(_xlfn._xlws.FILTER(Table_Main[Giá trị hàng nhập],
(Table_Main[Đơn Mua] = Table_DonMua[[#This Row],[Mã Đơn mua]])
)),0)</f>
        <v>30000000</v>
      </c>
      <c r="R64" s="417">
        <f>IFERROR(
SUM(_xlfn._xlws.FILTER(Table_Main[VAT khấu trừ],
(Table_Main[Đơn Mua] = Table_DonMua[[#This Row],[Mã Đơn mua]])
)),0)</f>
        <v>0</v>
      </c>
      <c r="S64" s="535"/>
      <c r="T64" s="535"/>
      <c r="U64" s="120">
        <f xml:space="preserve">
IFERROR(Table_DonMua[[#This Row],[VAT hàng]]+Table_DonMua[[#This Row],[VAT hàng]]/Table_DonMua[[#This Row],[Tiền hàng]]*(Table_DonMua[[#This Row],[Phụ phí]]-Table_DonMua[[#This Row],[Khuyến mãi]]),0)</f>
        <v>0</v>
      </c>
      <c r="V64" s="419">
        <f>Table_DonMua[[#This Row],[Phải trả]]-Table_DonMua[[#This Row],[Tổng VAT khấu trừ]]</f>
        <v>30000000</v>
      </c>
      <c r="W64" s="417">
        <f xml:space="preserve">
IF(Table_DonMua[[#This Row],[Mã Đơn mua]]="TONKHODAU",0,
+Table_DonMua[[#This Row],[Tiền hàng]]+Table_DonMua[[#This Row],[Phụ phí]]-Table_DonMua[[#This Row],[Khuyến mãi]])</f>
        <v>30000000</v>
      </c>
      <c r="X64" s="528"/>
      <c r="Y6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8"/>
      <c r="M65" s="51" t="s">
        <v>932</v>
      </c>
      <c r="N65" s="415"/>
      <c r="O65" s="534"/>
      <c r="P65" s="534"/>
      <c r="Q65" s="417">
        <f>IFERROR(
SUM(_xlfn._xlws.FILTER(Table_Main[Giá trị hàng nhập],
(Table_Main[Đơn Mua] = Table_DonMua[[#This Row],[Mã Đơn mua]])
)),0)</f>
        <v>0</v>
      </c>
      <c r="R65" s="417">
        <f>IFERROR(
SUM(_xlfn._xlws.FILTER(Table_Main[VAT khấu trừ],
(Table_Main[Đơn Mua] = Table_DonMua[[#This Row],[Mã Đơn mua]])
)),0)</f>
        <v>0</v>
      </c>
      <c r="S65" s="489"/>
      <c r="T65" s="489"/>
      <c r="U65" s="120">
        <f xml:space="preserve">
IFERROR(Table_DonMua[[#This Row],[VAT hàng]]+Table_DonMua[[#This Row],[VAT hàng]]/Table_DonMua[[#This Row],[Tiền hàng]]*(Table_DonMua[[#This Row],[Phụ phí]]-Table_DonMua[[#This Row],[Khuyến mãi]]),0)</f>
        <v>0</v>
      </c>
      <c r="V65" s="419">
        <f>Table_DonMua[[#This Row],[Phải trả]]-Table_DonMua[[#This Row],[Tổng VAT khấu trừ]]</f>
        <v>0</v>
      </c>
      <c r="W65" s="419">
        <f xml:space="preserve">
IF(Table_DonMua[[#This Row],[Mã Đơn mua]]="TONKHODAU",0,
+Table_DonMua[[#This Row],[Tiền hàng]]+Table_DonMua[[#This Row],[Phụ phí]]-Table_DonMua[[#This Row],[Khuyến mãi]])</f>
        <v>0</v>
      </c>
      <c r="X65" s="299"/>
      <c r="Y65" s="263">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whjDO07CMU9hrUPUnfChv0zO1t2IOosw2VqGWaM9AETxctPZiXxrlX6RmlPd/TfD/EOCsRWU3pVW0hXgMuuzVw==" saltValue="d5/SY1yddnHCrAobnYqYKg=="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68" priority="669"/>
  </conditionalFormatting>
  <conditionalFormatting sqref="G4:H4">
    <cfRule type="expression" dxfId="46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list" allowBlank="1" showInputMessage="1" showErrorMessage="1" xr:uid="{8FB0D184-06B3-4B97-AF93-3B1862948ABA}">
          <x14:formula1>
            <xm:f>_xlfn.ANCHORARRAY(Sheet_DoiTac!$E3)</xm:f>
          </x14:formula1>
          <xm:sqref>C3</xm:sqref>
        </x14:dataValidation>
        <x14:dataValidation type="custom" allowBlank="1" showInputMessage="1" showErrorMessage="1" xr:uid="{4069C7E7-F157-4B96-B1B8-544BFDCBA7F1}">
          <x14:formula1>
            <xm:f>H11&lt;&gt;Sheet_DonBan!Z:Z</xm:f>
          </x14:formula1>
          <xm:sqref>H11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X71"/>
  <sheetViews>
    <sheetView showGridLines="0" topLeftCell="Z1" zoomScaleNormal="100" workbookViewId="0">
      <selection activeCell="AM52" sqref="AM52"/>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5" width="9" style="7" customWidth="1" outlineLevel="1"/>
    <col min="26" max="26" width="9" style="28" customWidth="1" outlineLevel="1"/>
    <col min="27" max="27" width="9" style="7" customWidth="1" outlineLevel="1"/>
    <col min="28" max="28" width="14.25" style="7" bestFit="1" customWidth="1"/>
    <col min="29" max="29" width="13.375" style="7" bestFit="1" customWidth="1"/>
    <col min="30" max="30" width="9" style="7" customWidth="1"/>
    <col min="31" max="31" width="9" style="28" customWidth="1" outlineLevel="1"/>
    <col min="32" max="32" width="14.125" style="28" customWidth="1" outlineLevel="1"/>
    <col min="33" max="33" width="9.625" style="28" customWidth="1" outlineLevel="1"/>
    <col min="34" max="35" width="16.5" style="28" customWidth="1"/>
    <col min="36" max="40" width="15.625" style="7" customWidth="1" outlineLevel="1"/>
    <col min="41" max="41" width="6.75" style="7" bestFit="1" customWidth="1" collapsed="1"/>
    <col min="42" max="48" width="6.75" style="7" hidden="1" customWidth="1" outlineLevel="1"/>
    <col min="49" max="49" width="9" style="7" customWidth="1"/>
    <col min="50" max="50" width="9" style="38"/>
    <col min="51" max="16384" width="9" style="7"/>
  </cols>
  <sheetData>
    <row r="1" spans="1:50" s="21" customFormat="1" ht="37.5" customHeight="1" x14ac:dyDescent="0.3">
      <c r="A1" s="249"/>
      <c r="B1" s="56" t="str">
        <f>EULA!$B11</f>
        <v>Công ty ABC XYZ</v>
      </c>
      <c r="C1" s="282"/>
      <c r="D1" s="282"/>
      <c r="E1" s="249"/>
      <c r="F1" s="282"/>
      <c r="G1" s="282"/>
      <c r="H1" s="282"/>
      <c r="I1" s="282"/>
      <c r="J1" s="282"/>
      <c r="K1" s="282"/>
      <c r="L1" s="282"/>
      <c r="M1" s="282"/>
      <c r="N1" s="282"/>
      <c r="O1" s="282"/>
      <c r="P1" s="282"/>
      <c r="Q1" s="57" t="s">
        <v>723</v>
      </c>
      <c r="R1" s="282"/>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row>
    <row r="2" spans="1:50" ht="18" hidden="1" customHeight="1" outlineLevel="2" x14ac:dyDescent="0.3">
      <c r="A2" s="242"/>
      <c r="B2" s="276"/>
      <c r="C2" s="1" t="s">
        <v>724</v>
      </c>
      <c r="D2" s="276"/>
      <c r="E2" s="242"/>
      <c r="F2" s="276"/>
      <c r="G2" s="276"/>
      <c r="H2" s="276"/>
      <c r="I2" s="276"/>
      <c r="J2" s="276"/>
      <c r="K2" s="276"/>
      <c r="L2" s="276"/>
      <c r="M2" s="276"/>
      <c r="N2" s="276"/>
      <c r="O2" s="276"/>
      <c r="P2" s="276"/>
      <c r="Q2" s="297"/>
      <c r="R2" s="276"/>
      <c r="S2" s="248"/>
      <c r="T2" s="242"/>
      <c r="U2" s="242"/>
      <c r="V2" s="242"/>
      <c r="W2" s="242"/>
      <c r="X2" s="242"/>
      <c r="Y2" s="248"/>
      <c r="Z2" s="242"/>
      <c r="AA2" s="242"/>
      <c r="AB2" s="242"/>
      <c r="AC2" s="242"/>
      <c r="AD2" s="248"/>
      <c r="AE2" s="248"/>
      <c r="AF2" s="248"/>
      <c r="AG2" s="248"/>
      <c r="AH2" s="242"/>
      <c r="AI2" s="242"/>
      <c r="AJ2" s="242"/>
      <c r="AK2" s="242"/>
      <c r="AL2" s="242"/>
      <c r="AM2" s="242"/>
      <c r="AN2" s="242"/>
      <c r="AO2" s="242"/>
      <c r="AP2" s="242"/>
      <c r="AQ2" s="242"/>
      <c r="AR2" s="242"/>
      <c r="AS2" s="242"/>
      <c r="AT2" s="242"/>
      <c r="AU2" s="242"/>
      <c r="AV2" s="242"/>
      <c r="AW2" s="243"/>
      <c r="AX2" s="242"/>
    </row>
    <row r="3" spans="1:50" ht="18" hidden="1" customHeight="1" outlineLevel="2" x14ac:dyDescent="0.3">
      <c r="A3" s="242"/>
      <c r="B3" s="276"/>
      <c r="C3" s="283"/>
      <c r="D3" s="276"/>
      <c r="E3" s="242"/>
      <c r="F3" s="276"/>
      <c r="G3" s="276"/>
      <c r="H3" s="276"/>
      <c r="I3" s="276"/>
      <c r="J3" s="276"/>
      <c r="K3" s="276"/>
      <c r="L3" s="276"/>
      <c r="M3" s="276"/>
      <c r="N3" s="276"/>
      <c r="O3" s="276"/>
      <c r="P3" s="276"/>
      <c r="Q3" s="297"/>
      <c r="R3" s="276"/>
      <c r="S3" s="248"/>
      <c r="T3" s="242"/>
      <c r="U3" s="242"/>
      <c r="V3" s="242"/>
      <c r="W3" s="242"/>
      <c r="X3" s="242"/>
      <c r="Y3" s="248"/>
      <c r="Z3" s="242"/>
      <c r="AA3" s="242"/>
      <c r="AB3" s="242"/>
      <c r="AC3" s="242"/>
      <c r="AD3" s="248"/>
      <c r="AE3" s="248"/>
      <c r="AF3" s="248"/>
      <c r="AG3" s="248"/>
      <c r="AH3" s="242"/>
      <c r="AI3" s="242"/>
      <c r="AJ3" s="242"/>
      <c r="AK3" s="242"/>
      <c r="AL3" s="242"/>
      <c r="AM3" s="242"/>
      <c r="AN3" s="242"/>
      <c r="AO3" s="242"/>
      <c r="AP3" s="242"/>
      <c r="AQ3" s="242"/>
      <c r="AR3" s="242"/>
      <c r="AS3" s="242"/>
      <c r="AT3" s="242"/>
      <c r="AU3" s="242"/>
      <c r="AV3" s="242"/>
      <c r="AW3" s="243"/>
      <c r="AX3" s="242"/>
    </row>
    <row r="4" spans="1:50" ht="18" hidden="1" customHeight="1" outlineLevel="1" collapsed="1" x14ac:dyDescent="0.3">
      <c r="A4" s="242"/>
      <c r="B4" s="568" t="str">
        <f>EULA!$B14</f>
        <v>[Địa chỉ]</v>
      </c>
      <c r="C4" s="568" t="str">
        <f>EULA!$B14</f>
        <v>[Địa chỉ]</v>
      </c>
      <c r="D4" s="568" t="str">
        <f>EULA!$B14</f>
        <v>[Địa chỉ]</v>
      </c>
      <c r="E4" s="242"/>
      <c r="F4" s="1" t="s">
        <v>725</v>
      </c>
      <c r="G4" s="276"/>
      <c r="H4" s="276"/>
      <c r="I4" s="276"/>
      <c r="J4" s="276"/>
      <c r="K4" s="276"/>
      <c r="L4" s="276"/>
      <c r="M4" s="276"/>
      <c r="N4" s="276"/>
      <c r="O4" s="276"/>
      <c r="P4" s="570" t="str">
        <f>CONCATENATE("BAN-",C3,"-",MOD(YEAR(P5),100)*10000+MONTH(P5)*100+DAY(P5),"-",R4)</f>
        <v>BAN--100-1</v>
      </c>
      <c r="Q4" s="571"/>
      <c r="R4" s="284">
        <v>1</v>
      </c>
      <c r="S4" s="248"/>
      <c r="T4" s="242"/>
      <c r="U4" s="242"/>
      <c r="V4" s="242"/>
      <c r="W4" s="242"/>
      <c r="X4" s="242"/>
      <c r="Y4" s="248"/>
      <c r="Z4" s="242"/>
      <c r="AA4" s="242"/>
      <c r="AB4" s="242"/>
      <c r="AC4" s="242"/>
      <c r="AD4" s="248"/>
      <c r="AE4" s="248"/>
      <c r="AF4" s="248"/>
      <c r="AG4" s="248"/>
      <c r="AH4" s="242"/>
      <c r="AI4" s="242"/>
      <c r="AJ4" s="242"/>
      <c r="AK4" s="242"/>
      <c r="AL4" s="242"/>
      <c r="AM4" s="242"/>
      <c r="AN4" s="242"/>
      <c r="AO4" s="242"/>
      <c r="AP4" s="242"/>
      <c r="AQ4" s="242"/>
      <c r="AR4" s="242"/>
      <c r="AS4" s="242"/>
      <c r="AT4" s="242"/>
      <c r="AU4" s="242"/>
      <c r="AV4" s="242"/>
      <c r="AW4" s="242"/>
      <c r="AX4" s="242"/>
    </row>
    <row r="5" spans="1:50" ht="18" hidden="1" customHeight="1" outlineLevel="1" x14ac:dyDescent="0.3">
      <c r="A5" s="242"/>
      <c r="B5" s="568" t="str">
        <f>EULA!$B15</f>
        <v>[Mã số thuế]</v>
      </c>
      <c r="C5" s="568" t="str">
        <f>EULA!$B15</f>
        <v>[Mã số thuế]</v>
      </c>
      <c r="D5" s="568" t="str">
        <f>EULA!$B15</f>
        <v>[Mã số thuế]</v>
      </c>
      <c r="E5" s="242"/>
      <c r="F5" s="1" t="s">
        <v>539</v>
      </c>
      <c r="G5" s="276"/>
      <c r="H5" s="276"/>
      <c r="I5" s="276"/>
      <c r="J5" s="276"/>
      <c r="K5" s="276"/>
      <c r="L5" s="276"/>
      <c r="M5" s="276"/>
      <c r="N5" s="276"/>
      <c r="O5" s="276"/>
      <c r="P5" s="572"/>
      <c r="Q5" s="573"/>
      <c r="R5" s="276"/>
      <c r="S5" s="248"/>
      <c r="T5" s="242"/>
      <c r="U5" s="242"/>
      <c r="V5" s="242"/>
      <c r="W5" s="242"/>
      <c r="X5" s="242"/>
      <c r="Y5" s="248"/>
      <c r="Z5" s="242"/>
      <c r="AA5" s="242"/>
      <c r="AB5" s="242"/>
      <c r="AC5" s="242"/>
      <c r="AD5" s="248"/>
      <c r="AE5" s="248"/>
      <c r="AF5" s="248"/>
      <c r="AG5" s="248"/>
      <c r="AH5" s="242"/>
      <c r="AI5" s="242"/>
      <c r="AJ5" s="242"/>
      <c r="AK5" s="242"/>
      <c r="AL5" s="242"/>
      <c r="AM5" s="242"/>
      <c r="AN5" s="242"/>
      <c r="AO5" s="242"/>
      <c r="AP5" s="242"/>
      <c r="AQ5" s="242"/>
      <c r="AR5" s="242"/>
      <c r="AS5" s="242"/>
      <c r="AT5" s="242"/>
      <c r="AU5" s="242"/>
      <c r="AV5" s="242"/>
      <c r="AW5" s="242"/>
      <c r="AX5" s="242"/>
    </row>
    <row r="6" spans="1:50" ht="18" hidden="1" customHeight="1" outlineLevel="1" x14ac:dyDescent="0.3">
      <c r="A6" s="242"/>
      <c r="B6" s="568" t="str">
        <f>EULA!$B16</f>
        <v>[SĐT - Fax]</v>
      </c>
      <c r="C6" s="568" t="str">
        <f>EULA!$B16</f>
        <v>[SĐT - Fax]</v>
      </c>
      <c r="D6" s="568" t="str">
        <f>EULA!$B16</f>
        <v>[SĐT - Fax]</v>
      </c>
      <c r="E6" s="242"/>
      <c r="F6" s="1" t="s">
        <v>173</v>
      </c>
      <c r="G6" s="276"/>
      <c r="H6" s="276"/>
      <c r="I6" s="276"/>
      <c r="J6" s="276"/>
      <c r="K6" s="276"/>
      <c r="L6" s="276"/>
      <c r="M6" s="276"/>
      <c r="N6" s="276"/>
      <c r="O6" s="276"/>
      <c r="P6" s="577" t="str">
        <f>IFERROR(VLOOKUP(C3,Table_KhachHang[],Sheet_KhachHang!$C$1,0),"")</f>
        <v/>
      </c>
      <c r="Q6" s="575"/>
      <c r="R6" s="276"/>
      <c r="S6" s="248"/>
      <c r="T6" s="242"/>
      <c r="U6" s="242"/>
      <c r="V6" s="242"/>
      <c r="W6" s="242"/>
      <c r="X6" s="242"/>
      <c r="Y6" s="248"/>
      <c r="Z6" s="242"/>
      <c r="AA6" s="242"/>
      <c r="AB6" s="242"/>
      <c r="AC6" s="242"/>
      <c r="AD6" s="248"/>
      <c r="AE6" s="248"/>
      <c r="AF6" s="248"/>
      <c r="AG6" s="248"/>
      <c r="AH6" s="242"/>
      <c r="AI6" s="242"/>
      <c r="AJ6" s="242"/>
      <c r="AK6" s="242"/>
      <c r="AL6" s="242"/>
      <c r="AM6" s="242"/>
      <c r="AN6" s="242"/>
      <c r="AO6" s="242"/>
      <c r="AP6" s="242"/>
      <c r="AQ6" s="242"/>
      <c r="AR6" s="242"/>
      <c r="AS6" s="242"/>
      <c r="AT6" s="242"/>
      <c r="AU6" s="242"/>
      <c r="AV6" s="242"/>
      <c r="AW6" s="242"/>
      <c r="AX6" s="242"/>
    </row>
    <row r="7" spans="1:50" ht="18" hidden="1" customHeight="1" outlineLevel="1" x14ac:dyDescent="0.3">
      <c r="A7" s="242"/>
      <c r="B7" s="185" t="str">
        <f>EULA!$B17</f>
        <v>[Website - Page]</v>
      </c>
      <c r="C7" s="289"/>
      <c r="D7" s="289"/>
      <c r="E7" s="242"/>
      <c r="F7" s="1" t="s">
        <v>726</v>
      </c>
      <c r="G7" s="276"/>
      <c r="H7" s="276"/>
      <c r="I7" s="276"/>
      <c r="J7" s="276"/>
      <c r="K7" s="276"/>
      <c r="L7" s="276"/>
      <c r="M7" s="276"/>
      <c r="N7" s="276"/>
      <c r="O7" s="276"/>
      <c r="P7" s="576"/>
      <c r="Q7" s="575"/>
      <c r="R7" s="276"/>
      <c r="S7" s="248"/>
      <c r="T7" s="242"/>
      <c r="U7" s="242"/>
      <c r="V7" s="242"/>
      <c r="W7" s="242"/>
      <c r="X7" s="242"/>
      <c r="Y7" s="248"/>
      <c r="Z7" s="242"/>
      <c r="AA7" s="242"/>
      <c r="AB7" s="242"/>
      <c r="AC7" s="242"/>
      <c r="AD7" s="248"/>
      <c r="AE7" s="248"/>
      <c r="AF7" s="248"/>
      <c r="AG7" s="248"/>
      <c r="AH7" s="242"/>
      <c r="AI7" s="242"/>
      <c r="AJ7" s="242"/>
      <c r="AK7" s="242"/>
      <c r="AL7" s="242"/>
      <c r="AM7" s="242"/>
      <c r="AN7" s="242"/>
      <c r="AO7" s="242"/>
      <c r="AP7" s="242"/>
      <c r="AQ7" s="242"/>
      <c r="AR7" s="242"/>
      <c r="AS7" s="242"/>
      <c r="AT7" s="242"/>
      <c r="AU7" s="242"/>
      <c r="AV7" s="242"/>
      <c r="AW7" s="242"/>
      <c r="AX7" s="242"/>
    </row>
    <row r="8" spans="1:50" ht="18" hidden="1" customHeight="1" outlineLevel="1" x14ac:dyDescent="0.3">
      <c r="A8" s="242"/>
      <c r="B8" s="89" t="str">
        <f>EULA!$B18</f>
        <v>[STK - Ngân hàng]</v>
      </c>
      <c r="C8" s="289"/>
      <c r="D8" s="289"/>
      <c r="E8" s="242"/>
      <c r="F8" s="1" t="s">
        <v>37</v>
      </c>
      <c r="G8" s="276"/>
      <c r="H8" s="276"/>
      <c r="I8" s="276"/>
      <c r="J8" s="276"/>
      <c r="K8" s="276"/>
      <c r="L8" s="276"/>
      <c r="M8" s="276"/>
      <c r="N8" s="276"/>
      <c r="O8" s="276"/>
      <c r="P8" s="576"/>
      <c r="Q8" s="575"/>
      <c r="R8" s="276"/>
      <c r="S8" s="248"/>
      <c r="T8" s="242"/>
      <c r="U8" s="242"/>
      <c r="V8" s="242"/>
      <c r="W8" s="242"/>
      <c r="X8" s="242"/>
      <c r="Y8" s="248"/>
      <c r="Z8" s="242"/>
      <c r="AA8" s="242"/>
      <c r="AB8" s="242"/>
      <c r="AC8" s="242"/>
      <c r="AD8" s="248"/>
      <c r="AE8" s="248"/>
      <c r="AF8" s="248"/>
      <c r="AG8" s="248"/>
      <c r="AH8" s="242"/>
      <c r="AI8" s="242"/>
      <c r="AJ8" s="242"/>
      <c r="AK8" s="242"/>
      <c r="AL8" s="242"/>
      <c r="AM8" s="242"/>
      <c r="AN8" s="242"/>
      <c r="AO8" s="242"/>
      <c r="AP8" s="242"/>
      <c r="AQ8" s="242"/>
      <c r="AR8" s="242"/>
      <c r="AS8" s="242"/>
      <c r="AT8" s="242"/>
      <c r="AU8" s="242"/>
      <c r="AV8" s="242"/>
      <c r="AW8" s="243"/>
      <c r="AX8" s="242"/>
    </row>
    <row r="9" spans="1:50" ht="42" hidden="1" customHeight="1" outlineLevel="1" x14ac:dyDescent="0.3">
      <c r="A9" s="242"/>
      <c r="B9" s="276"/>
      <c r="C9" s="276"/>
      <c r="D9" s="276"/>
      <c r="E9" s="276"/>
      <c r="G9" s="276"/>
      <c r="H9" s="276"/>
      <c r="I9" s="276"/>
      <c r="J9" s="276"/>
      <c r="K9" s="276"/>
      <c r="L9" s="276"/>
      <c r="M9" s="276"/>
      <c r="N9" s="276"/>
      <c r="O9" s="276"/>
      <c r="P9" s="297"/>
      <c r="Q9" s="433" t="str" cm="1">
        <f t="array" ref="Q9">Code128(P4)</f>
        <v>ÌBAN--1ÇÂÈ-1ÊÎ</v>
      </c>
      <c r="R9" s="276"/>
      <c r="S9" s="248"/>
      <c r="T9" s="242"/>
      <c r="U9" s="242"/>
      <c r="V9" s="242"/>
      <c r="W9" s="242"/>
      <c r="X9" s="242"/>
      <c r="Y9" s="248"/>
      <c r="Z9" s="242"/>
      <c r="AA9" s="242"/>
      <c r="AB9" s="242"/>
      <c r="AC9" s="242"/>
      <c r="AD9" s="248"/>
      <c r="AE9" s="248"/>
      <c r="AF9" s="248"/>
      <c r="AG9" s="248"/>
      <c r="AH9" s="242"/>
      <c r="AI9" s="242"/>
      <c r="AJ9" s="242"/>
      <c r="AK9" s="242"/>
      <c r="AL9" s="242"/>
      <c r="AM9" s="242"/>
      <c r="AN9" s="242"/>
      <c r="AO9" s="242"/>
      <c r="AP9" s="242"/>
      <c r="AQ9" s="242"/>
      <c r="AR9" s="242"/>
      <c r="AS9" s="242"/>
      <c r="AT9" s="242"/>
      <c r="AU9" s="242"/>
      <c r="AV9" s="242"/>
      <c r="AW9" s="243"/>
      <c r="AX9" s="242"/>
    </row>
    <row r="10" spans="1:50" ht="18" hidden="1" customHeight="1" outlineLevel="1" x14ac:dyDescent="0.3">
      <c r="A10" s="242"/>
      <c r="B10" s="58" t="s">
        <v>727</v>
      </c>
      <c r="C10" s="285"/>
      <c r="D10" s="285"/>
      <c r="E10" s="276"/>
      <c r="F10" s="276"/>
      <c r="G10" s="276"/>
      <c r="H10" s="276"/>
      <c r="I10" s="276"/>
      <c r="J10" s="276"/>
      <c r="K10" s="276"/>
      <c r="L10" s="276"/>
      <c r="M10" s="276"/>
      <c r="N10" s="276"/>
      <c r="O10" s="276"/>
      <c r="P10" s="297"/>
      <c r="Q10" s="276"/>
      <c r="R10" s="276"/>
      <c r="S10" s="248"/>
      <c r="T10" s="242"/>
      <c r="U10" s="242"/>
      <c r="V10" s="242"/>
      <c r="W10" s="242"/>
      <c r="X10" s="242"/>
      <c r="Y10" s="248"/>
      <c r="Z10" s="242"/>
      <c r="AA10" s="242"/>
      <c r="AB10" s="242"/>
      <c r="AC10" s="242"/>
      <c r="AD10" s="248"/>
      <c r="AE10" s="248"/>
      <c r="AF10" s="248"/>
      <c r="AG10" s="248"/>
      <c r="AH10" s="242"/>
      <c r="AI10" s="242"/>
      <c r="AJ10" s="242"/>
      <c r="AK10" s="242"/>
      <c r="AL10" s="242"/>
      <c r="AM10" s="242"/>
      <c r="AN10" s="242"/>
      <c r="AO10" s="242"/>
      <c r="AP10" s="242"/>
      <c r="AQ10" s="242"/>
      <c r="AR10" s="242"/>
      <c r="AS10" s="242"/>
      <c r="AT10" s="242"/>
      <c r="AU10" s="242"/>
      <c r="AV10" s="242"/>
      <c r="AW10" s="243"/>
      <c r="AX10" s="242"/>
    </row>
    <row r="11" spans="1:50" ht="18" hidden="1" customHeight="1" outlineLevel="2" x14ac:dyDescent="0.3">
      <c r="A11" s="242"/>
      <c r="B11" s="1" t="s">
        <v>540</v>
      </c>
      <c r="C11" s="276"/>
      <c r="D11" s="242"/>
      <c r="E11" s="568" t="str">
        <f>IFERROR(VLOOKUP(C3,Table_KhachHang[#All],Sheet_KhachHang!$C$1,0),"")</f>
        <v/>
      </c>
      <c r="F11" s="569"/>
      <c r="G11" s="569"/>
      <c r="H11" s="569"/>
      <c r="I11" s="569"/>
      <c r="J11" s="569"/>
      <c r="K11" s="569"/>
      <c r="L11" s="569"/>
      <c r="M11" s="569"/>
      <c r="N11" s="569"/>
      <c r="O11" s="569"/>
      <c r="P11" s="569"/>
      <c r="Q11" s="569"/>
      <c r="R11" s="276"/>
      <c r="S11" s="248"/>
      <c r="T11" s="242"/>
      <c r="U11" s="242"/>
      <c r="V11" s="242"/>
      <c r="W11" s="242"/>
      <c r="X11" s="242"/>
      <c r="Y11" s="248"/>
      <c r="Z11" s="242"/>
      <c r="AA11" s="242"/>
      <c r="AB11" s="242"/>
      <c r="AC11" s="242"/>
      <c r="AD11" s="248"/>
      <c r="AE11" s="248"/>
      <c r="AF11" s="248"/>
      <c r="AG11" s="248"/>
      <c r="AH11" s="242"/>
      <c r="AI11" s="242"/>
      <c r="AJ11" s="242"/>
      <c r="AK11" s="242"/>
      <c r="AL11" s="242"/>
      <c r="AM11" s="242"/>
      <c r="AN11" s="242"/>
      <c r="AO11" s="242"/>
      <c r="AP11" s="242"/>
      <c r="AQ11" s="242"/>
      <c r="AR11" s="242"/>
      <c r="AS11" s="242"/>
      <c r="AT11" s="242"/>
      <c r="AU11" s="242"/>
      <c r="AV11" s="242"/>
      <c r="AW11" s="243"/>
      <c r="AX11" s="242"/>
    </row>
    <row r="12" spans="1:50" ht="18" hidden="1" customHeight="1" outlineLevel="2" x14ac:dyDescent="0.3">
      <c r="A12" s="242"/>
      <c r="B12" s="1" t="s">
        <v>705</v>
      </c>
      <c r="C12" s="276"/>
      <c r="D12" s="242"/>
      <c r="E12" s="568" t="str">
        <f>CONCATENATE(IFERROR(VLOOKUP(C3,Table_KhachHang[#All],Sheet_KhachHang!$G$1,0),""), " - ",IFERROR(VLOOKUP(C3,Table_KhachHang[#All],Sheet_KhachHang!$H$1,0),""), " - ",IFERROR(VLOOKUP(C3,Table_KhachHang[#All],Sheet_KhachHang!$I$1,0),"")  )</f>
        <v xml:space="preserve"> -  - </v>
      </c>
      <c r="F12" s="569"/>
      <c r="G12" s="569"/>
      <c r="H12" s="569"/>
      <c r="I12" s="569"/>
      <c r="J12" s="569"/>
      <c r="K12" s="569"/>
      <c r="L12" s="569"/>
      <c r="M12" s="569"/>
      <c r="N12" s="569"/>
      <c r="O12" s="569"/>
      <c r="P12" s="569"/>
      <c r="Q12" s="569"/>
      <c r="R12" s="276"/>
      <c r="S12" s="248"/>
      <c r="T12" s="242"/>
      <c r="U12" s="242"/>
      <c r="V12" s="242"/>
      <c r="W12" s="242"/>
      <c r="X12" s="242"/>
      <c r="Y12" s="248"/>
      <c r="Z12" s="242"/>
      <c r="AA12" s="242"/>
      <c r="AB12" s="242"/>
      <c r="AC12" s="242"/>
      <c r="AD12" s="248"/>
      <c r="AE12" s="248"/>
      <c r="AF12" s="248"/>
      <c r="AG12" s="248"/>
      <c r="AH12" s="242"/>
      <c r="AI12" s="242"/>
      <c r="AJ12" s="242"/>
      <c r="AK12" s="242"/>
      <c r="AL12" s="242"/>
      <c r="AM12" s="242"/>
      <c r="AN12" s="242"/>
      <c r="AO12" s="242"/>
      <c r="AP12" s="242"/>
      <c r="AQ12" s="242"/>
      <c r="AR12" s="242"/>
      <c r="AS12" s="242"/>
      <c r="AT12" s="242"/>
      <c r="AU12" s="242"/>
      <c r="AV12" s="242"/>
      <c r="AW12" s="243"/>
      <c r="AX12" s="242"/>
    </row>
    <row r="13" spans="1:50" ht="18" hidden="1" customHeight="1" outlineLevel="2" x14ac:dyDescent="0.3">
      <c r="A13" s="242"/>
      <c r="B13" s="1" t="s">
        <v>542</v>
      </c>
      <c r="C13" s="276"/>
      <c r="D13" s="242"/>
      <c r="E13" s="568" t="str">
        <f>IFERROR(VLOOKUP(C3,Table_KhachHang[#All],Sheet_KhachHang!$F$1,0),"")</f>
        <v/>
      </c>
      <c r="F13" s="569"/>
      <c r="G13" s="569"/>
      <c r="H13" s="569"/>
      <c r="I13" s="569"/>
      <c r="J13" s="569"/>
      <c r="K13" s="569"/>
      <c r="L13" s="569"/>
      <c r="M13" s="569"/>
      <c r="N13" s="569"/>
      <c r="O13" s="569"/>
      <c r="P13" s="569"/>
      <c r="Q13" s="569"/>
      <c r="R13" s="276"/>
      <c r="S13" s="248"/>
      <c r="T13" s="242"/>
      <c r="U13" s="242"/>
      <c r="V13" s="242"/>
      <c r="W13" s="242"/>
      <c r="X13" s="242"/>
      <c r="Y13" s="248"/>
      <c r="Z13" s="242"/>
      <c r="AA13" s="242"/>
      <c r="AB13" s="242"/>
      <c r="AC13" s="242"/>
      <c r="AD13" s="248"/>
      <c r="AE13" s="248"/>
      <c r="AF13" s="248"/>
      <c r="AG13" s="248"/>
      <c r="AH13" s="242"/>
      <c r="AI13" s="242"/>
      <c r="AJ13" s="242"/>
      <c r="AK13" s="242"/>
      <c r="AL13" s="242"/>
      <c r="AM13" s="242"/>
      <c r="AN13" s="242"/>
      <c r="AO13" s="242"/>
      <c r="AP13" s="242"/>
      <c r="AQ13" s="242"/>
      <c r="AR13" s="242"/>
      <c r="AS13" s="242"/>
      <c r="AT13" s="242"/>
      <c r="AU13" s="242"/>
      <c r="AV13" s="242"/>
      <c r="AW13" s="243"/>
      <c r="AX13" s="242"/>
    </row>
    <row r="14" spans="1:50" ht="18" hidden="1" customHeight="1" outlineLevel="2" x14ac:dyDescent="0.3">
      <c r="A14" s="242"/>
      <c r="B14" s="276"/>
      <c r="C14" s="276"/>
      <c r="D14" s="276"/>
      <c r="E14" s="276"/>
      <c r="F14" s="276"/>
      <c r="G14" s="276"/>
      <c r="H14" s="276"/>
      <c r="I14" s="276"/>
      <c r="J14" s="276"/>
      <c r="K14" s="276"/>
      <c r="L14" s="276"/>
      <c r="M14" s="276"/>
      <c r="N14" s="276"/>
      <c r="O14" s="276"/>
      <c r="P14" s="297"/>
      <c r="Q14" s="276"/>
      <c r="R14" s="276"/>
      <c r="S14" s="248"/>
      <c r="T14" s="242"/>
      <c r="U14" s="242"/>
      <c r="V14" s="242"/>
      <c r="W14" s="242"/>
      <c r="X14" s="242"/>
      <c r="Y14" s="248"/>
      <c r="Z14" s="242"/>
      <c r="AA14" s="242"/>
      <c r="AB14" s="242"/>
      <c r="AC14" s="242"/>
      <c r="AD14" s="248"/>
      <c r="AE14" s="248"/>
      <c r="AF14" s="248"/>
      <c r="AG14" s="248"/>
      <c r="AH14" s="242"/>
      <c r="AI14" s="242"/>
      <c r="AJ14" s="242"/>
      <c r="AK14" s="242"/>
      <c r="AL14" s="242"/>
      <c r="AM14" s="242"/>
      <c r="AN14" s="242"/>
      <c r="AO14" s="242"/>
      <c r="AP14" s="242"/>
      <c r="AQ14" s="242"/>
      <c r="AR14" s="242"/>
      <c r="AS14" s="242"/>
      <c r="AT14" s="242"/>
      <c r="AU14" s="242"/>
      <c r="AV14" s="242"/>
      <c r="AW14" s="243"/>
      <c r="AX14" s="242"/>
    </row>
    <row r="15" spans="1:50" ht="18" hidden="1" customHeight="1" outlineLevel="2" x14ac:dyDescent="0.3">
      <c r="A15" s="242"/>
      <c r="B15" s="276"/>
      <c r="C15" s="276"/>
      <c r="D15" s="276"/>
      <c r="E15" s="276"/>
      <c r="F15" s="242"/>
      <c r="G15" s="242"/>
      <c r="H15" s="242"/>
      <c r="I15" s="276"/>
      <c r="J15" s="276"/>
      <c r="K15" s="276"/>
      <c r="L15" s="276"/>
      <c r="M15" s="276"/>
      <c r="N15" s="276"/>
      <c r="O15" s="276"/>
      <c r="P15" s="92" t="s">
        <v>322</v>
      </c>
      <c r="Q15" s="93" t="s">
        <v>329</v>
      </c>
      <c r="R15" s="242"/>
      <c r="S15" s="248"/>
      <c r="T15" s="242"/>
      <c r="U15" s="242"/>
      <c r="V15" s="242"/>
      <c r="W15" s="242"/>
      <c r="X15" s="242"/>
      <c r="Y15" s="248"/>
      <c r="Z15" s="242"/>
      <c r="AA15" s="242"/>
      <c r="AB15" s="242"/>
      <c r="AC15" s="242"/>
      <c r="AD15" s="248"/>
      <c r="AE15" s="248"/>
      <c r="AF15" s="248"/>
      <c r="AG15" s="248"/>
      <c r="AH15" s="242"/>
      <c r="AI15" s="242"/>
      <c r="AJ15" s="242"/>
      <c r="AK15" s="242"/>
      <c r="AL15" s="242"/>
      <c r="AM15" s="242"/>
      <c r="AN15" s="242"/>
      <c r="AO15" s="242"/>
      <c r="AP15" s="242"/>
      <c r="AQ15" s="242"/>
      <c r="AR15" s="242"/>
      <c r="AS15" s="242"/>
      <c r="AT15" s="242"/>
      <c r="AU15" s="242"/>
      <c r="AV15" s="242"/>
      <c r="AW15" s="243"/>
      <c r="AX15" s="242"/>
    </row>
    <row r="16" spans="1:50" ht="18" hidden="1" customHeight="1" outlineLevel="1" x14ac:dyDescent="0.3">
      <c r="A16" s="242"/>
      <c r="B16" s="59" t="s">
        <v>643</v>
      </c>
      <c r="C16" s="59" t="s">
        <v>47</v>
      </c>
      <c r="D16" s="59" t="s">
        <v>707</v>
      </c>
      <c r="E16" s="60" t="s">
        <v>30</v>
      </c>
      <c r="F16" s="59" t="s">
        <v>728</v>
      </c>
      <c r="G16" s="59" t="s">
        <v>237</v>
      </c>
      <c r="H16" s="59" t="s">
        <v>729</v>
      </c>
      <c r="I16" s="59" t="s">
        <v>730</v>
      </c>
      <c r="J16" s="59" t="s">
        <v>731</v>
      </c>
      <c r="K16" s="59" t="s">
        <v>732</v>
      </c>
      <c r="L16" s="59" t="s">
        <v>733</v>
      </c>
      <c r="M16" s="59" t="s">
        <v>930</v>
      </c>
      <c r="N16" s="59" t="s">
        <v>931</v>
      </c>
      <c r="O16" s="60" t="s">
        <v>721</v>
      </c>
      <c r="P16" s="60" t="s">
        <v>709</v>
      </c>
      <c r="Q16" s="60" t="s">
        <v>710</v>
      </c>
      <c r="R16" s="60" t="s">
        <v>693</v>
      </c>
      <c r="S16" s="248"/>
      <c r="T16" s="242"/>
      <c r="U16" s="242"/>
      <c r="V16" s="242"/>
      <c r="W16" s="242"/>
      <c r="X16" s="242"/>
      <c r="Y16" s="248"/>
      <c r="Z16" s="242"/>
      <c r="AA16" s="242"/>
      <c r="AB16" s="242"/>
      <c r="AC16" s="242"/>
      <c r="AD16" s="248"/>
      <c r="AE16" s="248"/>
      <c r="AF16" s="248"/>
      <c r="AG16" s="248"/>
      <c r="AH16" s="242"/>
      <c r="AI16" s="242"/>
      <c r="AJ16" s="242"/>
      <c r="AK16" s="242"/>
      <c r="AL16" s="242"/>
      <c r="AM16" s="242"/>
      <c r="AN16" s="242"/>
      <c r="AO16" s="242"/>
      <c r="AP16" s="242"/>
      <c r="AQ16" s="242"/>
      <c r="AR16" s="242"/>
      <c r="AS16" s="242"/>
      <c r="AT16" s="242"/>
      <c r="AU16" s="242"/>
      <c r="AV16" s="242"/>
      <c r="AW16" s="243"/>
      <c r="AX16" s="242"/>
    </row>
    <row r="17" spans="1:50" ht="18" hidden="1" customHeight="1" outlineLevel="2" x14ac:dyDescent="0.3">
      <c r="A17" s="242"/>
      <c r="B17" s="7" t="str">
        <f>IF(Table_FormDonBan[[#This Row],[SKU]]&lt;&gt;"",COUNTIF(C$17:C17,"&lt;&gt;"""),"")</f>
        <v/>
      </c>
      <c r="C17" s="242"/>
      <c r="D17" s="7" t="str">
        <f xml:space="preserve">
IFERROR(VLOOKUP(Table_FormDonBan[[#This Row],[SKU]],Table_SKU[[Mã SKU]:[Mô tả]],Sheet_SKU!$H$1,0),"")</f>
        <v/>
      </c>
      <c r="E17" s="15"/>
      <c r="F17" s="15" t="str">
        <f>IFERROR(VLOOKUP(Table_FormDonBan[[#This Row],[SKU]],Table_SKU[[Mã SKU]:[Giá bán]],Sheet_SKU!$J$1,0),"")</f>
        <v/>
      </c>
      <c r="G17" s="244"/>
      <c r="H17" s="244">
        <f>Table_FormDonBan[[#This Row],[ĐK - Phân loại]]*Table_FormDonBan[[#This Row],[ĐK - Thời gian]]*Table_FormDonBan[[#This Row],[ĐK - Giá trị]]*Table_FormDonBan[[#This Row],[ĐK - Số lượng]]*Table_FormDonBan[[#This Row],[ĐK - Sinh nhật]]*Table_FormDonBan[[#This Row],[ĐK - Ngày mua cuối]]</f>
        <v>1</v>
      </c>
      <c r="I17" s="244">
        <f xml:space="preserve">
IF(ISBLANK(Table_FormDonBan[[#This Row],[Chương trình]]),1,
IF(VLOOKUP(Table_FormDonBan[[#This Row],[Chương trình]],Table_ChuongTrinh[[Mã Chương trình]:[Đối tượng CK]],Sheet_ChuongTrinh!$C$1,0) = "Sản phẩm",1,0))</f>
        <v>1</v>
      </c>
      <c r="J1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4"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8"/>
      <c r="T17" s="242"/>
      <c r="U17" s="242"/>
      <c r="V17" s="242"/>
      <c r="W17" s="242"/>
      <c r="X17" s="242"/>
      <c r="Y17" s="248"/>
      <c r="Z17" s="242"/>
      <c r="AA17" s="242"/>
      <c r="AB17" s="242"/>
      <c r="AC17" s="242"/>
      <c r="AD17" s="248"/>
      <c r="AE17" s="248"/>
      <c r="AF17" s="248"/>
      <c r="AG17" s="248"/>
      <c r="AH17" s="242"/>
      <c r="AI17" s="242"/>
      <c r="AJ17" s="242"/>
      <c r="AK17" s="242"/>
      <c r="AL17" s="242"/>
      <c r="AM17" s="242"/>
      <c r="AN17" s="242"/>
      <c r="AO17" s="242"/>
      <c r="AP17" s="242"/>
      <c r="AQ17" s="242"/>
      <c r="AR17" s="242"/>
      <c r="AS17" s="242"/>
      <c r="AT17" s="242"/>
      <c r="AU17" s="242"/>
      <c r="AV17" s="242"/>
      <c r="AW17" s="243"/>
      <c r="AX17" s="242"/>
    </row>
    <row r="18" spans="1:50" ht="18" hidden="1" customHeight="1" outlineLevel="2" x14ac:dyDescent="0.3">
      <c r="A18" s="242"/>
      <c r="B18" s="7" t="str">
        <f>IF(Table_FormDonBan[[#This Row],[SKU]]&lt;&gt;"",COUNTIF(C$17:C18,"&lt;&gt;"""),"")</f>
        <v/>
      </c>
      <c r="C18" s="242"/>
      <c r="D18" s="7" t="str">
        <f xml:space="preserve">
IFERROR(VLOOKUP(Table_FormDonBan[[#This Row],[SKU]],Table_SKU[[Mã SKU]:[Mô tả]],Sheet_SKU!$H$1,0),"")</f>
        <v/>
      </c>
      <c r="E18" s="15"/>
      <c r="F18" s="15" t="str">
        <f>IFERROR(VLOOKUP(Table_FormDonBan[[#This Row],[SKU]],Table_SKU[[Mã SKU]:[Giá bán]],Sheet_SKU!$J$1,0),"")</f>
        <v/>
      </c>
      <c r="G18" s="244"/>
      <c r="H18" s="244">
        <f>Table_FormDonBan[[#This Row],[ĐK - Phân loại]]*Table_FormDonBan[[#This Row],[ĐK - Thời gian]]*Table_FormDonBan[[#This Row],[ĐK - Giá trị]]*Table_FormDonBan[[#This Row],[ĐK - Số lượng]]*Table_FormDonBan[[#This Row],[ĐK - Sinh nhật]]*Table_FormDonBan[[#This Row],[ĐK - Ngày mua cuối]]</f>
        <v>1</v>
      </c>
      <c r="I18" s="244">
        <f xml:space="preserve">
IF(ISBLANK(Table_FormDonBan[[#This Row],[Chương trình]]),1,
IF(VLOOKUP(Table_FormDonBan[[#This Row],[Chương trình]],Table_ChuongTrinh[[Mã Chương trình]:[Đối tượng CK]],Sheet_ChuongTrinh!$C$1,0) = "Sản phẩm",1,0))</f>
        <v>1</v>
      </c>
      <c r="J1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4"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8"/>
      <c r="T18" s="242"/>
      <c r="U18" s="242"/>
      <c r="V18" s="242"/>
      <c r="W18" s="242"/>
      <c r="X18" s="242"/>
      <c r="Y18" s="248"/>
      <c r="Z18" s="242"/>
      <c r="AA18" s="242"/>
      <c r="AB18" s="242"/>
      <c r="AC18" s="242"/>
      <c r="AD18" s="248"/>
      <c r="AE18" s="248"/>
      <c r="AF18" s="248"/>
      <c r="AG18" s="248"/>
      <c r="AH18" s="242"/>
      <c r="AI18" s="242"/>
      <c r="AJ18" s="242"/>
      <c r="AK18" s="242"/>
      <c r="AL18" s="242"/>
      <c r="AM18" s="242"/>
      <c r="AN18" s="242"/>
      <c r="AO18" s="242"/>
      <c r="AP18" s="242"/>
      <c r="AQ18" s="242"/>
      <c r="AR18" s="242"/>
      <c r="AS18" s="242"/>
      <c r="AT18" s="242"/>
      <c r="AU18" s="242"/>
      <c r="AV18" s="242"/>
      <c r="AW18" s="243"/>
      <c r="AX18" s="242"/>
    </row>
    <row r="19" spans="1:50" ht="18" hidden="1" customHeight="1" outlineLevel="2" x14ac:dyDescent="0.3">
      <c r="A19" s="242"/>
      <c r="B19" s="7" t="str">
        <f>IF(Table_FormDonBan[[#This Row],[SKU]]&lt;&gt;"",COUNTIF(C$17:C19,"&lt;&gt;"""),"")</f>
        <v/>
      </c>
      <c r="C19" s="242"/>
      <c r="D19" s="7" t="str">
        <f xml:space="preserve">
IFERROR(VLOOKUP(Table_FormDonBan[[#This Row],[SKU]],Table_SKU[[Mã SKU]:[Mô tả]],Sheet_SKU!$H$1,0),"")</f>
        <v/>
      </c>
      <c r="E19" s="15"/>
      <c r="F19" s="15" t="str">
        <f>IFERROR(VLOOKUP(Table_FormDonBan[[#This Row],[SKU]],Table_SKU[[Mã SKU]:[Giá bán]],Sheet_SKU!$J$1,0),"")</f>
        <v/>
      </c>
      <c r="G19" s="244"/>
      <c r="H19" s="244">
        <f>Table_FormDonBan[[#This Row],[ĐK - Phân loại]]*Table_FormDonBan[[#This Row],[ĐK - Thời gian]]*Table_FormDonBan[[#This Row],[ĐK - Giá trị]]*Table_FormDonBan[[#This Row],[ĐK - Số lượng]]*Table_FormDonBan[[#This Row],[ĐK - Sinh nhật]]*Table_FormDonBan[[#This Row],[ĐK - Ngày mua cuối]]</f>
        <v>1</v>
      </c>
      <c r="I19" s="244">
        <f xml:space="preserve">
IF(ISBLANK(Table_FormDonBan[[#This Row],[Chương trình]]),1,
IF(VLOOKUP(Table_FormDonBan[[#This Row],[Chương trình]],Table_ChuongTrinh[[Mã Chương trình]:[Đối tượng CK]],Sheet_ChuongTrinh!$C$1,0) = "Sản phẩm",1,0))</f>
        <v>1</v>
      </c>
      <c r="J19"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4"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8"/>
      <c r="T19" s="242"/>
      <c r="U19" s="242"/>
      <c r="V19" s="242"/>
      <c r="W19" s="242"/>
      <c r="X19" s="242"/>
      <c r="Y19" s="248"/>
      <c r="Z19" s="242"/>
      <c r="AA19" s="242"/>
      <c r="AB19" s="242"/>
      <c r="AC19" s="242"/>
      <c r="AD19" s="248"/>
      <c r="AE19" s="248"/>
      <c r="AF19" s="248"/>
      <c r="AG19" s="248"/>
      <c r="AH19" s="242"/>
      <c r="AI19" s="242"/>
      <c r="AJ19" s="242"/>
      <c r="AK19" s="242"/>
      <c r="AL19" s="242"/>
      <c r="AM19" s="242"/>
      <c r="AN19" s="242"/>
      <c r="AO19" s="242"/>
      <c r="AP19" s="242"/>
      <c r="AQ19" s="242"/>
      <c r="AR19" s="242"/>
      <c r="AS19" s="242"/>
      <c r="AT19" s="242"/>
      <c r="AU19" s="242"/>
      <c r="AV19" s="242"/>
      <c r="AW19" s="243"/>
      <c r="AX19" s="242"/>
    </row>
    <row r="20" spans="1:50" ht="18" hidden="1" customHeight="1" outlineLevel="2" x14ac:dyDescent="0.3">
      <c r="A20" s="242"/>
      <c r="B20" s="7" t="str">
        <f>IF(Table_FormDonBan[[#This Row],[SKU]]&lt;&gt;"",COUNTIF(C$17:C20,"&lt;&gt;"""),"")</f>
        <v/>
      </c>
      <c r="C20" s="242"/>
      <c r="D20" s="7" t="str">
        <f xml:space="preserve">
IFERROR(VLOOKUP(Table_FormDonBan[[#This Row],[SKU]],Table_SKU[[Mã SKU]:[Mô tả]],Sheet_SKU!$H$1,0),"")</f>
        <v/>
      </c>
      <c r="E20" s="15"/>
      <c r="F20" s="15" t="str">
        <f>IFERROR(VLOOKUP(Table_FormDonBan[[#This Row],[SKU]],Table_SKU[[Mã SKU]:[Giá bán]],Sheet_SKU!$J$1,0),"")</f>
        <v/>
      </c>
      <c r="G20" s="244"/>
      <c r="H20" s="244">
        <f>Table_FormDonBan[[#This Row],[ĐK - Phân loại]]*Table_FormDonBan[[#This Row],[ĐK - Thời gian]]*Table_FormDonBan[[#This Row],[ĐK - Giá trị]]*Table_FormDonBan[[#This Row],[ĐK - Số lượng]]*Table_FormDonBan[[#This Row],[ĐK - Sinh nhật]]*Table_FormDonBan[[#This Row],[ĐK - Ngày mua cuối]]</f>
        <v>1</v>
      </c>
      <c r="I20" s="244">
        <f xml:space="preserve">
IF(ISBLANK(Table_FormDonBan[[#This Row],[Chương trình]]),1,
IF(VLOOKUP(Table_FormDonBan[[#This Row],[Chương trình]],Table_ChuongTrinh[[Mã Chương trình]:[Đối tượng CK]],Sheet_ChuongTrinh!$C$1,0) = "Sản phẩm",1,0))</f>
        <v>1</v>
      </c>
      <c r="J20"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4"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8"/>
      <c r="T20" s="242"/>
      <c r="U20" s="242"/>
      <c r="V20" s="242"/>
      <c r="W20" s="242"/>
      <c r="X20" s="242"/>
      <c r="Y20" s="248"/>
      <c r="Z20" s="242"/>
      <c r="AA20" s="242"/>
      <c r="AB20" s="242"/>
      <c r="AC20" s="242"/>
      <c r="AD20" s="248"/>
      <c r="AE20" s="248"/>
      <c r="AF20" s="248"/>
      <c r="AG20" s="248"/>
      <c r="AH20" s="242"/>
      <c r="AI20" s="242"/>
      <c r="AJ20" s="242"/>
      <c r="AK20" s="242"/>
      <c r="AL20" s="242"/>
      <c r="AM20" s="242"/>
      <c r="AN20" s="242"/>
      <c r="AO20" s="242"/>
      <c r="AP20" s="242"/>
      <c r="AQ20" s="242"/>
      <c r="AR20" s="242"/>
      <c r="AS20" s="242"/>
      <c r="AT20" s="242"/>
      <c r="AU20" s="242"/>
      <c r="AV20" s="242"/>
      <c r="AW20" s="243"/>
      <c r="AX20" s="242"/>
    </row>
    <row r="21" spans="1:50" ht="18" hidden="1" customHeight="1" outlineLevel="2" x14ac:dyDescent="0.3">
      <c r="A21" s="242"/>
      <c r="B21" s="7" t="str">
        <f>IF(Table_FormDonBan[[#This Row],[SKU]]&lt;&gt;"",COUNTIF(C$17:C21,"&lt;&gt;"""),"")</f>
        <v/>
      </c>
      <c r="C21" s="242"/>
      <c r="D21" s="7" t="str">
        <f xml:space="preserve">
IFERROR(VLOOKUP(Table_FormDonBan[[#This Row],[SKU]],Table_SKU[[Mã SKU]:[Mô tả]],Sheet_SKU!$H$1,0),"")</f>
        <v/>
      </c>
      <c r="E21" s="15"/>
      <c r="F21" s="15" t="str">
        <f>IFERROR(VLOOKUP(Table_FormDonBan[[#This Row],[SKU]],Table_SKU[[Mã SKU]:[Giá bán]],Sheet_SKU!$J$1,0),"")</f>
        <v/>
      </c>
      <c r="G21" s="244"/>
      <c r="H21" s="244">
        <f>Table_FormDonBan[[#This Row],[ĐK - Phân loại]]*Table_FormDonBan[[#This Row],[ĐK - Thời gian]]*Table_FormDonBan[[#This Row],[ĐK - Giá trị]]*Table_FormDonBan[[#This Row],[ĐK - Số lượng]]*Table_FormDonBan[[#This Row],[ĐK - Sinh nhật]]*Table_FormDonBan[[#This Row],[ĐK - Ngày mua cuối]]</f>
        <v>1</v>
      </c>
      <c r="I21" s="244">
        <f xml:space="preserve">
IF(ISBLANK(Table_FormDonBan[[#This Row],[Chương trình]]),1,
IF(VLOOKUP(Table_FormDonBan[[#This Row],[Chương trình]],Table_ChuongTrinh[[Mã Chương trình]:[Đối tượng CK]],Sheet_ChuongTrinh!$C$1,0) = "Sản phẩm",1,0))</f>
        <v>1</v>
      </c>
      <c r="J21"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4"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8"/>
      <c r="T21" s="242"/>
      <c r="U21" s="242"/>
      <c r="V21" s="242"/>
      <c r="W21" s="242"/>
      <c r="X21" s="242"/>
      <c r="Y21" s="248"/>
      <c r="Z21" s="242"/>
      <c r="AA21" s="242"/>
      <c r="AB21" s="242"/>
      <c r="AC21" s="242"/>
      <c r="AD21" s="248"/>
      <c r="AE21" s="248"/>
      <c r="AF21" s="248"/>
      <c r="AG21" s="248"/>
      <c r="AH21" s="242"/>
      <c r="AI21" s="242"/>
      <c r="AJ21" s="242"/>
      <c r="AK21" s="242"/>
      <c r="AL21" s="242"/>
      <c r="AM21" s="242"/>
      <c r="AN21" s="242"/>
      <c r="AO21" s="242"/>
      <c r="AP21" s="242"/>
      <c r="AQ21" s="242"/>
      <c r="AR21" s="242"/>
      <c r="AS21" s="242"/>
      <c r="AT21" s="242"/>
      <c r="AU21" s="242"/>
      <c r="AV21" s="242"/>
      <c r="AW21" s="243"/>
      <c r="AX21" s="242"/>
    </row>
    <row r="22" spans="1:50" ht="18" hidden="1" customHeight="1" outlineLevel="2" x14ac:dyDescent="0.3">
      <c r="A22" s="242"/>
      <c r="B22" s="7" t="str">
        <f>IF(Table_FormDonBan[[#This Row],[SKU]]&lt;&gt;"",COUNTIF(C$17:C22,"&lt;&gt;"""),"")</f>
        <v/>
      </c>
      <c r="C22" s="242"/>
      <c r="D22" s="7" t="str">
        <f xml:space="preserve">
IFERROR(VLOOKUP(Table_FormDonBan[[#This Row],[SKU]],Table_SKU[[Mã SKU]:[Mô tả]],Sheet_SKU!$H$1,0),"")</f>
        <v/>
      </c>
      <c r="E22" s="15"/>
      <c r="F22" s="15" t="str">
        <f>IFERROR(VLOOKUP(Table_FormDonBan[[#This Row],[SKU]],Table_SKU[[Mã SKU]:[Giá bán]],Sheet_SKU!$J$1,0),"")</f>
        <v/>
      </c>
      <c r="G22" s="244"/>
      <c r="H22" s="244">
        <f>Table_FormDonBan[[#This Row],[ĐK - Phân loại]]*Table_FormDonBan[[#This Row],[ĐK - Thời gian]]*Table_FormDonBan[[#This Row],[ĐK - Giá trị]]*Table_FormDonBan[[#This Row],[ĐK - Số lượng]]*Table_FormDonBan[[#This Row],[ĐK - Sinh nhật]]*Table_FormDonBan[[#This Row],[ĐK - Ngày mua cuối]]</f>
        <v>1</v>
      </c>
      <c r="I22" s="244">
        <f xml:space="preserve">
IF(ISBLANK(Table_FormDonBan[[#This Row],[Chương trình]]),1,
IF(VLOOKUP(Table_FormDonBan[[#This Row],[Chương trình]],Table_ChuongTrinh[[Mã Chương trình]:[Đối tượng CK]],Sheet_ChuongTrinh!$C$1,0) = "Sản phẩm",1,0))</f>
        <v>1</v>
      </c>
      <c r="J22"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4"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8"/>
      <c r="T22" s="242"/>
      <c r="U22" s="242"/>
      <c r="V22" s="242"/>
      <c r="W22" s="242"/>
      <c r="X22" s="242"/>
      <c r="Y22" s="248"/>
      <c r="Z22" s="242"/>
      <c r="AA22" s="242"/>
      <c r="AB22" s="242"/>
      <c r="AC22" s="242"/>
      <c r="AD22" s="248"/>
      <c r="AE22" s="248"/>
      <c r="AF22" s="248"/>
      <c r="AG22" s="248"/>
      <c r="AH22" s="242"/>
      <c r="AI22" s="242"/>
      <c r="AJ22" s="242"/>
      <c r="AK22" s="242"/>
      <c r="AL22" s="242"/>
      <c r="AM22" s="242"/>
      <c r="AN22" s="242"/>
      <c r="AO22" s="242"/>
      <c r="AP22" s="242"/>
      <c r="AQ22" s="242"/>
      <c r="AR22" s="242"/>
      <c r="AS22" s="242"/>
      <c r="AT22" s="242"/>
      <c r="AU22" s="242"/>
      <c r="AV22" s="242"/>
      <c r="AW22" s="243"/>
      <c r="AX22" s="242"/>
    </row>
    <row r="23" spans="1:50" ht="18" hidden="1" customHeight="1" outlineLevel="2" x14ac:dyDescent="0.3">
      <c r="A23" s="242"/>
      <c r="B23" s="7" t="str">
        <f>IF(Table_FormDonBan[[#This Row],[SKU]]&lt;&gt;"",COUNTIF(C$17:C23,"&lt;&gt;"""),"")</f>
        <v/>
      </c>
      <c r="C23" s="242"/>
      <c r="D23" s="7" t="str">
        <f xml:space="preserve">
IFERROR(VLOOKUP(Table_FormDonBan[[#This Row],[SKU]],Table_SKU[[Mã SKU]:[Mô tả]],Sheet_SKU!$H$1,0),"")</f>
        <v/>
      </c>
      <c r="E23" s="15"/>
      <c r="F23" s="15" t="str">
        <f>IFERROR(VLOOKUP(Table_FormDonBan[[#This Row],[SKU]],Table_SKU[[Mã SKU]:[Giá bán]],Sheet_SKU!$J$1,0),"")</f>
        <v/>
      </c>
      <c r="G23" s="244"/>
      <c r="H23" s="244">
        <f>Table_FormDonBan[[#This Row],[ĐK - Phân loại]]*Table_FormDonBan[[#This Row],[ĐK - Thời gian]]*Table_FormDonBan[[#This Row],[ĐK - Giá trị]]*Table_FormDonBan[[#This Row],[ĐK - Số lượng]]*Table_FormDonBan[[#This Row],[ĐK - Sinh nhật]]*Table_FormDonBan[[#This Row],[ĐK - Ngày mua cuối]]</f>
        <v>1</v>
      </c>
      <c r="I23" s="244">
        <f xml:space="preserve">
IF(ISBLANK(Table_FormDonBan[[#This Row],[Chương trình]]),1,
IF(VLOOKUP(Table_FormDonBan[[#This Row],[Chương trình]],Table_ChuongTrinh[[Mã Chương trình]:[Đối tượng CK]],Sheet_ChuongTrinh!$C$1,0) = "Sản phẩm",1,0))</f>
        <v>1</v>
      </c>
      <c r="J23"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4"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8"/>
      <c r="T23" s="242"/>
      <c r="U23" s="242"/>
      <c r="V23" s="242"/>
      <c r="W23" s="242"/>
      <c r="X23" s="242"/>
      <c r="Y23" s="248"/>
      <c r="Z23" s="242"/>
      <c r="AA23" s="242"/>
      <c r="AB23" s="242"/>
      <c r="AC23" s="242"/>
      <c r="AD23" s="248"/>
      <c r="AE23" s="248"/>
      <c r="AF23" s="248"/>
      <c r="AG23" s="248"/>
      <c r="AH23" s="242"/>
      <c r="AI23" s="242"/>
      <c r="AJ23" s="242"/>
      <c r="AK23" s="242"/>
      <c r="AL23" s="242"/>
      <c r="AM23" s="242"/>
      <c r="AN23" s="242"/>
      <c r="AO23" s="242"/>
      <c r="AP23" s="242"/>
      <c r="AQ23" s="242"/>
      <c r="AR23" s="242"/>
      <c r="AS23" s="242"/>
      <c r="AT23" s="242"/>
      <c r="AU23" s="242"/>
      <c r="AV23" s="242"/>
      <c r="AW23" s="243"/>
      <c r="AX23" s="242"/>
    </row>
    <row r="24" spans="1:50" ht="18" hidden="1" customHeight="1" outlineLevel="2" x14ac:dyDescent="0.3">
      <c r="A24" s="242"/>
      <c r="B24" s="7" t="str">
        <f>IF(Table_FormDonBan[[#This Row],[SKU]]&lt;&gt;"",COUNTIF(C$17:C24,"&lt;&gt;"""),"")</f>
        <v/>
      </c>
      <c r="C24" s="242"/>
      <c r="D24" s="7" t="str">
        <f xml:space="preserve">
IFERROR(VLOOKUP(Table_FormDonBan[[#This Row],[SKU]],Table_SKU[[Mã SKU]:[Mô tả]],Sheet_SKU!$H$1,0),"")</f>
        <v/>
      </c>
      <c r="E24" s="15"/>
      <c r="F24" s="15" t="str">
        <f>IFERROR(VLOOKUP(Table_FormDonBan[[#This Row],[SKU]],Table_SKU[[Mã SKU]:[Giá bán]],Sheet_SKU!$J$1,0),"")</f>
        <v/>
      </c>
      <c r="G24" s="244"/>
      <c r="H24" s="244">
        <f>Table_FormDonBan[[#This Row],[ĐK - Phân loại]]*Table_FormDonBan[[#This Row],[ĐK - Thời gian]]*Table_FormDonBan[[#This Row],[ĐK - Giá trị]]*Table_FormDonBan[[#This Row],[ĐK - Số lượng]]*Table_FormDonBan[[#This Row],[ĐK - Sinh nhật]]*Table_FormDonBan[[#This Row],[ĐK - Ngày mua cuối]]</f>
        <v>1</v>
      </c>
      <c r="I24" s="244">
        <f xml:space="preserve">
IF(ISBLANK(Table_FormDonBan[[#This Row],[Chương trình]]),1,
IF(VLOOKUP(Table_FormDonBan[[#This Row],[Chương trình]],Table_ChuongTrinh[[Mã Chương trình]:[Đối tượng CK]],Sheet_ChuongTrinh!$C$1,0) = "Sản phẩm",1,0))</f>
        <v>1</v>
      </c>
      <c r="J24"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4"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8"/>
      <c r="T24" s="242"/>
      <c r="U24" s="242"/>
      <c r="V24" s="242"/>
      <c r="W24" s="242"/>
      <c r="X24" s="242"/>
      <c r="Y24" s="248"/>
      <c r="Z24" s="242"/>
      <c r="AA24" s="242"/>
      <c r="AB24" s="242"/>
      <c r="AC24" s="242"/>
      <c r="AD24" s="248"/>
      <c r="AE24" s="248"/>
      <c r="AF24" s="248"/>
      <c r="AG24" s="248"/>
      <c r="AH24" s="242"/>
      <c r="AI24" s="242"/>
      <c r="AJ24" s="242"/>
      <c r="AK24" s="242"/>
      <c r="AL24" s="242"/>
      <c r="AM24" s="242"/>
      <c r="AN24" s="242"/>
      <c r="AO24" s="242"/>
      <c r="AP24" s="242"/>
      <c r="AQ24" s="242"/>
      <c r="AR24" s="242"/>
      <c r="AS24" s="242"/>
      <c r="AT24" s="242"/>
      <c r="AU24" s="242"/>
      <c r="AV24" s="242"/>
      <c r="AW24" s="243"/>
      <c r="AX24" s="242"/>
    </row>
    <row r="25" spans="1:50" ht="18" hidden="1" customHeight="1" outlineLevel="2" x14ac:dyDescent="0.3">
      <c r="A25" s="242"/>
      <c r="B25" s="7" t="str">
        <f>IF(Table_FormDonBan[[#This Row],[SKU]]&lt;&gt;"",COUNTIF(C$17:C25,"&lt;&gt;"""),"")</f>
        <v/>
      </c>
      <c r="C25" s="242"/>
      <c r="D25" s="7" t="str">
        <f xml:space="preserve">
IFERROR(VLOOKUP(Table_FormDonBan[[#This Row],[SKU]],Table_SKU[[Mã SKU]:[Mô tả]],Sheet_SKU!$H$1,0),"")</f>
        <v/>
      </c>
      <c r="E25" s="15"/>
      <c r="F25" s="15" t="str">
        <f>IFERROR(VLOOKUP(Table_FormDonBan[[#This Row],[SKU]],Table_SKU[[Mã SKU]:[Giá bán]],Sheet_SKU!$J$1,0),"")</f>
        <v/>
      </c>
      <c r="G25" s="244"/>
      <c r="H25" s="244">
        <f>Table_FormDonBan[[#This Row],[ĐK - Phân loại]]*Table_FormDonBan[[#This Row],[ĐK - Thời gian]]*Table_FormDonBan[[#This Row],[ĐK - Giá trị]]*Table_FormDonBan[[#This Row],[ĐK - Số lượng]]*Table_FormDonBan[[#This Row],[ĐK - Sinh nhật]]*Table_FormDonBan[[#This Row],[ĐK - Ngày mua cuối]]</f>
        <v>1</v>
      </c>
      <c r="I25" s="244">
        <f xml:space="preserve">
IF(ISBLANK(Table_FormDonBan[[#This Row],[Chương trình]]),1,
IF(VLOOKUP(Table_FormDonBan[[#This Row],[Chương trình]],Table_ChuongTrinh[[Mã Chương trình]:[Đối tượng CK]],Sheet_ChuongTrinh!$C$1,0) = "Sản phẩm",1,0))</f>
        <v>1</v>
      </c>
      <c r="J25"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4"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8"/>
      <c r="T25" s="242"/>
      <c r="U25" s="242"/>
      <c r="V25" s="242"/>
      <c r="W25" s="242"/>
      <c r="X25" s="242"/>
      <c r="Y25" s="248"/>
      <c r="Z25" s="242"/>
      <c r="AA25" s="242"/>
      <c r="AB25" s="242"/>
      <c r="AC25" s="242"/>
      <c r="AD25" s="248"/>
      <c r="AE25" s="248"/>
      <c r="AF25" s="248"/>
      <c r="AG25" s="248"/>
      <c r="AH25" s="242"/>
      <c r="AI25" s="242"/>
      <c r="AJ25" s="242"/>
      <c r="AK25" s="242"/>
      <c r="AL25" s="242"/>
      <c r="AM25" s="242"/>
      <c r="AN25" s="242"/>
      <c r="AO25" s="242"/>
      <c r="AP25" s="242"/>
      <c r="AQ25" s="242"/>
      <c r="AR25" s="242"/>
      <c r="AS25" s="242"/>
      <c r="AT25" s="242"/>
      <c r="AU25" s="242"/>
      <c r="AV25" s="242"/>
      <c r="AW25" s="243"/>
      <c r="AX25" s="242"/>
    </row>
    <row r="26" spans="1:50" ht="18" hidden="1" customHeight="1" outlineLevel="2" x14ac:dyDescent="0.3">
      <c r="A26" s="242"/>
      <c r="B26" s="7" t="str">
        <f>IF(Table_FormDonBan[[#This Row],[SKU]]&lt;&gt;"",COUNTIF(C$17:C26,"&lt;&gt;"""),"")</f>
        <v/>
      </c>
      <c r="C26" s="242"/>
      <c r="D26" s="7" t="str">
        <f xml:space="preserve">
IFERROR(VLOOKUP(Table_FormDonBan[[#This Row],[SKU]],Table_SKU[[Mã SKU]:[Mô tả]],Sheet_SKU!$H$1,0),"")</f>
        <v/>
      </c>
      <c r="E26" s="15"/>
      <c r="F26" s="15" t="str">
        <f>IFERROR(VLOOKUP(Table_FormDonBan[[#This Row],[SKU]],Table_SKU[[Mã SKU]:[Giá bán]],Sheet_SKU!$J$1,0),"")</f>
        <v/>
      </c>
      <c r="G26" s="244"/>
      <c r="H26" s="244">
        <f>Table_FormDonBan[[#This Row],[ĐK - Phân loại]]*Table_FormDonBan[[#This Row],[ĐK - Thời gian]]*Table_FormDonBan[[#This Row],[ĐK - Giá trị]]*Table_FormDonBan[[#This Row],[ĐK - Số lượng]]*Table_FormDonBan[[#This Row],[ĐK - Sinh nhật]]*Table_FormDonBan[[#This Row],[ĐK - Ngày mua cuối]]</f>
        <v>1</v>
      </c>
      <c r="I26" s="244">
        <f xml:space="preserve">
IF(ISBLANK(Table_FormDonBan[[#This Row],[Chương trình]]),1,
IF(VLOOKUP(Table_FormDonBan[[#This Row],[Chương trình]],Table_ChuongTrinh[[Mã Chương trình]:[Đối tượng CK]],Sheet_ChuongTrinh!$C$1,0) = "Sản phẩm",1,0))</f>
        <v>1</v>
      </c>
      <c r="J26"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4"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8"/>
      <c r="T26" s="242"/>
      <c r="U26" s="242"/>
      <c r="V26" s="242"/>
      <c r="W26" s="242"/>
      <c r="X26" s="242"/>
      <c r="Y26" s="248"/>
      <c r="Z26" s="242"/>
      <c r="AA26" s="242"/>
      <c r="AB26" s="242"/>
      <c r="AC26" s="242"/>
      <c r="AD26" s="248"/>
      <c r="AE26" s="248"/>
      <c r="AF26" s="248"/>
      <c r="AG26" s="248"/>
      <c r="AH26" s="242"/>
      <c r="AI26" s="242"/>
      <c r="AJ26" s="242"/>
      <c r="AK26" s="242"/>
      <c r="AL26" s="242"/>
      <c r="AM26" s="242"/>
      <c r="AN26" s="242"/>
      <c r="AO26" s="242"/>
      <c r="AP26" s="242"/>
      <c r="AQ26" s="242"/>
      <c r="AR26" s="242"/>
      <c r="AS26" s="242"/>
      <c r="AT26" s="242"/>
      <c r="AU26" s="242"/>
      <c r="AV26" s="242"/>
      <c r="AW26" s="243"/>
      <c r="AX26" s="242"/>
    </row>
    <row r="27" spans="1:50" ht="18" hidden="1" customHeight="1" outlineLevel="2" x14ac:dyDescent="0.3">
      <c r="A27" s="242"/>
      <c r="B27" s="7" t="str">
        <f>IF(Table_FormDonBan[[#This Row],[SKU]]&lt;&gt;"",COUNTIF(C$17:C27,"&lt;&gt;"""),"")</f>
        <v/>
      </c>
      <c r="C27" s="242"/>
      <c r="D27" s="7" t="str">
        <f xml:space="preserve">
IFERROR(VLOOKUP(Table_FormDonBan[[#This Row],[SKU]],Table_SKU[[Mã SKU]:[Mô tả]],Sheet_SKU!$H$1,0),"")</f>
        <v/>
      </c>
      <c r="E27" s="15"/>
      <c r="F27" s="15" t="str">
        <f>IFERROR(VLOOKUP(Table_FormDonBan[[#This Row],[SKU]],Table_SKU[[Mã SKU]:[Giá bán]],Sheet_SKU!$J$1,0),"")</f>
        <v/>
      </c>
      <c r="G27" s="244"/>
      <c r="H27" s="244">
        <f>Table_FormDonBan[[#This Row],[ĐK - Phân loại]]*Table_FormDonBan[[#This Row],[ĐK - Thời gian]]*Table_FormDonBan[[#This Row],[ĐK - Giá trị]]*Table_FormDonBan[[#This Row],[ĐK - Số lượng]]*Table_FormDonBan[[#This Row],[ĐK - Sinh nhật]]*Table_FormDonBan[[#This Row],[ĐK - Ngày mua cuối]]</f>
        <v>1</v>
      </c>
      <c r="I27" s="244">
        <f xml:space="preserve">
IF(ISBLANK(Table_FormDonBan[[#This Row],[Chương trình]]),1,
IF(VLOOKUP(Table_FormDonBan[[#This Row],[Chương trình]],Table_ChuongTrinh[[Mã Chương trình]:[Đối tượng CK]],Sheet_ChuongTrinh!$C$1,0) = "Sản phẩm",1,0))</f>
        <v>1</v>
      </c>
      <c r="J2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4"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8"/>
      <c r="T27" s="242"/>
      <c r="U27" s="242"/>
      <c r="V27" s="242"/>
      <c r="W27" s="242"/>
      <c r="X27" s="242"/>
      <c r="Y27" s="248"/>
      <c r="Z27" s="242"/>
      <c r="AA27" s="242"/>
      <c r="AB27" s="242"/>
      <c r="AC27" s="242"/>
      <c r="AD27" s="248"/>
      <c r="AE27" s="248"/>
      <c r="AF27" s="248"/>
      <c r="AG27" s="248"/>
      <c r="AH27" s="242"/>
      <c r="AI27" s="242"/>
      <c r="AJ27" s="242"/>
      <c r="AK27" s="242"/>
      <c r="AL27" s="242"/>
      <c r="AM27" s="242"/>
      <c r="AN27" s="242"/>
      <c r="AO27" s="242"/>
      <c r="AP27" s="242"/>
      <c r="AQ27" s="242"/>
      <c r="AR27" s="242"/>
      <c r="AS27" s="242"/>
      <c r="AT27" s="242"/>
      <c r="AU27" s="242"/>
      <c r="AV27" s="242"/>
      <c r="AW27" s="243"/>
      <c r="AX27" s="242"/>
    </row>
    <row r="28" spans="1:50" ht="18" hidden="1" customHeight="1" outlineLevel="2" x14ac:dyDescent="0.3">
      <c r="A28" s="242"/>
      <c r="B28" s="7" t="str">
        <f>IF(Table_FormDonBan[[#This Row],[SKU]]&lt;&gt;"",COUNTIF(C$17:C28,"&lt;&gt;"""),"")</f>
        <v/>
      </c>
      <c r="C28" s="242"/>
      <c r="D28" s="7" t="str">
        <f xml:space="preserve">
IFERROR(VLOOKUP(Table_FormDonBan[[#This Row],[SKU]],Table_SKU[[Mã SKU]:[Mô tả]],Sheet_SKU!$H$1,0),"")</f>
        <v/>
      </c>
      <c r="E28" s="15"/>
      <c r="F28" s="15" t="str">
        <f>IFERROR(VLOOKUP(Table_FormDonBan[[#This Row],[SKU]],Table_SKU[[Mã SKU]:[Giá bán]],Sheet_SKU!$J$1,0),"")</f>
        <v/>
      </c>
      <c r="G28" s="244"/>
      <c r="H28" s="244">
        <f>Table_FormDonBan[[#This Row],[ĐK - Phân loại]]*Table_FormDonBan[[#This Row],[ĐK - Thời gian]]*Table_FormDonBan[[#This Row],[ĐK - Giá trị]]*Table_FormDonBan[[#This Row],[ĐK - Số lượng]]*Table_FormDonBan[[#This Row],[ĐK - Sinh nhật]]*Table_FormDonBan[[#This Row],[ĐK - Ngày mua cuối]]</f>
        <v>1</v>
      </c>
      <c r="I28" s="244">
        <f xml:space="preserve">
IF(ISBLANK(Table_FormDonBan[[#This Row],[Chương trình]]),1,
IF(VLOOKUP(Table_FormDonBan[[#This Row],[Chương trình]],Table_ChuongTrinh[[Mã Chương trình]:[Đối tượng CK]],Sheet_ChuongTrinh!$C$1,0) = "Sản phẩm",1,0))</f>
        <v>1</v>
      </c>
      <c r="J2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4"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8"/>
      <c r="T28" s="242"/>
      <c r="U28" s="242"/>
      <c r="V28" s="242"/>
      <c r="W28" s="242"/>
      <c r="X28" s="242"/>
      <c r="Y28" s="248"/>
      <c r="Z28" s="242"/>
      <c r="AA28" s="242"/>
      <c r="AB28" s="242"/>
      <c r="AC28" s="242"/>
      <c r="AD28" s="248"/>
      <c r="AE28" s="248"/>
      <c r="AF28" s="248"/>
      <c r="AG28" s="248"/>
      <c r="AH28" s="242"/>
      <c r="AI28" s="242"/>
      <c r="AJ28" s="242"/>
      <c r="AK28" s="242"/>
      <c r="AL28" s="242"/>
      <c r="AM28" s="242"/>
      <c r="AN28" s="242"/>
      <c r="AO28" s="242"/>
      <c r="AP28" s="242"/>
      <c r="AQ28" s="242"/>
      <c r="AR28" s="242"/>
      <c r="AS28" s="242"/>
      <c r="AT28" s="242"/>
      <c r="AU28" s="242"/>
      <c r="AV28" s="242"/>
      <c r="AW28" s="243"/>
      <c r="AX28" s="242"/>
    </row>
    <row r="29" spans="1:50" ht="18" hidden="1" customHeight="1" outlineLevel="2" x14ac:dyDescent="0.3">
      <c r="A29" s="242"/>
      <c r="B29" s="276"/>
      <c r="C29" s="276"/>
      <c r="D29" s="276"/>
      <c r="E29" s="276"/>
      <c r="F29" s="276"/>
      <c r="G29" s="276"/>
      <c r="H29" s="276"/>
      <c r="I29" s="276"/>
      <c r="J29" s="276"/>
      <c r="K29" s="276"/>
      <c r="L29" s="276"/>
      <c r="M29" s="276"/>
      <c r="N29" s="276"/>
      <c r="O29" s="276"/>
      <c r="P29" s="297"/>
      <c r="Q29" s="276"/>
      <c r="R29" s="276"/>
      <c r="S29" s="275"/>
      <c r="T29" s="248"/>
      <c r="U29" s="248"/>
      <c r="V29" s="242"/>
      <c r="W29" s="242"/>
      <c r="X29" s="242"/>
      <c r="Y29" s="242"/>
      <c r="Z29" s="248"/>
      <c r="AA29" s="242"/>
      <c r="AB29" s="242"/>
      <c r="AC29" s="242"/>
      <c r="AD29" s="242"/>
      <c r="AE29" s="248"/>
      <c r="AF29" s="248"/>
      <c r="AG29" s="248"/>
      <c r="AH29" s="248"/>
      <c r="AI29" s="248"/>
      <c r="AJ29" s="242"/>
      <c r="AK29" s="242"/>
      <c r="AL29" s="242"/>
      <c r="AM29" s="242"/>
      <c r="AN29" s="242"/>
      <c r="AO29" s="242"/>
      <c r="AP29" s="242"/>
      <c r="AQ29" s="242"/>
      <c r="AR29" s="242"/>
      <c r="AS29" s="242"/>
      <c r="AT29" s="242"/>
      <c r="AU29" s="242"/>
      <c r="AV29" s="242"/>
      <c r="AW29" s="242"/>
      <c r="AX29" s="243"/>
    </row>
    <row r="30" spans="1:50" ht="18" hidden="1" customHeight="1" outlineLevel="1" x14ac:dyDescent="0.3">
      <c r="A30" s="242"/>
      <c r="B30" s="61" t="s">
        <v>544</v>
      </c>
      <c r="C30" s="287"/>
      <c r="D30" s="287"/>
      <c r="E30" s="288"/>
      <c r="F30" s="94" t="s">
        <v>734</v>
      </c>
      <c r="G30" s="276"/>
      <c r="H30" s="276"/>
      <c r="I30" s="276"/>
      <c r="J30" s="276"/>
      <c r="K30" s="276"/>
      <c r="L30" s="276"/>
      <c r="M30" s="276"/>
      <c r="N30" s="276"/>
      <c r="O30" s="276"/>
      <c r="P30" s="581" cm="1">
        <f t="array" ref="P30">IFERROR(
SUM(_xlfn._xlws.FILTER(Table_FormDonBan[Thành tiền],
(NOT(ISBLANK(Table_FormDonBan[SKU])))
)),0)</f>
        <v>0</v>
      </c>
      <c r="Q30" s="581"/>
      <c r="R30" s="276"/>
      <c r="S30" s="275"/>
      <c r="T30" s="248"/>
      <c r="U30" s="248"/>
      <c r="V30" s="242"/>
      <c r="W30" s="242"/>
      <c r="X30" s="242"/>
      <c r="Y30" s="242"/>
      <c r="Z30" s="248"/>
      <c r="AA30" s="242"/>
      <c r="AB30" s="242"/>
      <c r="AC30" s="242"/>
      <c r="AD30" s="242"/>
      <c r="AE30" s="248"/>
      <c r="AF30" s="248"/>
      <c r="AG30" s="248"/>
      <c r="AH30" s="248"/>
      <c r="AI30" s="248"/>
      <c r="AJ30" s="242"/>
      <c r="AK30" s="242"/>
      <c r="AL30" s="242"/>
      <c r="AM30" s="242"/>
      <c r="AN30" s="242"/>
      <c r="AO30" s="242"/>
      <c r="AP30" s="242"/>
      <c r="AQ30" s="242"/>
      <c r="AR30" s="242"/>
      <c r="AS30" s="242"/>
      <c r="AT30" s="242"/>
      <c r="AU30" s="242"/>
      <c r="AV30" s="242"/>
      <c r="AW30" s="242"/>
      <c r="AX30" s="243"/>
    </row>
    <row r="31" spans="1:50" ht="18" hidden="1" customHeight="1" outlineLevel="2" x14ac:dyDescent="0.3">
      <c r="A31" s="242"/>
      <c r="B31" s="430"/>
      <c r="C31" s="276"/>
      <c r="D31" s="276"/>
      <c r="E31" s="291"/>
      <c r="F31" s="94" t="s">
        <v>925</v>
      </c>
      <c r="G31" s="276"/>
      <c r="H31" s="276"/>
      <c r="I31" s="276"/>
      <c r="J31" s="276"/>
      <c r="K31" s="276"/>
      <c r="L31" s="276"/>
      <c r="M31" s="276"/>
      <c r="N31" s="276"/>
      <c r="O31" s="276"/>
      <c r="P31" s="583" cm="1">
        <f t="array" ref="P31"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Q31" s="583"/>
      <c r="R31" s="276"/>
      <c r="S31" s="275"/>
      <c r="T31" s="248"/>
      <c r="U31" s="248"/>
      <c r="V31" s="242"/>
      <c r="W31" s="242"/>
      <c r="X31" s="242"/>
      <c r="Y31" s="242"/>
      <c r="Z31" s="248"/>
      <c r="AA31" s="242"/>
      <c r="AB31" s="242"/>
      <c r="AC31" s="242"/>
      <c r="AD31" s="242"/>
      <c r="AE31" s="248"/>
      <c r="AF31" s="248"/>
      <c r="AG31" s="248"/>
      <c r="AH31" s="248"/>
      <c r="AI31" s="248"/>
      <c r="AJ31" s="242"/>
      <c r="AK31" s="242"/>
      <c r="AL31" s="242"/>
      <c r="AM31" s="242"/>
      <c r="AN31" s="242"/>
      <c r="AO31" s="242"/>
      <c r="AP31" s="242"/>
      <c r="AQ31" s="242"/>
      <c r="AR31" s="242"/>
      <c r="AS31" s="242"/>
      <c r="AT31" s="242"/>
      <c r="AU31" s="242"/>
      <c r="AV31" s="242"/>
      <c r="AW31" s="242"/>
      <c r="AX31" s="243"/>
    </row>
    <row r="32" spans="1:50" ht="18" hidden="1" customHeight="1" outlineLevel="2" x14ac:dyDescent="0.3">
      <c r="A32" s="242"/>
      <c r="B32" s="430"/>
      <c r="C32" s="276"/>
      <c r="D32" s="276"/>
      <c r="E32" s="291"/>
      <c r="F32" s="94" t="s">
        <v>926</v>
      </c>
      <c r="G32" s="276"/>
      <c r="H32" s="276"/>
      <c r="I32" s="276"/>
      <c r="J32" s="276"/>
      <c r="K32" s="276"/>
      <c r="L32" s="276"/>
      <c r="M32" s="276"/>
      <c r="N32" s="276"/>
      <c r="O32" s="276"/>
      <c r="P32" s="584"/>
      <c r="Q32" s="584"/>
      <c r="R32" s="276"/>
      <c r="S32" s="275"/>
      <c r="T32" s="248"/>
      <c r="U32" s="248"/>
      <c r="V32" s="242"/>
      <c r="W32" s="242"/>
      <c r="X32" s="242"/>
      <c r="Y32" s="242"/>
      <c r="Z32" s="248"/>
      <c r="AA32" s="242"/>
      <c r="AB32" s="242"/>
      <c r="AC32" s="242"/>
      <c r="AD32" s="242"/>
      <c r="AE32" s="248"/>
      <c r="AF32" s="248"/>
      <c r="AG32" s="248"/>
      <c r="AH32" s="248"/>
      <c r="AI32" s="248"/>
      <c r="AJ32" s="242"/>
      <c r="AK32" s="242"/>
      <c r="AL32" s="242"/>
      <c r="AM32" s="242"/>
      <c r="AN32" s="242"/>
      <c r="AO32" s="242"/>
      <c r="AP32" s="242"/>
      <c r="AQ32" s="242"/>
      <c r="AR32" s="242"/>
      <c r="AS32" s="242"/>
      <c r="AT32" s="242"/>
      <c r="AU32" s="242"/>
      <c r="AV32" s="242"/>
      <c r="AW32" s="242"/>
      <c r="AX32" s="243"/>
    </row>
    <row r="33" spans="1:50" ht="18" hidden="1" customHeight="1" outlineLevel="2" x14ac:dyDescent="0.3">
      <c r="A33" s="242"/>
      <c r="B33" s="290"/>
      <c r="C33" s="276"/>
      <c r="D33" s="276"/>
      <c r="E33" s="291"/>
      <c r="F33" s="94" t="s">
        <v>237</v>
      </c>
      <c r="G33" s="276"/>
      <c r="H33" s="276">
        <f>I33*J33*K33*L33*M33*N33</f>
        <v>1</v>
      </c>
      <c r="I33" s="276">
        <f xml:space="preserve">
IF(ISBLANK(P33),1,
IF(VLOOKUP(P33,Table_ChuongTrinh[[Mã Chương trình]:[Đối tượng CK]],Sheet_ChuongTrinh!$C$1,0) = "Đơn hàng",1,0))</f>
        <v>1</v>
      </c>
      <c r="J33" s="276">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6">
        <f>IF(ISBLANK(P33),
1,
IF(ISBLANK(VLOOKUP(P33,Table_ChuongTrinh[],Sheet_ChuongTrinh!$J$1,0)),
1,
IF(P30&gt;= VLOOKUP(P33,Table_ChuongTrinh[],Sheet_ChuongTrinh!$J$1,0),
1,
0)))</f>
        <v>1</v>
      </c>
      <c r="L33" s="276">
        <f>IF(ISBLANK(P33),
1,
IF(ISBLANK(VLOOKUP(P33,Table_ChuongTrinh[],Sheet_ChuongTrinh!$I$1,0)),
1,
IF(COUNTIF(Table_DonBan[Chương trình],P33)+1
&lt;= VLOOKUP(P33,Table_ChuongTrinh[],Sheet_ChuongTrinh!$I$1,0),
1,
0)))</f>
        <v>1</v>
      </c>
      <c r="M33" s="276">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6"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6"/>
      <c r="P33" s="582"/>
      <c r="Q33" s="582"/>
      <c r="R33" s="276"/>
      <c r="S33" s="275"/>
      <c r="T33" s="248"/>
      <c r="U33" s="248"/>
      <c r="V33" s="242"/>
      <c r="W33" s="242"/>
      <c r="X33" s="242"/>
      <c r="Y33" s="242"/>
      <c r="Z33" s="248"/>
      <c r="AA33" s="242"/>
      <c r="AB33" s="242"/>
      <c r="AC33" s="242"/>
      <c r="AD33" s="242"/>
      <c r="AE33" s="248"/>
      <c r="AF33" s="248"/>
      <c r="AG33" s="248"/>
      <c r="AH33" s="248"/>
      <c r="AI33" s="248"/>
      <c r="AJ33" s="242"/>
      <c r="AK33" s="242"/>
      <c r="AL33" s="242"/>
      <c r="AM33" s="242"/>
      <c r="AN33" s="242"/>
      <c r="AO33" s="242"/>
      <c r="AP33" s="242"/>
      <c r="AQ33" s="242"/>
      <c r="AR33" s="242"/>
      <c r="AS33" s="242"/>
      <c r="AT33" s="242"/>
      <c r="AU33" s="242"/>
      <c r="AV33" s="242"/>
      <c r="AW33" s="242"/>
      <c r="AX33" s="243"/>
    </row>
    <row r="34" spans="1:50" ht="18" hidden="1" customHeight="1" outlineLevel="1" x14ac:dyDescent="0.3">
      <c r="A34" s="242"/>
      <c r="B34" s="290"/>
      <c r="C34" s="276"/>
      <c r="D34" s="276"/>
      <c r="E34" s="291"/>
      <c r="F34" s="94" t="s">
        <v>735</v>
      </c>
      <c r="G34" s="276"/>
      <c r="H34" s="276"/>
      <c r="I34" s="276"/>
      <c r="J34" s="276"/>
      <c r="K34" s="276"/>
      <c r="L34" s="276"/>
      <c r="M34" s="276"/>
      <c r="N34" s="276"/>
      <c r="O34" s="276"/>
      <c r="P34" s="583">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83"/>
      <c r="R34" s="276"/>
      <c r="S34" s="275"/>
      <c r="T34" s="248"/>
      <c r="U34" s="248"/>
      <c r="V34" s="242"/>
      <c r="W34" s="242"/>
      <c r="X34" s="242"/>
      <c r="Y34" s="242"/>
      <c r="Z34" s="248"/>
      <c r="AA34" s="242"/>
      <c r="AB34" s="242"/>
      <c r="AC34" s="242"/>
      <c r="AD34" s="242"/>
      <c r="AE34" s="248"/>
      <c r="AF34" s="248"/>
      <c r="AG34" s="248"/>
      <c r="AH34" s="248"/>
      <c r="AI34" s="248"/>
      <c r="AJ34" s="242"/>
      <c r="AK34" s="242"/>
      <c r="AL34" s="242"/>
      <c r="AM34" s="242"/>
      <c r="AN34" s="242"/>
      <c r="AO34" s="242"/>
      <c r="AP34" s="242"/>
      <c r="AQ34" s="242"/>
      <c r="AR34" s="242"/>
      <c r="AS34" s="242"/>
      <c r="AT34" s="242"/>
      <c r="AU34" s="242"/>
      <c r="AV34" s="242"/>
      <c r="AW34" s="242"/>
      <c r="AX34" s="243"/>
    </row>
    <row r="35" spans="1:50" ht="18" hidden="1" customHeight="1" outlineLevel="1" x14ac:dyDescent="0.3">
      <c r="A35" s="242"/>
      <c r="B35" s="290"/>
      <c r="C35" s="276"/>
      <c r="D35" s="276"/>
      <c r="E35" s="291"/>
      <c r="F35" s="94" t="s">
        <v>736</v>
      </c>
      <c r="G35" s="276"/>
      <c r="H35" s="276"/>
      <c r="I35" s="276"/>
      <c r="J35" s="276"/>
      <c r="K35" s="276"/>
      <c r="L35" s="276"/>
      <c r="M35" s="276"/>
      <c r="N35" s="276"/>
      <c r="O35" s="276"/>
      <c r="P35" s="583" cm="1">
        <f t="array" ref="P35" xml:space="preserve">
IFERROR(
IFERROR(
SUM(_xlfn._xlws.FILTER(Table_FormDonBan[VAT],
(NOT(ISBLANK(Table_FormDonBan[SKU])))
)),0)
-P34*
IFERROR(
SUM(_xlfn._xlws.FILTER(Table_FormDonBan[VAT],
(NOT(ISBLANK(Table_FormDonBan[SKU])))
)),0)/P30,0)</f>
        <v>0</v>
      </c>
      <c r="Q35" s="583"/>
      <c r="R35" s="242"/>
      <c r="S35" s="275"/>
      <c r="T35" s="248"/>
      <c r="U35" s="248"/>
      <c r="V35" s="242"/>
      <c r="W35" s="242"/>
      <c r="X35" s="242"/>
      <c r="Y35" s="242"/>
      <c r="Z35" s="248"/>
      <c r="AA35" s="242"/>
      <c r="AB35" s="242"/>
      <c r="AC35" s="242"/>
      <c r="AD35" s="242"/>
      <c r="AE35" s="248"/>
      <c r="AF35" s="248"/>
      <c r="AG35" s="248"/>
      <c r="AH35" s="248"/>
      <c r="AI35" s="248"/>
      <c r="AJ35" s="242"/>
      <c r="AK35" s="242"/>
      <c r="AL35" s="242"/>
      <c r="AM35" s="242"/>
      <c r="AN35" s="242"/>
      <c r="AO35" s="242"/>
      <c r="AP35" s="242"/>
      <c r="AQ35" s="242"/>
      <c r="AR35" s="242"/>
      <c r="AS35" s="242"/>
      <c r="AT35" s="242"/>
      <c r="AU35" s="242"/>
      <c r="AV35" s="242"/>
      <c r="AW35" s="242"/>
      <c r="AX35" s="243"/>
    </row>
    <row r="36" spans="1:50" ht="18" hidden="1" customHeight="1" outlineLevel="1" x14ac:dyDescent="0.3">
      <c r="A36" s="242"/>
      <c r="B36" s="292"/>
      <c r="C36" s="293"/>
      <c r="D36" s="293"/>
      <c r="E36" s="294"/>
      <c r="F36" s="579" t="s">
        <v>737</v>
      </c>
      <c r="G36" s="580"/>
      <c r="H36" s="580"/>
      <c r="I36" s="580"/>
      <c r="J36" s="580"/>
      <c r="K36" s="580"/>
      <c r="L36" s="580"/>
      <c r="M36" s="580"/>
      <c r="N36" s="580"/>
      <c r="O36" s="580"/>
      <c r="P36" s="578">
        <f>+P30-P34+P35</f>
        <v>0</v>
      </c>
      <c r="Q36" s="578"/>
      <c r="R36" s="295"/>
      <c r="S36" s="275"/>
      <c r="T36" s="248"/>
      <c r="U36" s="248"/>
      <c r="V36" s="242"/>
      <c r="W36" s="242"/>
      <c r="X36" s="242"/>
      <c r="Y36" s="242"/>
      <c r="Z36" s="248"/>
      <c r="AA36" s="242"/>
      <c r="AB36" s="242"/>
      <c r="AC36" s="242"/>
      <c r="AD36" s="242"/>
      <c r="AE36" s="248"/>
      <c r="AF36" s="248"/>
      <c r="AG36" s="248"/>
      <c r="AH36" s="248"/>
      <c r="AI36" s="248"/>
      <c r="AJ36" s="242"/>
      <c r="AK36" s="242"/>
      <c r="AL36" s="242"/>
      <c r="AM36" s="242"/>
      <c r="AN36" s="242"/>
      <c r="AO36" s="242"/>
      <c r="AP36" s="242"/>
      <c r="AQ36" s="242"/>
      <c r="AR36" s="242"/>
      <c r="AS36" s="242"/>
      <c r="AT36" s="242"/>
      <c r="AU36" s="242"/>
      <c r="AV36" s="242"/>
      <c r="AW36" s="242"/>
      <c r="AX36" s="243"/>
    </row>
    <row r="37" spans="1:50" ht="18" hidden="1" customHeight="1" outlineLevel="1" x14ac:dyDescent="0.3">
      <c r="A37" s="242"/>
      <c r="B37" s="276"/>
      <c r="C37" s="276"/>
      <c r="D37" s="276"/>
      <c r="E37" s="276"/>
      <c r="F37" s="276"/>
      <c r="G37" s="276"/>
      <c r="H37" s="276"/>
      <c r="I37" s="276"/>
      <c r="J37" s="276"/>
      <c r="K37" s="276"/>
      <c r="L37" s="276"/>
      <c r="M37" s="276"/>
      <c r="N37" s="276"/>
      <c r="O37" s="276"/>
      <c r="P37" s="297"/>
      <c r="Q37" s="276"/>
      <c r="R37" s="276"/>
      <c r="S37" s="275"/>
      <c r="T37" s="248"/>
      <c r="U37" s="248"/>
      <c r="V37" s="242"/>
      <c r="W37" s="242"/>
      <c r="X37" s="242"/>
      <c r="Y37" s="242"/>
      <c r="Z37" s="248"/>
      <c r="AA37" s="242"/>
      <c r="AB37" s="242"/>
      <c r="AC37" s="242"/>
      <c r="AD37" s="242"/>
      <c r="AE37" s="248"/>
      <c r="AF37" s="248"/>
      <c r="AG37" s="248"/>
      <c r="AH37" s="248"/>
      <c r="AI37" s="248"/>
      <c r="AJ37" s="242"/>
      <c r="AK37" s="242"/>
      <c r="AL37" s="242"/>
      <c r="AM37" s="242"/>
      <c r="AN37" s="242"/>
      <c r="AO37" s="242"/>
      <c r="AP37" s="242"/>
      <c r="AQ37" s="242"/>
      <c r="AR37" s="242"/>
      <c r="AS37" s="242"/>
      <c r="AT37" s="242"/>
      <c r="AU37" s="242"/>
      <c r="AV37" s="242"/>
      <c r="AW37" s="242"/>
      <c r="AX37" s="243"/>
    </row>
    <row r="38" spans="1:50" ht="18" hidden="1" customHeight="1" outlineLevel="1" x14ac:dyDescent="0.3">
      <c r="A38" s="242"/>
      <c r="B38" s="276"/>
      <c r="C38" s="276"/>
      <c r="D38" s="276"/>
      <c r="E38" s="276"/>
      <c r="F38" s="242"/>
      <c r="G38" s="311"/>
      <c r="H38" s="311"/>
      <c r="I38" s="311"/>
      <c r="J38" s="311"/>
      <c r="K38" s="311"/>
      <c r="L38" s="311"/>
      <c r="M38" s="311"/>
      <c r="N38" s="311"/>
      <c r="O38" s="566" t="str">
        <f>B1</f>
        <v>Công ty ABC XYZ</v>
      </c>
      <c r="P38" s="567"/>
      <c r="Q38" s="567"/>
      <c r="R38" s="311"/>
      <c r="S38" s="275"/>
      <c r="T38" s="248"/>
      <c r="U38" s="248"/>
      <c r="V38" s="242"/>
      <c r="W38" s="242"/>
      <c r="X38" s="242"/>
      <c r="Y38" s="242"/>
      <c r="Z38" s="248"/>
      <c r="AA38" s="242"/>
      <c r="AB38" s="242"/>
      <c r="AC38" s="242"/>
      <c r="AD38" s="242"/>
      <c r="AE38" s="248"/>
      <c r="AF38" s="248"/>
      <c r="AG38" s="248"/>
      <c r="AH38" s="248"/>
      <c r="AI38" s="248"/>
      <c r="AJ38" s="242"/>
      <c r="AK38" s="242"/>
      <c r="AL38" s="242"/>
      <c r="AM38" s="242"/>
      <c r="AN38" s="242"/>
      <c r="AO38" s="242"/>
      <c r="AP38" s="242"/>
      <c r="AQ38" s="242"/>
      <c r="AR38" s="242"/>
      <c r="AS38" s="242"/>
      <c r="AT38" s="242"/>
      <c r="AU38" s="242"/>
      <c r="AV38" s="242"/>
      <c r="AW38" s="242"/>
      <c r="AX38" s="243"/>
    </row>
    <row r="39" spans="1:50" ht="18" hidden="1" customHeight="1" outlineLevel="1" x14ac:dyDescent="0.3">
      <c r="A39" s="242"/>
      <c r="B39" s="276"/>
      <c r="C39" s="276"/>
      <c r="D39" s="276"/>
      <c r="E39" s="276"/>
      <c r="F39" s="242"/>
      <c r="G39" s="311"/>
      <c r="H39" s="311"/>
      <c r="I39" s="311"/>
      <c r="J39" s="311"/>
      <c r="K39" s="311"/>
      <c r="L39" s="311"/>
      <c r="M39" s="311"/>
      <c r="N39" s="311"/>
      <c r="O39" s="566" t="s">
        <v>738</v>
      </c>
      <c r="P39" s="567"/>
      <c r="Q39" s="567"/>
      <c r="R39" s="311"/>
      <c r="S39" s="275"/>
      <c r="T39" s="248"/>
      <c r="U39" s="248"/>
      <c r="V39" s="242"/>
      <c r="W39" s="242"/>
      <c r="X39" s="242"/>
      <c r="Y39" s="242"/>
      <c r="Z39" s="248"/>
      <c r="AA39" s="242"/>
      <c r="AB39" s="242"/>
      <c r="AC39" s="242"/>
      <c r="AD39" s="242"/>
      <c r="AE39" s="248"/>
      <c r="AF39" s="248"/>
      <c r="AG39" s="248"/>
      <c r="AH39" s="248"/>
      <c r="AI39" s="248"/>
      <c r="AJ39" s="242"/>
      <c r="AK39" s="242"/>
      <c r="AL39" s="242"/>
      <c r="AM39" s="242"/>
      <c r="AN39" s="242"/>
      <c r="AO39" s="242"/>
      <c r="AP39" s="242"/>
      <c r="AQ39" s="242"/>
      <c r="AR39" s="242"/>
      <c r="AS39" s="242"/>
      <c r="AT39" s="242"/>
      <c r="AU39" s="242"/>
      <c r="AV39" s="242"/>
      <c r="AW39" s="242"/>
      <c r="AX39" s="243"/>
    </row>
    <row r="40" spans="1:50" ht="18" hidden="1" customHeight="1" outlineLevel="1" x14ac:dyDescent="0.3">
      <c r="A40" s="242"/>
      <c r="B40" s="276"/>
      <c r="C40" s="276"/>
      <c r="D40" s="276"/>
      <c r="E40" s="276"/>
      <c r="F40" s="242"/>
      <c r="G40" s="311"/>
      <c r="H40" s="311"/>
      <c r="I40" s="311"/>
      <c r="J40" s="311"/>
      <c r="K40" s="311"/>
      <c r="L40" s="311"/>
      <c r="M40" s="311"/>
      <c r="N40" s="311"/>
      <c r="O40" s="564" t="str">
        <f>IFERROR(VLOOKUP(P8,Table_NhanVien[#All],Sheet_CauTruc!$T$1,0),"")</f>
        <v/>
      </c>
      <c r="P40" s="565"/>
      <c r="Q40" s="565"/>
      <c r="R40" s="311"/>
      <c r="S40" s="275"/>
      <c r="T40" s="248"/>
      <c r="U40" s="248"/>
      <c r="V40" s="242"/>
      <c r="W40" s="242"/>
      <c r="X40" s="242"/>
      <c r="Y40" s="242"/>
      <c r="Z40" s="248"/>
      <c r="AA40" s="242"/>
      <c r="AB40" s="242"/>
      <c r="AC40" s="242"/>
      <c r="AD40" s="242"/>
      <c r="AE40" s="248"/>
      <c r="AF40" s="248"/>
      <c r="AG40" s="248"/>
      <c r="AH40" s="248"/>
      <c r="AI40" s="248"/>
      <c r="AJ40" s="242"/>
      <c r="AK40" s="242"/>
      <c r="AL40" s="242"/>
      <c r="AM40" s="242"/>
      <c r="AN40" s="242"/>
      <c r="AO40" s="242"/>
      <c r="AP40" s="242"/>
      <c r="AQ40" s="242"/>
      <c r="AR40" s="242"/>
      <c r="AS40" s="242"/>
      <c r="AT40" s="242"/>
      <c r="AU40" s="242"/>
      <c r="AV40" s="242"/>
      <c r="AW40" s="242"/>
      <c r="AX40" s="243"/>
    </row>
    <row r="41" spans="1:50" ht="18" hidden="1" customHeight="1" outlineLevel="1" x14ac:dyDescent="0.3">
      <c r="A41" s="242"/>
      <c r="B41" s="276"/>
      <c r="C41" s="276"/>
      <c r="D41" s="276"/>
      <c r="E41" s="276"/>
      <c r="F41" s="242"/>
      <c r="G41" s="311"/>
      <c r="H41" s="311"/>
      <c r="I41" s="311"/>
      <c r="J41" s="311"/>
      <c r="K41" s="311"/>
      <c r="L41" s="311"/>
      <c r="M41" s="311"/>
      <c r="N41" s="311"/>
      <c r="O41" s="296"/>
      <c r="P41" s="296"/>
      <c r="Q41" s="296"/>
      <c r="R41" s="311"/>
      <c r="S41" s="275"/>
      <c r="T41" s="248"/>
      <c r="U41" s="248"/>
      <c r="V41" s="242"/>
      <c r="W41" s="242"/>
      <c r="X41" s="242"/>
      <c r="Y41" s="242"/>
      <c r="Z41" s="248"/>
      <c r="AA41" s="242"/>
      <c r="AB41" s="242"/>
      <c r="AC41" s="242"/>
      <c r="AD41" s="242"/>
      <c r="AE41" s="248"/>
      <c r="AF41" s="248"/>
      <c r="AG41" s="248"/>
      <c r="AH41" s="248"/>
      <c r="AI41" s="248"/>
      <c r="AJ41" s="242"/>
      <c r="AK41" s="242"/>
      <c r="AL41" s="242"/>
      <c r="AM41" s="242"/>
      <c r="AN41" s="242"/>
      <c r="AO41" s="242"/>
      <c r="AP41" s="242"/>
      <c r="AQ41" s="242"/>
      <c r="AR41" s="242"/>
      <c r="AS41" s="242"/>
      <c r="AT41" s="242"/>
      <c r="AU41" s="242"/>
      <c r="AV41" s="242"/>
      <c r="AW41" s="242"/>
      <c r="AX41" s="243"/>
    </row>
    <row r="42" spans="1:50" ht="18" hidden="1" customHeight="1" outlineLevel="1" x14ac:dyDescent="0.3">
      <c r="A42" s="242"/>
      <c r="B42" s="276"/>
      <c r="C42" s="276"/>
      <c r="D42" s="276"/>
      <c r="E42" s="276"/>
      <c r="F42" s="242"/>
      <c r="G42" s="276"/>
      <c r="H42" s="276"/>
      <c r="I42" s="276"/>
      <c r="J42" s="276"/>
      <c r="K42" s="276"/>
      <c r="L42" s="276"/>
      <c r="M42" s="276"/>
      <c r="N42" s="276"/>
      <c r="O42" s="276"/>
      <c r="P42" s="276"/>
      <c r="Q42" s="276"/>
      <c r="R42" s="276"/>
      <c r="S42" s="275"/>
      <c r="T42" s="248"/>
      <c r="U42" s="248"/>
      <c r="V42" s="242"/>
      <c r="W42" s="242"/>
      <c r="X42" s="242"/>
      <c r="Y42" s="242"/>
      <c r="Z42" s="248"/>
      <c r="AA42" s="242"/>
      <c r="AB42" s="242"/>
      <c r="AC42" s="242"/>
      <c r="AD42" s="242"/>
      <c r="AE42" s="248"/>
      <c r="AF42" s="248"/>
      <c r="AG42" s="248"/>
      <c r="AH42" s="248"/>
      <c r="AI42" s="248"/>
      <c r="AJ42" s="242"/>
      <c r="AK42" s="242"/>
      <c r="AL42" s="242"/>
      <c r="AM42" s="242"/>
      <c r="AN42" s="242"/>
      <c r="AO42" s="242"/>
      <c r="AP42" s="242"/>
      <c r="AQ42" s="242"/>
      <c r="AR42" s="242"/>
      <c r="AS42" s="242"/>
      <c r="AT42" s="242"/>
      <c r="AU42" s="242"/>
      <c r="AV42" s="242"/>
      <c r="AW42" s="242"/>
      <c r="AX42" s="243"/>
    </row>
    <row r="43" spans="1:50" ht="18" hidden="1" customHeight="1" outlineLevel="1" x14ac:dyDescent="0.3">
      <c r="A43" s="242"/>
      <c r="B43" s="276"/>
      <c r="C43" s="276"/>
      <c r="D43" s="276"/>
      <c r="E43" s="276"/>
      <c r="F43" s="242"/>
      <c r="G43" s="276"/>
      <c r="H43" s="276"/>
      <c r="I43" s="276"/>
      <c r="J43" s="276"/>
      <c r="K43" s="276"/>
      <c r="L43" s="276"/>
      <c r="M43" s="276"/>
      <c r="N43" s="276"/>
      <c r="O43" s="297"/>
      <c r="P43" s="297"/>
      <c r="Q43" s="297"/>
      <c r="R43" s="276"/>
      <c r="S43" s="275"/>
      <c r="T43" s="248"/>
      <c r="U43" s="248"/>
      <c r="V43" s="242"/>
      <c r="W43" s="242"/>
      <c r="X43" s="242"/>
      <c r="Y43" s="242"/>
      <c r="Z43" s="248"/>
      <c r="AA43" s="242"/>
      <c r="AB43" s="242"/>
      <c r="AC43" s="242"/>
      <c r="AD43" s="242"/>
      <c r="AE43" s="248"/>
      <c r="AF43" s="248"/>
      <c r="AG43" s="248"/>
      <c r="AH43" s="248"/>
      <c r="AI43" s="248"/>
      <c r="AJ43" s="242"/>
      <c r="AK43" s="242"/>
      <c r="AL43" s="242"/>
      <c r="AM43" s="242"/>
      <c r="AN43" s="242"/>
      <c r="AO43" s="242"/>
      <c r="AP43" s="242"/>
      <c r="AQ43" s="242"/>
      <c r="AR43" s="242"/>
      <c r="AS43" s="242"/>
      <c r="AT43" s="242"/>
      <c r="AU43" s="242"/>
      <c r="AV43" s="242"/>
      <c r="AW43" s="242"/>
      <c r="AX43" s="243"/>
    </row>
    <row r="44" spans="1:50" ht="18" customHeight="1" collapsed="1" x14ac:dyDescent="0.3">
      <c r="A44" s="242"/>
      <c r="B44" s="276"/>
      <c r="C44" s="276"/>
      <c r="D44" s="276"/>
      <c r="E44" s="276"/>
      <c r="F44" s="276"/>
      <c r="G44" s="276"/>
      <c r="H44" s="276"/>
      <c r="I44" s="276"/>
      <c r="J44" s="276"/>
      <c r="K44" s="276"/>
      <c r="L44" s="276"/>
      <c r="M44" s="276"/>
      <c r="N44" s="276"/>
      <c r="O44" s="276"/>
      <c r="P44" s="276"/>
      <c r="Q44" s="276"/>
      <c r="R44" s="276"/>
      <c r="S44" s="275"/>
      <c r="T44" s="301">
        <v>0</v>
      </c>
      <c r="U44" s="301">
        <f t="shared" ref="U44:Z44" si="0">+T44+1</f>
        <v>1</v>
      </c>
      <c r="V44" s="301">
        <f t="shared" si="0"/>
        <v>2</v>
      </c>
      <c r="W44" s="301">
        <f t="shared" si="0"/>
        <v>3</v>
      </c>
      <c r="X44" s="301">
        <f t="shared" si="0"/>
        <v>4</v>
      </c>
      <c r="Y44" s="301">
        <f t="shared" si="0"/>
        <v>5</v>
      </c>
      <c r="Z44" s="301">
        <f t="shared" si="0"/>
        <v>6</v>
      </c>
      <c r="AA44" s="301">
        <f t="shared" ref="AA44:AJ44" si="1">+Z44+1</f>
        <v>7</v>
      </c>
      <c r="AB44" s="301">
        <f t="shared" si="1"/>
        <v>8</v>
      </c>
      <c r="AC44" s="301">
        <f t="shared" si="1"/>
        <v>9</v>
      </c>
      <c r="AD44" s="301">
        <f t="shared" si="1"/>
        <v>10</v>
      </c>
      <c r="AE44" s="301">
        <f t="shared" si="1"/>
        <v>11</v>
      </c>
      <c r="AF44" s="301">
        <f t="shared" si="1"/>
        <v>12</v>
      </c>
      <c r="AG44" s="301">
        <f t="shared" si="1"/>
        <v>13</v>
      </c>
      <c r="AH44" s="301">
        <f t="shared" si="1"/>
        <v>14</v>
      </c>
      <c r="AI44" s="301">
        <f t="shared" si="1"/>
        <v>15</v>
      </c>
      <c r="AJ44" s="301">
        <f t="shared" si="1"/>
        <v>16</v>
      </c>
      <c r="AK44" s="301">
        <f t="shared" ref="AK44" si="2">+AJ44+1</f>
        <v>17</v>
      </c>
      <c r="AL44" s="301">
        <f t="shared" ref="AL44" si="3">+AK44+1</f>
        <v>18</v>
      </c>
      <c r="AM44" s="301">
        <f t="shared" ref="AM44" si="4">+AL44+1</f>
        <v>19</v>
      </c>
      <c r="AN44" s="301">
        <f t="shared" ref="AN44" si="5">+AM44+1</f>
        <v>20</v>
      </c>
      <c r="AO44" s="249"/>
      <c r="AP44" s="249"/>
      <c r="AQ44" s="249"/>
      <c r="AR44" s="249"/>
      <c r="AS44" s="249"/>
      <c r="AT44" s="249"/>
      <c r="AU44" s="249"/>
      <c r="AV44" s="249"/>
      <c r="AW44" s="249"/>
      <c r="AX44" s="243"/>
    </row>
    <row r="45" spans="1:50" ht="18" customHeight="1" x14ac:dyDescent="0.3">
      <c r="A45" s="242"/>
      <c r="B45" s="276"/>
      <c r="C45" s="276"/>
      <c r="D45" s="276"/>
      <c r="E45" s="276"/>
      <c r="F45" s="276"/>
      <c r="G45" s="276"/>
      <c r="H45" s="276"/>
      <c r="I45" s="276"/>
      <c r="J45" s="276"/>
      <c r="K45" s="276"/>
      <c r="L45" s="276"/>
      <c r="M45" s="276"/>
      <c r="N45" s="276"/>
      <c r="O45" s="276"/>
      <c r="P45" s="276"/>
      <c r="Q45" s="276"/>
      <c r="R45" s="276"/>
      <c r="S45" s="275"/>
      <c r="T45" s="250">
        <f>R4</f>
        <v>1</v>
      </c>
      <c r="U45" s="51" t="str">
        <f>P4</f>
        <v>BAN--100-1</v>
      </c>
      <c r="V45" s="412">
        <f>P5</f>
        <v>0</v>
      </c>
      <c r="W45" s="246">
        <f>C3</f>
        <v>0</v>
      </c>
      <c r="X45" s="246">
        <f>P8</f>
        <v>0</v>
      </c>
      <c r="Y45" s="246">
        <f>P7</f>
        <v>0</v>
      </c>
      <c r="Z45" s="48">
        <f>P30</f>
        <v>0</v>
      </c>
      <c r="AA45" s="48" cm="1">
        <f t="array" ref="AA45">IFERROR(
SUM(_xlfn._xlws.FILTER(Table_FormDonBan[VAT],
(NOT(ISBLANK(Table_FormDonBan[SKU])))
)),0)</f>
        <v>0</v>
      </c>
      <c r="AB45" s="48" cm="1">
        <f t="array" ref="AB45"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AC45" s="48">
        <f>P32</f>
        <v>0</v>
      </c>
      <c r="AD45" s="258">
        <f>P33</f>
        <v>0</v>
      </c>
      <c r="AE45" s="64">
        <f xml:space="preserve">
IFERROR(
IF(
ISBLANK(
VLOOKUP(
AD45,
Table_ChuongTrinh[],
COUNTA(Table_ChuongTrinh[[#Headers],[Mã Chương trình]:[Tỷ lệ CK]]),
0)
),
0,
VLOOKUP(
AD45,
Table_ChuongTrinh[],
COUNTA(Table_ChuongTrinh[[#Headers],[Mã Chương trình]:[Tỷ lệ CK]]),
0)
),
0)</f>
        <v>0</v>
      </c>
      <c r="AF45" s="226" t="e">
        <f>(Z45/ABS(Z45))
*IFERROR(
IF(
ISBLANK(
VLOOKUP(
AD45,
Table_ChuongTrinh[],
COUNTA(Table_ChuongTrinh[[#Headers],[Mã Chương trình]:[Tỷ lệ CK]]),
0)
),
VLOOKUP(
AD45,
Table_ChuongTrinh[],
COUNTA(Table_ChuongTrinh[[#Headers],[Mã Chương trình]:[Giá trị CK]]),
0),
VLOOKUP(
AD45,
Table_ChuongTrinh[],
COUNTA(Table_ChuongTrinh[[#Headers],[Mã Chương trình]:[Tỷ lệ CK]]),
0)*ABS(Z45)
),
0)+AC45</f>
        <v>#DIV/0!</v>
      </c>
      <c r="AG45" s="409">
        <f>P35</f>
        <v>0</v>
      </c>
      <c r="AH45" s="48" t="e">
        <f>AJ45-AG45</f>
        <v>#DIV/0!</v>
      </c>
      <c r="AI45" s="48" t="e">
        <f>AH45</f>
        <v>#DIV/0!</v>
      </c>
      <c r="AJ45" s="120" t="e">
        <f>+Z45+AG45-AF45</f>
        <v>#DIV/0!</v>
      </c>
      <c r="AK45" s="120" cm="1">
        <f t="array" ref="AK45" xml:space="preserve">
IF(ISBLANK(KHThanThiet_SoNgay),
IFERROR(
SUM(_xlfn._xlws.FILTER(Table_DonBan[Doanh thu ròng],
(Table_DonBan[Mã Khách] =W45)*
(Table_DonBan[Ngày lập]&lt;=V45)
)),0),
IFERROR(
SUM(_xlfn._xlws.FILTER(Table_DonBan[Doanh thu ròng],
(Table_DonBan[Mã Khách] = W45)*
(Table_DonBan[Ngày lập] &gt;= (V45 - KHThanThiet_SoNgay))*
(Table_DonBan[Ngày lập]&lt;=V45)
)),0))</f>
        <v>0</v>
      </c>
      <c r="AL45" s="120" cm="1">
        <f t="array" ref="AL45">+IFERROR(
MAX(_xlfn._xlws.FILTER(Table_KHThanThiet_ChinhSach[Tỷ lệ điểm thưởng],
(Table_KHThanThiet_ChinhSach[Doanh thu tối thiểu]&lt;=AK45)
)),0)</f>
        <v>0</v>
      </c>
      <c r="AM45" s="120" t="e">
        <f>AL45*AH45</f>
        <v>#DIV/0!</v>
      </c>
      <c r="AN45" s="246" cm="1">
        <f t="array" ref="AN45">COUNTA(_xlfn._xlws.FILTER(Table_DonBan[Mã Khách],
(Table_DonBan[Mã Khách]=W45)*
(Table_DonBan[Ngày lập]&lt;=V45)
))</f>
        <v>1</v>
      </c>
      <c r="AO45" s="247"/>
      <c r="AP45" s="379"/>
      <c r="AQ45" s="245"/>
      <c r="AR45" s="245"/>
      <c r="AS45" s="245"/>
      <c r="AT45" s="245"/>
      <c r="AU45" s="245"/>
      <c r="AV45" s="245"/>
      <c r="AW45" s="247"/>
      <c r="AX45" s="243"/>
    </row>
    <row r="46" spans="1:50" ht="18" customHeight="1" x14ac:dyDescent="0.3">
      <c r="A46" s="242"/>
      <c r="B46" s="276"/>
      <c r="C46" s="276"/>
      <c r="D46" s="276"/>
      <c r="E46" s="276"/>
      <c r="F46" s="276"/>
      <c r="G46" s="276"/>
      <c r="H46" s="276"/>
      <c r="I46" s="276"/>
      <c r="J46" s="276"/>
      <c r="K46" s="276"/>
      <c r="L46" s="276"/>
      <c r="M46" s="276"/>
      <c r="N46" s="276"/>
      <c r="O46" s="276"/>
      <c r="P46" s="276"/>
      <c r="Q46" s="276"/>
      <c r="R46" s="276"/>
      <c r="S46" s="275"/>
      <c r="T46" s="250">
        <v>1</v>
      </c>
      <c r="U46" s="51" t="str">
        <f>CONCATENATE("BAN-",W46,"-",MOD(YEAR(V46),100)*10000+MONTH(V46)*100+DAY(V46),"-",T46)</f>
        <v>BAN--100-1</v>
      </c>
      <c r="V46" s="412"/>
      <c r="W46" s="246"/>
      <c r="X46" s="246"/>
      <c r="Y46" s="246"/>
      <c r="Z46" s="48" cm="1">
        <f t="array" ref="Z46">IFERROR(SUM(_xlfn._xlws.FILTER(Table_Main[Giá trị bán trước VAT],
(Table_Main[Đơn bán]=U46),
)),0)</f>
        <v>0</v>
      </c>
      <c r="AA46" s="48" cm="1">
        <f t="array" ref="AA46">IFERROR(SUM(_xlfn._xlws.FILTER(Table_Main[VAT],
(Table_Main[Đơn bán]=U46),
)),0)</f>
        <v>0</v>
      </c>
      <c r="AB46" s="48" cm="1">
        <f t="array" ref="AB46" xml:space="preserve">
IF(ISBLANK(KHThanThiet_HieuLuc),
MAX(0,
IFERROR(
SUM(_xlfn._xlws.FILTER(Table_DonBan[Điểm tích lũy],
(Table_DonBan[Ngày lập]&lt;=V46)*
(Table_DonBan[Mã Khách]=W46)
)),0)
-IFERROR(
SUM(_xlfn._xlws.FILTER(Table_DonBan[Điểm sử dụng],
(Table_DonBan[Mã Khách]= W46)
)),0)),
MAX(0,
IFERROR(
SUM(_xlfn._xlws.FILTER(Table_DonBan[Điểm tích lũy],
(Table_DonBan[Ngày lập]&lt;= V46)*
(Table_DonBan[Ngày lập]&gt;= V46-KHThanThiet_HieuLuc)*
(Table_DonBan[Mã Khách]=W46 )
)),0)
-IFERROR(
SUM(_xlfn._xlws.FILTER(Table_DonBan[Điểm sử dụng],
(Table_DonBan[Ngày lập]&gt;= V46-KHThanThiet_HieuLuc)*
(Table_DonBan[Mã Khách]=W46 )
)),0)
))</f>
        <v>0</v>
      </c>
      <c r="AC46" s="409"/>
      <c r="AD46" s="258"/>
      <c r="AE46" s="64">
        <f xml:space="preserve">
IFERROR(
IF(
ISBLANK(
VLOOKUP(
AD46,
Table_ChuongTrinh[],
COUNTA(Table_ChuongTrinh[[#Headers],[Mã Chương trình]:[Tỷ lệ CK]]),
0)
),
0,
VLOOKUP(
AD46,
Table_ChuongTrinh[],
COUNTA(Table_ChuongTrinh[[#Headers],[Mã Chương trình]:[Tỷ lệ CK]]),
0)
),
0)</f>
        <v>0</v>
      </c>
      <c r="AF46" s="226" t="e">
        <f>(Z46/ABS(Z46))
*IFERROR(
IF(
ISBLANK(
VLOOKUP(
AD46,
Table_ChuongTrinh[],
COUNTA(Table_ChuongTrinh[[#Headers],[Mã Chương trình]:[Tỷ lệ CK]]),
0)
),
VLOOKUP(
AD46,
Table_ChuongTrinh[],
COUNTA(Table_ChuongTrinh[[#Headers],[Mã Chương trình]:[Giá trị CK]]),
0),
VLOOKUP(
AD46,
Table_ChuongTrinh[],
COUNTA(Table_ChuongTrinh[[#Headers],[Mã Chương trình]:[Tỷ lệ CK]]),
0)*ABS(Z46)
),
0)+AC46</f>
        <v>#DIV/0!</v>
      </c>
      <c r="AG46" s="409">
        <f>IFERROR(AA46-AA46*AF46/Z46,0)</f>
        <v>0</v>
      </c>
      <c r="AH46" s="48" t="e">
        <f>AJ46-AG46</f>
        <v>#DIV/0!</v>
      </c>
      <c r="AI46" s="48" t="e">
        <f>AH46</f>
        <v>#DIV/0!</v>
      </c>
      <c r="AJ46" s="120" t="e">
        <f>+Z46+AG46-AF46</f>
        <v>#DIV/0!</v>
      </c>
      <c r="AK46" s="120" cm="1">
        <f t="array" ref="AK46" xml:space="preserve">
IF(ISBLANK(KHThanThiet_SoNgay),
IFERROR(
SUM(_xlfn._xlws.FILTER(Table_DonBan[Doanh thu ròng],
(Table_DonBan[Mã Khách] =W46)*
(Table_DonBan[Ngày lập]&lt;=V46)
)),0),
IFERROR(
SUM(_xlfn._xlws.FILTER(Table_DonBan[Doanh thu ròng],
(Table_DonBan[Mã Khách] = W46)*
(Table_DonBan[Ngày lập] &gt;= (V46 - KHThanThiet_SoNgay))*
(Table_DonBan[Ngày lập]&lt;=V46)
)),0))</f>
        <v>0</v>
      </c>
      <c r="AL46" s="120" cm="1">
        <f t="array" ref="AL46">+IFERROR(
MAX(_xlfn._xlws.FILTER(Table_KHThanThiet_ChinhSach[Tỷ lệ điểm thưởng],
(Table_KHThanThiet_ChinhSach[Doanh thu tối thiểu]&lt;=AK46)
)),0)</f>
        <v>0</v>
      </c>
      <c r="AM46" s="120" t="e">
        <f>AL46*AH46</f>
        <v>#DIV/0!</v>
      </c>
      <c r="AN46" s="246" cm="1">
        <f t="array" ref="AN46">COUNTA(_xlfn._xlws.FILTER(Table_DonBan[Mã Khách],
(Table_DonBan[Mã Khách]=W46)*
(Table_DonBan[Ngày lập]&lt;=V46)
))</f>
        <v>1</v>
      </c>
      <c r="AO46" s="247"/>
      <c r="AP46" s="379">
        <f>AQ46*AR46*AS46*AT46*AU46*AV46</f>
        <v>1</v>
      </c>
      <c r="AQ46" s="245">
        <f xml:space="preserve">
IF(ISBLANK($AD$46 ),1,
IF(VLOOKUP($AD$46,Table_ChuongTrinh[[Mã Chương trình]:[Đối tượng CK]],Sheet_ChuongTrinh!$C$1,0) = "Đơn hàng",1,0))</f>
        <v>1</v>
      </c>
      <c r="AR46" s="245">
        <f>IF(ISBLANK( $AD$46),
1,
IF(ISBLANK(VLOOKUP( $AD$46,Table_ChuongTrinh[],Sheet_ChuongTrinh!$E$1,0)),
1,
IF( $V$46&gt;= VLOOKUP( $AD$46,Table_ChuongTrinh[],Sheet_ChuongTrinh!$E$1,0),1,
0)))
*IF(ISBLANK( $AD$46),
1,
IF(ISBLANK(VLOOKUP( $AD$46,Table_ChuongTrinh[],Sheet_ChuongTrinh!$F$1,0)),
1,
IF($V$46 &lt; VLOOKUP( $AD$46,Table_ChuongTrinh[],Sheet_ChuongTrinh!$F$1,0),
1,
0)))</f>
        <v>1</v>
      </c>
      <c r="AS46" s="245">
        <f>IF(ISBLANK( $AD$46),
1,
IF(ISBLANK(VLOOKUP($AD$46,Table_ChuongTrinh[],Sheet_ChuongTrinh!$J$1,0)),
1,
IF(Z46 &gt;= VLOOKUP($AD$46,Table_ChuongTrinh[],Sheet_ChuongTrinh!$J$1,0),
1,
0)))</f>
        <v>1</v>
      </c>
      <c r="AT46" s="245">
        <f>IF(ISBLANK( $AD$46),
1,
IF(ISBLANK(VLOOKUP($AD$46,Table_ChuongTrinh[],Sheet_ChuongTrinh!$I$1,0)),
1,
IF(COUNTIF(Table_DonBan[Chương trình],$AD$46 )+1
&lt;= VLOOKUP($AD$46,Table_ChuongTrinh[],Sheet_ChuongTrinh!$I$1,0),
1,
0)))</f>
        <v>1</v>
      </c>
      <c r="AU46" s="245">
        <f>IF(ISBLANK( $AD$46), 1,
IF(ISBLANK(VLOOKUP($AD$46,Table_ChuongTrinh[],COUNTA(Table_ChuongTrinh[[#Headers],[Mã Chương trình]:[Sinh nhật]]),0)), 1,
IF(VLOOKUP($AD$46,Table_ChuongTrinh[],COUNTA(Table_ChuongTrinh[[#Headers],[Mã Chương trình]:[Sinh nhật]]),0) = "Ngày sinh",
IF( AND(
DAY(VLOOKUP($W$46, Table_KhachHang[], COUNTA(Table_KhachHang[[#Headers],[Mã KH]:[Ngày sinh]]),0)) = DAY($V$46 ),
MONTH(VLOOKUP($W$46, Table_KhachHang[], COUNTA(Table_KhachHang[[#Headers],[Mã KH]:[Ngày sinh]]),0)) = MONTH($V$46 )
),1,0),
IF(MONTH(VLOOKUP($W$46, Table_KhachHang[], COUNTA(Table_KhachHang[[#Headers],[Mã KH]:[Ngày sinh]]),0)) = MONTH($V$46 ),1,0)
)))</f>
        <v>1</v>
      </c>
      <c r="AV46" s="245" cm="1">
        <f t="array" ref="AV46">IF(ISBLANK($AD$46 ), 1,
IF(ISBLANK(VLOOKUP($AD$46,Table_ChuongTrinh[],COUNTA(Table_ChuongTrinh[[#Headers],[Mã Chương trình]:[Ngày mua cuối]]),0)), 1,
IF(VLOOKUP($AD$46,Table_ChuongTrinh[],COUNTA(Table_ChuongTrinh[[#Headers],[Mã Chương trình]:[Ngày mua cuối]]),0)&lt;=
IFERROR($V$46  -
MAX(_xlfn._xlws.FILTER(Table_DonBan[Ngày lập],
(Table_DonBan[Mã Khách] = $W$46 )*
(Table_DonBan[Ngày lập] &lt;= $V$46 )
)),0),1,0)))</f>
        <v>1</v>
      </c>
      <c r="AW46" s="247"/>
      <c r="AX46" s="243"/>
    </row>
    <row r="47" spans="1:50" ht="18" customHeight="1" x14ac:dyDescent="0.3">
      <c r="A47" s="242"/>
      <c r="B47" s="276"/>
      <c r="C47" s="276"/>
      <c r="D47" s="276"/>
      <c r="E47" s="276"/>
      <c r="F47" s="276"/>
      <c r="G47" s="276"/>
      <c r="H47" s="276"/>
      <c r="I47" s="276"/>
      <c r="J47" s="276"/>
      <c r="K47" s="276"/>
      <c r="L47" s="276"/>
      <c r="M47" s="276"/>
      <c r="N47" s="276"/>
      <c r="O47" s="276"/>
      <c r="P47" s="276"/>
      <c r="Q47" s="276"/>
      <c r="R47" s="276"/>
      <c r="S47" s="275"/>
      <c r="T47" s="46" t="s">
        <v>60</v>
      </c>
      <c r="U47" s="46" t="s">
        <v>27</v>
      </c>
      <c r="V47" s="46" t="s">
        <v>700</v>
      </c>
      <c r="W47" s="46" t="s">
        <v>739</v>
      </c>
      <c r="X47" s="46" t="s">
        <v>35</v>
      </c>
      <c r="Y47" s="46" t="s">
        <v>38</v>
      </c>
      <c r="Z47" s="46" t="s">
        <v>719</v>
      </c>
      <c r="AA47" s="90" t="s">
        <v>720</v>
      </c>
      <c r="AB47" s="90" t="s">
        <v>925</v>
      </c>
      <c r="AC47" s="90" t="s">
        <v>926</v>
      </c>
      <c r="AD47" s="46" t="s">
        <v>237</v>
      </c>
      <c r="AE47" s="46" t="s">
        <v>690</v>
      </c>
      <c r="AF47" s="46" t="s">
        <v>691</v>
      </c>
      <c r="AG47" s="46" t="s">
        <v>736</v>
      </c>
      <c r="AH47" s="46" t="s">
        <v>898</v>
      </c>
      <c r="AI47" s="46" t="s">
        <v>899</v>
      </c>
      <c r="AJ47" s="46" t="s">
        <v>18</v>
      </c>
      <c r="AK47" s="7" t="s">
        <v>927</v>
      </c>
      <c r="AL47" s="7" t="s">
        <v>1028</v>
      </c>
      <c r="AM47" s="488" t="s">
        <v>1029</v>
      </c>
      <c r="AN47" s="46" t="s">
        <v>28</v>
      </c>
      <c r="AO47" s="7" t="s">
        <v>883</v>
      </c>
      <c r="AP47" s="7" t="s">
        <v>729</v>
      </c>
      <c r="AQ47" s="7" t="s">
        <v>730</v>
      </c>
      <c r="AR47" s="7" t="s">
        <v>731</v>
      </c>
      <c r="AS47" s="7" t="s">
        <v>732</v>
      </c>
      <c r="AT47" s="7" t="s">
        <v>733</v>
      </c>
      <c r="AU47" s="46" t="s">
        <v>930</v>
      </c>
      <c r="AV47" s="46" t="s">
        <v>931</v>
      </c>
      <c r="AW47" s="7" t="s">
        <v>1253</v>
      </c>
      <c r="AX47" s="243"/>
    </row>
    <row r="48" spans="1:50" ht="18" customHeight="1" x14ac:dyDescent="0.3">
      <c r="A48" s="242"/>
      <c r="B48" s="276"/>
      <c r="C48" s="276"/>
      <c r="D48" s="276"/>
      <c r="E48" s="276"/>
      <c r="F48" s="276"/>
      <c r="G48" s="276"/>
      <c r="H48" s="276"/>
      <c r="I48" s="276"/>
      <c r="J48" s="276"/>
      <c r="K48" s="276"/>
      <c r="L48" s="276"/>
      <c r="M48" s="276"/>
      <c r="N48" s="276"/>
      <c r="O48" s="276"/>
      <c r="P48" s="276"/>
      <c r="Q48" s="276"/>
      <c r="R48" s="276"/>
      <c r="S48" s="275"/>
      <c r="T48" s="250"/>
      <c r="U48" s="51" t="str">
        <f>CONCATENATE("BAN-",Table_DonBan[[#This Row],[Mã Khách]],"-",MOD(YEAR(Table_DonBan[[#This Row],[Ngày lập]]),100)*10000+MONTH(Table_DonBan[[#This Row],[Ngày lập]])*100+DAY(Table_DonBan[[#This Row],[Ngày lập]]),"-",Table_DonBan[[#This Row],[TT]])</f>
        <v>BAN-KH3-250531-</v>
      </c>
      <c r="V48" s="415">
        <v>45808</v>
      </c>
      <c r="W48" s="251" t="s">
        <v>1207</v>
      </c>
      <c r="X48" s="246"/>
      <c r="Y48" s="246"/>
      <c r="Z48" s="17">
        <f>IFERROR(SUM(_xlfn._xlws.FILTER(Table_Main[Giá trị bán trước VAT],
(Table_Main[Đơn bán]=Table_DonBan[[#This Row],[Mã Đơn bán]]),
)),0)</f>
        <v>5700000</v>
      </c>
      <c r="AA48" s="17">
        <f>IFERROR(SUM(_xlfn._xlws.FILTER(Table_Main[VAT],
(Table_Main[Đơn bán]=Table_DonBan[[#This Row],[Mã Đơn bán]]),
)),0)</f>
        <v>0</v>
      </c>
      <c r="AB48" s="17" cm="1">
        <f t="array" ref="AB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C48" s="422"/>
      <c r="AD48" s="248"/>
      <c r="AE4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8" s="48">
        <f>(Z48/ABS(Z48))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f>
        <v>0</v>
      </c>
      <c r="AG48" s="17">
        <f>IFERROR(Table_DonBan[[#This Row],[VAT hàng]]-Table_DonBan[[#This Row],[VAT hàng]]*Table_DonBan[[#This Row],[Giá trị CK]]/Table_DonBan[[#This Row],[Tiền hàng]],0)</f>
        <v>0</v>
      </c>
      <c r="AH48" s="17">
        <f>+Table_DonBan[[#This Row],[Tiền hàng]]-Table_DonBan[[#This Row],[Giá trị CK]]</f>
        <v>5700000</v>
      </c>
      <c r="AI48" s="17">
        <f>Table_DonBan[[#This Row],[Doanh thu ròng]]</f>
        <v>5700000</v>
      </c>
      <c r="AJ48" s="17">
        <f>Table_DonBan[[#This Row],[Tiền hàng]]+Table_DonBan[[#This Row],[Tổng VAT]]-Table_DonBan[[#This Row],[Giá trị CK]]</f>
        <v>5700000</v>
      </c>
      <c r="AK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L48" s="543">
        <f>+IFERROR(
MAX(_xlfn._xlws.FILTER(Table_KHThanThiet_ChinhSach[Tỷ lệ điểm thưởng],
(Table_KHThanThiet_ChinhSach[Doanh thu tối thiểu]&lt;=Table_DonBan[[#This Row],[Doanh thu tính điểm]])
)),0)</f>
        <v>0.05</v>
      </c>
      <c r="AM48" s="17">
        <f xml:space="preserve">
Table_DonBan[[#This Row],[Tỷ lệ tính điểm]]*Table_DonBan[[#This Row],[Doanh thu ròng]]</f>
        <v>285000</v>
      </c>
      <c r="AN48" s="248">
        <f>COUNTA(_xlfn._xlws.FILTER(Table_DonBan[Mã Khách],
(Table_DonBan[Mã Khách]=Table_DonBan[[#This Row],[Mã Khách]])*
(Table_DonBan[Ngày lập]&lt;=Table_DonBan[[#This Row],[Ngày lập]])
))</f>
        <v>6</v>
      </c>
      <c r="AO48" s="246"/>
      <c r="AP48" s="247">
        <f>Table_DonBan[[#This Row],[ĐK - Phân loại]]*Table_DonBan[[#This Row],[ĐK - Thời gian]]*Table_DonBan[[#This Row],[ĐK - Giá trị]]*Table_DonBan[[#This Row],[ĐK - Số lượng]]*Table_DonBan[[#This Row],[ĐK - Sinh nhật]]*Table_DonBan[[#This Row],[ĐK - Ngày mua cuối]]</f>
        <v>1</v>
      </c>
      <c r="AQ48" s="247">
        <f xml:space="preserve">
IF(ISBLANK(Table_DonBan[[#This Row],[Chương trình]]),1,
IF(VLOOKUP(Table_DonBan[[#This Row],[Chương trình]],Table_ChuongTrinh[[Mã Chương trình]:[Đối tượng CK]],Sheet_ChuongTrinh!$C$1,0) = "Đơn hàng",1,0))</f>
        <v>1</v>
      </c>
      <c r="AR4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8" s="247">
        <f>IF(ISBLANK(Table_DonBan[[#This Row],[Chương trình]]),
1,
IF(ISBLANK(VLOOKUP(Table_DonBan[[#This Row],[Chương trình]],Table_ChuongTrinh[],Sheet_ChuongTrinh!$J$1,0)),
1,
IF(Table_DonBan[[#This Row],[Tiền hàng]]&gt;= VLOOKUP(Table_DonBan[[#This Row],[Chương trình]],Table_ChuongTrinh[],Sheet_ChuongTrinh!$J$1,0),
1,
0)))</f>
        <v>1</v>
      </c>
      <c r="AT4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X48" s="243"/>
    </row>
    <row r="49" spans="20:49" ht="18" customHeight="1" x14ac:dyDescent="0.3">
      <c r="T49" s="250"/>
      <c r="U49" s="51" t="str">
        <f>CONCATENATE("BAN-",Table_DonBan[[#This Row],[Mã Khách]],"-",MOD(YEAR(Table_DonBan[[#This Row],[Ngày lập]]),100)*10000+MONTH(Table_DonBan[[#This Row],[Ngày lập]])*100+DAY(Table_DonBan[[#This Row],[Ngày lập]]),"-",Table_DonBan[[#This Row],[TT]])</f>
        <v>BAN-KH1-250519-</v>
      </c>
      <c r="V49" s="415">
        <v>45796</v>
      </c>
      <c r="W49" s="251" t="s">
        <v>1205</v>
      </c>
      <c r="X49" s="246"/>
      <c r="Y49" s="246"/>
      <c r="Z49" s="17">
        <f>IFERROR(SUM(_xlfn._xlws.FILTER(Table_Main[Giá trị bán trước VAT],
(Table_Main[Đơn bán]=Table_DonBan[[#This Row],[Mã Đơn bán]]),
)),0)</f>
        <v>10200000</v>
      </c>
      <c r="AA49" s="17">
        <f>IFERROR(SUM(_xlfn._xlws.FILTER(Table_Main[VAT],
(Table_Main[Đơn bán]=Table_DonBan[[#This Row],[Mã Đơn bán]]),
)),0)</f>
        <v>0</v>
      </c>
      <c r="AB49" s="17" cm="1">
        <f t="array" ref="AB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C49" s="422"/>
      <c r="AD49" s="248"/>
      <c r="AE4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9" s="48">
        <f>(Z49/ABS(Z49))
*IFERROR(
IF(
ISBLANK(
VLOOKUP(
AD49,
Table_ChuongTrinh[],
COUNTA(Table_ChuongTrinh[[#Headers],[Mã Chương trình]:[Tỷ lệ CK]]),
0)
),
VLOOKUP(
AD49,
Table_ChuongTrinh[],
COUNTA(Table_ChuongTrinh[[#Headers],[Mã Chương trình]:[Giá trị CK]]),
0),
VLOOKUP(
AD49,
Table_ChuongTrinh[],
COUNTA(Table_ChuongTrinh[[#Headers],[Mã Chương trình]:[Tỷ lệ CK]]),
0)*ABS(Z49)
),
0)+AC49</f>
        <v>0</v>
      </c>
      <c r="AG49" s="17">
        <f>IFERROR(Table_DonBan[[#This Row],[VAT hàng]]-Table_DonBan[[#This Row],[VAT hàng]]*Table_DonBan[[#This Row],[Giá trị CK]]/Table_DonBan[[#This Row],[Tiền hàng]],0)</f>
        <v>0</v>
      </c>
      <c r="AH49" s="17">
        <f>+Table_DonBan[[#This Row],[Tiền hàng]]-Table_DonBan[[#This Row],[Giá trị CK]]</f>
        <v>10200000</v>
      </c>
      <c r="AI49" s="17">
        <f>Table_DonBan[[#This Row],[Doanh thu ròng]]</f>
        <v>10200000</v>
      </c>
      <c r="AJ49" s="17">
        <f>Table_DonBan[[#This Row],[Tiền hàng]]+Table_DonBan[[#This Row],[Tổng VAT]]-Table_DonBan[[#This Row],[Giá trị CK]]</f>
        <v>10200000</v>
      </c>
      <c r="AK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L49" s="543">
        <f>+IFERROR(
MAX(_xlfn._xlws.FILTER(Table_KHThanThiet_ChinhSach[Tỷ lệ điểm thưởng],
(Table_KHThanThiet_ChinhSach[Doanh thu tối thiểu]&lt;=Table_DonBan[[#This Row],[Doanh thu tính điểm]])
)),0)</f>
        <v>0.05</v>
      </c>
      <c r="AM49" s="17">
        <f xml:space="preserve">
Table_DonBan[[#This Row],[Tỷ lệ tính điểm]]*Table_DonBan[[#This Row],[Doanh thu ròng]]</f>
        <v>510000</v>
      </c>
      <c r="AN49" s="248">
        <f>COUNTA(_xlfn._xlws.FILTER(Table_DonBan[Mã Khách],
(Table_DonBan[Mã Khách]=Table_DonBan[[#This Row],[Mã Khách]])*
(Table_DonBan[Ngày lập]&lt;=Table_DonBan[[#This Row],[Ngày lập]])
))</f>
        <v>8</v>
      </c>
      <c r="AO49" s="246"/>
      <c r="AP49" s="247">
        <f>Table_DonBan[[#This Row],[ĐK - Phân loại]]*Table_DonBan[[#This Row],[ĐK - Thời gian]]*Table_DonBan[[#This Row],[ĐK - Giá trị]]*Table_DonBan[[#This Row],[ĐK - Số lượng]]*Table_DonBan[[#This Row],[ĐK - Sinh nhật]]*Table_DonBan[[#This Row],[ĐK - Ngày mua cuối]]</f>
        <v>1</v>
      </c>
      <c r="AQ49" s="247">
        <f xml:space="preserve">
IF(ISBLANK(Table_DonBan[[#This Row],[Chương trình]]),1,
IF(VLOOKUP(Table_DonBan[[#This Row],[Chương trình]],Table_ChuongTrinh[[Mã Chương trình]:[Đối tượng CK]],Sheet_ChuongTrinh!$C$1,0) = "Đơn hàng",1,0))</f>
        <v>1</v>
      </c>
      <c r="AR4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9" s="247">
        <f>IF(ISBLANK(Table_DonBan[[#This Row],[Chương trình]]),
1,
IF(ISBLANK(VLOOKUP(Table_DonBan[[#This Row],[Chương trình]],Table_ChuongTrinh[],Sheet_ChuongTrinh!$J$1,0)),
1,
IF(Table_DonBan[[#This Row],[Tiền hàng]]&gt;= VLOOKUP(Table_DonBan[[#This Row],[Chương trình]],Table_ChuongTrinh[],Sheet_ChuongTrinh!$J$1,0),
1,
0)))</f>
        <v>1</v>
      </c>
      <c r="AT4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49" ht="18" customHeight="1" x14ac:dyDescent="0.3">
      <c r="T50" s="250"/>
      <c r="U50" s="51" t="str">
        <f>CONCATENATE("BAN-",Table_DonBan[[#This Row],[Mã Khách]],"-",MOD(YEAR(Table_DonBan[[#This Row],[Ngày lập]]),100)*10000+MONTH(Table_DonBan[[#This Row],[Ngày lập]])*100+DAY(Table_DonBan[[#This Row],[Ngày lập]]),"-",Table_DonBan[[#This Row],[TT]])</f>
        <v>BAN-KH1-250516-</v>
      </c>
      <c r="V50" s="415">
        <v>45793</v>
      </c>
      <c r="W50" s="251" t="s">
        <v>1205</v>
      </c>
      <c r="X50" s="246"/>
      <c r="Y50" s="246"/>
      <c r="Z50" s="17">
        <f>IFERROR(SUM(_xlfn._xlws.FILTER(Table_Main[Giá trị bán trước VAT],
(Table_Main[Đơn bán]=Table_DonBan[[#This Row],[Mã Đơn bán]]),
)),0)</f>
        <v>2200000</v>
      </c>
      <c r="AA50" s="17">
        <f>IFERROR(SUM(_xlfn._xlws.FILTER(Table_Main[VAT],
(Table_Main[Đơn bán]=Table_DonBan[[#This Row],[Mã Đơn bán]]),
)),0)</f>
        <v>0</v>
      </c>
      <c r="AB50" s="17" cm="1">
        <f t="array" ref="AB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C50" s="422"/>
      <c r="AD50" s="248"/>
      <c r="AE5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0" s="48">
        <f>(Z50/ABS(Z50))
*IFERROR(
IF(
ISBLANK(
VLOOKUP(
AD50,
Table_ChuongTrinh[],
COUNTA(Table_ChuongTrinh[[#Headers],[Mã Chương trình]:[Tỷ lệ CK]]),
0)
),
VLOOKUP(
AD50,
Table_ChuongTrinh[],
COUNTA(Table_ChuongTrinh[[#Headers],[Mã Chương trình]:[Giá trị CK]]),
0),
VLOOKUP(
AD50,
Table_ChuongTrinh[],
COUNTA(Table_ChuongTrinh[[#Headers],[Mã Chương trình]:[Tỷ lệ CK]]),
0)*ABS(Z50)
),
0)+AC50</f>
        <v>0</v>
      </c>
      <c r="AG50" s="17">
        <f>IFERROR(Table_DonBan[[#This Row],[VAT hàng]]-Table_DonBan[[#This Row],[VAT hàng]]*Table_DonBan[[#This Row],[Giá trị CK]]/Table_DonBan[[#This Row],[Tiền hàng]],0)</f>
        <v>0</v>
      </c>
      <c r="AH50" s="17">
        <f>+Table_DonBan[[#This Row],[Tiền hàng]]-Table_DonBan[[#This Row],[Giá trị CK]]</f>
        <v>2200000</v>
      </c>
      <c r="AI50" s="17">
        <f>Table_DonBan[[#This Row],[Doanh thu ròng]]</f>
        <v>2200000</v>
      </c>
      <c r="AJ50" s="17">
        <f>Table_DonBan[[#This Row],[Tiền hàng]]+Table_DonBan[[#This Row],[Tổng VAT]]-Table_DonBan[[#This Row],[Giá trị CK]]</f>
        <v>2200000</v>
      </c>
      <c r="AK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L50" s="543">
        <f>+IFERROR(
MAX(_xlfn._xlws.FILTER(Table_KHThanThiet_ChinhSach[Tỷ lệ điểm thưởng],
(Table_KHThanThiet_ChinhSach[Doanh thu tối thiểu]&lt;=Table_DonBan[[#This Row],[Doanh thu tính điểm]])
)),0)</f>
        <v>0.05</v>
      </c>
      <c r="AM50" s="17">
        <f xml:space="preserve">
Table_DonBan[[#This Row],[Tỷ lệ tính điểm]]*Table_DonBan[[#This Row],[Doanh thu ròng]]</f>
        <v>110000</v>
      </c>
      <c r="AN50" s="248">
        <f>COUNTA(_xlfn._xlws.FILTER(Table_DonBan[Mã Khách],
(Table_DonBan[Mã Khách]=Table_DonBan[[#This Row],[Mã Khách]])*
(Table_DonBan[Ngày lập]&lt;=Table_DonBan[[#This Row],[Ngày lập]])
))</f>
        <v>7</v>
      </c>
      <c r="AO50" s="246"/>
      <c r="AP50" s="247">
        <f>Table_DonBan[[#This Row],[ĐK - Phân loại]]*Table_DonBan[[#This Row],[ĐK - Thời gian]]*Table_DonBan[[#This Row],[ĐK - Giá trị]]*Table_DonBan[[#This Row],[ĐK - Số lượng]]*Table_DonBan[[#This Row],[ĐK - Sinh nhật]]*Table_DonBan[[#This Row],[ĐK - Ngày mua cuối]]</f>
        <v>1</v>
      </c>
      <c r="AQ50" s="247">
        <f xml:space="preserve">
IF(ISBLANK(Table_DonBan[[#This Row],[Chương trình]]),1,
IF(VLOOKUP(Table_DonBan[[#This Row],[Chương trình]],Table_ChuongTrinh[[Mã Chương trình]:[Đối tượng CK]],Sheet_ChuongTrinh!$C$1,0) = "Đơn hàng",1,0))</f>
        <v>1</v>
      </c>
      <c r="AR5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0" s="247">
        <f>IF(ISBLANK(Table_DonBan[[#This Row],[Chương trình]]),
1,
IF(ISBLANK(VLOOKUP(Table_DonBan[[#This Row],[Chương trình]],Table_ChuongTrinh[],Sheet_ChuongTrinh!$J$1,0)),
1,
IF(Table_DonBan[[#This Row],[Tiền hàng]]&gt;= VLOOKUP(Table_DonBan[[#This Row],[Chương trình]],Table_ChuongTrinh[],Sheet_ChuongTrinh!$J$1,0),
1,
0)))</f>
        <v>1</v>
      </c>
      <c r="AT5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49" ht="18" customHeight="1" x14ac:dyDescent="0.3">
      <c r="T51" s="250"/>
      <c r="U51" s="51" t="str">
        <f>CONCATENATE("BAN-",Table_DonBan[[#This Row],[Mã Khách]],"-",MOD(YEAR(Table_DonBan[[#This Row],[Ngày lập]]),100)*10000+MONTH(Table_DonBan[[#This Row],[Ngày lập]])*100+DAY(Table_DonBan[[#This Row],[Ngày lập]]),"-",Table_DonBan[[#This Row],[TT]])</f>
        <v>BAN-KH2-250515-</v>
      </c>
      <c r="V51" s="415">
        <v>45792</v>
      </c>
      <c r="W51" s="251" t="s">
        <v>1206</v>
      </c>
      <c r="X51" s="246"/>
      <c r="Y51" s="246"/>
      <c r="Z51" s="17">
        <f>IFERROR(SUM(_xlfn._xlws.FILTER(Table_Main[Giá trị bán trước VAT],
(Table_Main[Đơn bán]=Table_DonBan[[#This Row],[Mã Đơn bán]]),
)),0)</f>
        <v>200000</v>
      </c>
      <c r="AA51" s="17">
        <f>IFERROR(SUM(_xlfn._xlws.FILTER(Table_Main[VAT],
(Table_Main[Đơn bán]=Table_DonBan[[#This Row],[Mã Đơn bán]]),
)),0)</f>
        <v>0</v>
      </c>
      <c r="AB51" s="17" cm="1">
        <f t="array" ref="AB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C51" s="422"/>
      <c r="AD51" s="248"/>
      <c r="AE5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1" s="48">
        <f>(Z51/ABS(Z51))
*IFERROR(
IF(
ISBLANK(
VLOOKUP(
AD51,
Table_ChuongTrinh[],
COUNTA(Table_ChuongTrinh[[#Headers],[Mã Chương trình]:[Tỷ lệ CK]]),
0)
),
VLOOKUP(
AD51,
Table_ChuongTrinh[],
COUNTA(Table_ChuongTrinh[[#Headers],[Mã Chương trình]:[Giá trị CK]]),
0),
VLOOKUP(
AD51,
Table_ChuongTrinh[],
COUNTA(Table_ChuongTrinh[[#Headers],[Mã Chương trình]:[Tỷ lệ CK]]),
0)*ABS(Z51)
),
0)+AC51</f>
        <v>0</v>
      </c>
      <c r="AG51" s="17">
        <f>IFERROR(Table_DonBan[[#This Row],[VAT hàng]]-Table_DonBan[[#This Row],[VAT hàng]]*Table_DonBan[[#This Row],[Giá trị CK]]/Table_DonBan[[#This Row],[Tiền hàng]],0)</f>
        <v>0</v>
      </c>
      <c r="AH51" s="17">
        <f>+Table_DonBan[[#This Row],[Tiền hàng]]-Table_DonBan[[#This Row],[Giá trị CK]]</f>
        <v>200000</v>
      </c>
      <c r="AI51" s="17">
        <f>Table_DonBan[[#This Row],[Doanh thu ròng]]</f>
        <v>200000</v>
      </c>
      <c r="AJ51" s="17">
        <f>Table_DonBan[[#This Row],[Tiền hàng]]+Table_DonBan[[#This Row],[Tổng VAT]]-Table_DonBan[[#This Row],[Giá trị CK]]</f>
        <v>200000</v>
      </c>
      <c r="AK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L51" s="543">
        <f>+IFERROR(
MAX(_xlfn._xlws.FILTER(Table_KHThanThiet_ChinhSach[Tỷ lệ điểm thưởng],
(Table_KHThanThiet_ChinhSach[Doanh thu tối thiểu]&lt;=Table_DonBan[[#This Row],[Doanh thu tính điểm]])
)),0)</f>
        <v>7.0000000000000007E-2</v>
      </c>
      <c r="AM51" s="17">
        <f xml:space="preserve">
Table_DonBan[[#This Row],[Tỷ lệ tính điểm]]*Table_DonBan[[#This Row],[Doanh thu ròng]]</f>
        <v>14000.000000000002</v>
      </c>
      <c r="AN51" s="248">
        <f>COUNTA(_xlfn._xlws.FILTER(Table_DonBan[Mã Khách],
(Table_DonBan[Mã Khách]=Table_DonBan[[#This Row],[Mã Khách]])*
(Table_DonBan[Ngày lập]&lt;=Table_DonBan[[#This Row],[Ngày lập]])
))</f>
        <v>10</v>
      </c>
      <c r="AO51" s="246"/>
      <c r="AP51" s="247">
        <f>Table_DonBan[[#This Row],[ĐK - Phân loại]]*Table_DonBan[[#This Row],[ĐK - Thời gian]]*Table_DonBan[[#This Row],[ĐK - Giá trị]]*Table_DonBan[[#This Row],[ĐK - Số lượng]]*Table_DonBan[[#This Row],[ĐK - Sinh nhật]]*Table_DonBan[[#This Row],[ĐK - Ngày mua cuối]]</f>
        <v>1</v>
      </c>
      <c r="AQ51" s="247">
        <f xml:space="preserve">
IF(ISBLANK(Table_DonBan[[#This Row],[Chương trình]]),1,
IF(VLOOKUP(Table_DonBan[[#This Row],[Chương trình]],Table_ChuongTrinh[[Mã Chương trình]:[Đối tượng CK]],Sheet_ChuongTrinh!$C$1,0) = "Đơn hàng",1,0))</f>
        <v>1</v>
      </c>
      <c r="AR5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1" s="247">
        <f>IF(ISBLANK(Table_DonBan[[#This Row],[Chương trình]]),
1,
IF(ISBLANK(VLOOKUP(Table_DonBan[[#This Row],[Chương trình]],Table_ChuongTrinh[],Sheet_ChuongTrinh!$J$1,0)),
1,
IF(Table_DonBan[[#This Row],[Tiền hàng]]&gt;= VLOOKUP(Table_DonBan[[#This Row],[Chương trình]],Table_ChuongTrinh[],Sheet_ChuongTrinh!$J$1,0),
1,
0)))</f>
        <v>1</v>
      </c>
      <c r="AT5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49" ht="18" customHeight="1" x14ac:dyDescent="0.3">
      <c r="T52" s="250"/>
      <c r="U52" s="51" t="str">
        <f>CONCATENATE("BAN-",Table_DonBan[[#This Row],[Mã Khách]],"-",MOD(YEAR(Table_DonBan[[#This Row],[Ngày lập]]),100)*10000+MONTH(Table_DonBan[[#This Row],[Ngày lập]])*100+DAY(Table_DonBan[[#This Row],[Ngày lập]]),"-",Table_DonBan[[#This Row],[TT]])</f>
        <v>BAN-KH1-250509-</v>
      </c>
      <c r="V52" s="415">
        <v>45786</v>
      </c>
      <c r="W52" s="251" t="s">
        <v>1205</v>
      </c>
      <c r="X52" s="246"/>
      <c r="Y52" s="246"/>
      <c r="Z52" s="17">
        <f>IFERROR(SUM(_xlfn._xlws.FILTER(Table_Main[Giá trị bán trước VAT],
(Table_Main[Đơn bán]=Table_DonBan[[#This Row],[Mã Đơn bán]]),
)),0)</f>
        <v>10600000</v>
      </c>
      <c r="AA52" s="17">
        <f>IFERROR(SUM(_xlfn._xlws.FILTER(Table_Main[VAT],
(Table_Main[Đơn bán]=Table_DonBan[[#This Row],[Mã Đơn bán]]),
)),0)</f>
        <v>0</v>
      </c>
      <c r="AB52" s="17" cm="1">
        <f t="array" ref="AB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C52" s="422"/>
      <c r="AD52" s="248"/>
      <c r="AE5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2" s="48">
        <f>(Z52/ABS(Z52))
*IFERROR(
IF(
ISBLANK(
VLOOKUP(
AD52,
Table_ChuongTrinh[],
COUNTA(Table_ChuongTrinh[[#Headers],[Mã Chương trình]:[Tỷ lệ CK]]),
0)
),
VLOOKUP(
AD52,
Table_ChuongTrinh[],
COUNTA(Table_ChuongTrinh[[#Headers],[Mã Chương trình]:[Giá trị CK]]),
0),
VLOOKUP(
AD52,
Table_ChuongTrinh[],
COUNTA(Table_ChuongTrinh[[#Headers],[Mã Chương trình]:[Tỷ lệ CK]]),
0)*ABS(Z52)
),
0)+AC52</f>
        <v>0</v>
      </c>
      <c r="AG52" s="17">
        <f>IFERROR(Table_DonBan[[#This Row],[VAT hàng]]-Table_DonBan[[#This Row],[VAT hàng]]*Table_DonBan[[#This Row],[Giá trị CK]]/Table_DonBan[[#This Row],[Tiền hàng]],0)</f>
        <v>0</v>
      </c>
      <c r="AH52" s="17">
        <f>+Table_DonBan[[#This Row],[Tiền hàng]]-Table_DonBan[[#This Row],[Giá trị CK]]</f>
        <v>10600000</v>
      </c>
      <c r="AI52" s="17">
        <f>Table_DonBan[[#This Row],[Doanh thu ròng]]</f>
        <v>10600000</v>
      </c>
      <c r="AJ52" s="17">
        <f>Table_DonBan[[#This Row],[Tiền hàng]]+Table_DonBan[[#This Row],[Tổng VAT]]-Table_DonBan[[#This Row],[Giá trị CK]]</f>
        <v>10600000</v>
      </c>
      <c r="AK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L52" s="543">
        <f>+IFERROR(
MAX(_xlfn._xlws.FILTER(Table_KHThanThiet_ChinhSach[Tỷ lệ điểm thưởng],
(Table_KHThanThiet_ChinhSach[Doanh thu tối thiểu]&lt;=Table_DonBan[[#This Row],[Doanh thu tính điểm]])
)),0)</f>
        <v>0.03</v>
      </c>
      <c r="AM52" s="17">
        <f xml:space="preserve">
Table_DonBan[[#This Row],[Tỷ lệ tính điểm]]*Table_DonBan[[#This Row],[Doanh thu ròng]]</f>
        <v>318000</v>
      </c>
      <c r="AN52" s="248">
        <f>COUNTA(_xlfn._xlws.FILTER(Table_DonBan[Mã Khách],
(Table_DonBan[Mã Khách]=Table_DonBan[[#This Row],[Mã Khách]])*
(Table_DonBan[Ngày lập]&lt;=Table_DonBan[[#This Row],[Ngày lập]])
))</f>
        <v>6</v>
      </c>
      <c r="AO52" s="246"/>
      <c r="AP52" s="247">
        <f>Table_DonBan[[#This Row],[ĐK - Phân loại]]*Table_DonBan[[#This Row],[ĐK - Thời gian]]*Table_DonBan[[#This Row],[ĐK - Giá trị]]*Table_DonBan[[#This Row],[ĐK - Số lượng]]*Table_DonBan[[#This Row],[ĐK - Sinh nhật]]*Table_DonBan[[#This Row],[ĐK - Ngày mua cuối]]</f>
        <v>1</v>
      </c>
      <c r="AQ52" s="247">
        <f xml:space="preserve">
IF(ISBLANK(Table_DonBan[[#This Row],[Chương trình]]),1,
IF(VLOOKUP(Table_DonBan[[#This Row],[Chương trình]],Table_ChuongTrinh[[Mã Chương trình]:[Đối tượng CK]],Sheet_ChuongTrinh!$C$1,0) = "Đơn hàng",1,0))</f>
        <v>1</v>
      </c>
      <c r="AR5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2" s="247">
        <f>IF(ISBLANK(Table_DonBan[[#This Row],[Chương trình]]),
1,
IF(ISBLANK(VLOOKUP(Table_DonBan[[#This Row],[Chương trình]],Table_ChuongTrinh[],Sheet_ChuongTrinh!$J$1,0)),
1,
IF(Table_DonBan[[#This Row],[Tiền hàng]]&gt;= VLOOKUP(Table_DonBan[[#This Row],[Chương trình]],Table_ChuongTrinh[],Sheet_ChuongTrinh!$J$1,0),
1,
0)))</f>
        <v>1</v>
      </c>
      <c r="AT5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49" ht="18" customHeight="1" x14ac:dyDescent="0.3">
      <c r="T53" s="250"/>
      <c r="U53" s="51" t="str">
        <f>CONCATENATE("BAN-",Table_DonBan[[#This Row],[Mã Khách]],"-",MOD(YEAR(Table_DonBan[[#This Row],[Ngày lập]]),100)*10000+MONTH(Table_DonBan[[#This Row],[Ngày lập]])*100+DAY(Table_DonBan[[#This Row],[Ngày lập]]),"-",Table_DonBan[[#This Row],[TT]])</f>
        <v>BAN-KH1-250507-</v>
      </c>
      <c r="V53" s="415">
        <v>45784</v>
      </c>
      <c r="W53" s="251" t="s">
        <v>1205</v>
      </c>
      <c r="X53" s="246"/>
      <c r="Y53" s="246"/>
      <c r="Z53" s="17">
        <f>IFERROR(SUM(_xlfn._xlws.FILTER(Table_Main[Giá trị bán trước VAT],
(Table_Main[Đơn bán]=Table_DonBan[[#This Row],[Mã Đơn bán]]),
)),0)</f>
        <v>17000000</v>
      </c>
      <c r="AA53" s="17">
        <f>IFERROR(SUM(_xlfn._xlws.FILTER(Table_Main[VAT],
(Table_Main[Đơn bán]=Table_DonBan[[#This Row],[Mã Đơn bán]]),
)),0)</f>
        <v>0</v>
      </c>
      <c r="AB53" s="17" cm="1">
        <f t="array" ref="AB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C53" s="422"/>
      <c r="AD53" s="248"/>
      <c r="AE5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3" s="48">
        <f>(Z53/ABS(Z53))
*IFERROR(
IF(
ISBLANK(
VLOOKUP(
AD53,
Table_ChuongTrinh[],
COUNTA(Table_ChuongTrinh[[#Headers],[Mã Chương trình]:[Tỷ lệ CK]]),
0)
),
VLOOKUP(
AD53,
Table_ChuongTrinh[],
COUNTA(Table_ChuongTrinh[[#Headers],[Mã Chương trình]:[Giá trị CK]]),
0),
VLOOKUP(
AD53,
Table_ChuongTrinh[],
COUNTA(Table_ChuongTrinh[[#Headers],[Mã Chương trình]:[Tỷ lệ CK]]),
0)*ABS(Z53)
),
0)+AC53</f>
        <v>0</v>
      </c>
      <c r="AG53" s="17">
        <f>IFERROR(Table_DonBan[[#This Row],[VAT hàng]]-Table_DonBan[[#This Row],[VAT hàng]]*Table_DonBan[[#This Row],[Giá trị CK]]/Table_DonBan[[#This Row],[Tiền hàng]],0)</f>
        <v>0</v>
      </c>
      <c r="AH53" s="17">
        <f>+Table_DonBan[[#This Row],[Tiền hàng]]-Table_DonBan[[#This Row],[Giá trị CK]]</f>
        <v>17000000</v>
      </c>
      <c r="AI53" s="17">
        <f>Table_DonBan[[#This Row],[Doanh thu ròng]]</f>
        <v>17000000</v>
      </c>
      <c r="AJ53" s="17">
        <f>Table_DonBan[[#This Row],[Tiền hàng]]+Table_DonBan[[#This Row],[Tổng VAT]]-Table_DonBan[[#This Row],[Giá trị CK]]</f>
        <v>17000000</v>
      </c>
      <c r="AK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L53" s="543">
        <f>+IFERROR(
MAX(_xlfn._xlws.FILTER(Table_KHThanThiet_ChinhSach[Tỷ lệ điểm thưởng],
(Table_KHThanThiet_ChinhSach[Doanh thu tối thiểu]&lt;=Table_DonBan[[#This Row],[Doanh thu tính điểm]])
)),0)</f>
        <v>0.01</v>
      </c>
      <c r="AM53" s="17">
        <f xml:space="preserve">
Table_DonBan[[#This Row],[Tỷ lệ tính điểm]]*Table_DonBan[[#This Row],[Doanh thu ròng]]</f>
        <v>170000</v>
      </c>
      <c r="AN53" s="248">
        <f>COUNTA(_xlfn._xlws.FILTER(Table_DonBan[Mã Khách],
(Table_DonBan[Mã Khách]=Table_DonBan[[#This Row],[Mã Khách]])*
(Table_DonBan[Ngày lập]&lt;=Table_DonBan[[#This Row],[Ngày lập]])
))</f>
        <v>5</v>
      </c>
      <c r="AO53" s="246"/>
      <c r="AP53" s="247">
        <f>Table_DonBan[[#This Row],[ĐK - Phân loại]]*Table_DonBan[[#This Row],[ĐK - Thời gian]]*Table_DonBan[[#This Row],[ĐK - Giá trị]]*Table_DonBan[[#This Row],[ĐK - Số lượng]]*Table_DonBan[[#This Row],[ĐK - Sinh nhật]]*Table_DonBan[[#This Row],[ĐK - Ngày mua cuối]]</f>
        <v>1</v>
      </c>
      <c r="AQ53" s="247">
        <f xml:space="preserve">
IF(ISBLANK(Table_DonBan[[#This Row],[Chương trình]]),1,
IF(VLOOKUP(Table_DonBan[[#This Row],[Chương trình]],Table_ChuongTrinh[[Mã Chương trình]:[Đối tượng CK]],Sheet_ChuongTrinh!$C$1,0) = "Đơn hàng",1,0))</f>
        <v>1</v>
      </c>
      <c r="AR5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3" s="247">
        <f>IF(ISBLANK(Table_DonBan[[#This Row],[Chương trình]]),
1,
IF(ISBLANK(VLOOKUP(Table_DonBan[[#This Row],[Chương trình]],Table_ChuongTrinh[],Sheet_ChuongTrinh!$J$1,0)),
1,
IF(Table_DonBan[[#This Row],[Tiền hàng]]&gt;= VLOOKUP(Table_DonBan[[#This Row],[Chương trình]],Table_ChuongTrinh[],Sheet_ChuongTrinh!$J$1,0),
1,
0)))</f>
        <v>1</v>
      </c>
      <c r="AT5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49" ht="18" customHeight="1" x14ac:dyDescent="0.3">
      <c r="T54" s="250"/>
      <c r="U54" s="51" t="str">
        <f>CONCATENATE("BAN-",Table_DonBan[[#This Row],[Mã Khách]],"-",MOD(YEAR(Table_DonBan[[#This Row],[Ngày lập]]),100)*10000+MONTH(Table_DonBan[[#This Row],[Ngày lập]])*100+DAY(Table_DonBan[[#This Row],[Ngày lập]]),"-",Table_DonBan[[#This Row],[TT]])</f>
        <v>BAN-KH2-250502-</v>
      </c>
      <c r="V54" s="415">
        <v>45779</v>
      </c>
      <c r="W54" s="251" t="s">
        <v>1206</v>
      </c>
      <c r="X54" s="246"/>
      <c r="Y54" s="246"/>
      <c r="Z54" s="17">
        <f>IFERROR(SUM(_xlfn._xlws.FILTER(Table_Main[Giá trị bán trước VAT],
(Table_Main[Đơn bán]=Table_DonBan[[#This Row],[Mã Đơn bán]]),
)),0)</f>
        <v>4800000</v>
      </c>
      <c r="AA54" s="17">
        <f>IFERROR(SUM(_xlfn._xlws.FILTER(Table_Main[VAT],
(Table_Main[Đơn bán]=Table_DonBan[[#This Row],[Mã Đơn bán]]),
)),0)</f>
        <v>0</v>
      </c>
      <c r="AB54" s="17" cm="1">
        <f t="array" ref="AB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C54" s="422"/>
      <c r="AD54" s="248"/>
      <c r="AE5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4" s="48">
        <f>(Z54/ABS(Z54))
*IFERROR(
IF(
ISBLANK(
VLOOKUP(
AD54,
Table_ChuongTrinh[],
COUNTA(Table_ChuongTrinh[[#Headers],[Mã Chương trình]:[Tỷ lệ CK]]),
0)
),
VLOOKUP(
AD54,
Table_ChuongTrinh[],
COUNTA(Table_ChuongTrinh[[#Headers],[Mã Chương trình]:[Giá trị CK]]),
0),
VLOOKUP(
AD54,
Table_ChuongTrinh[],
COUNTA(Table_ChuongTrinh[[#Headers],[Mã Chương trình]:[Tỷ lệ CK]]),
0)*ABS(Z54)
),
0)+AC54</f>
        <v>0</v>
      </c>
      <c r="AG54" s="17">
        <f>IFERROR(Table_DonBan[[#This Row],[VAT hàng]]-Table_DonBan[[#This Row],[VAT hàng]]*Table_DonBan[[#This Row],[Giá trị CK]]/Table_DonBan[[#This Row],[Tiền hàng]],0)</f>
        <v>0</v>
      </c>
      <c r="AH54" s="17">
        <f>+Table_DonBan[[#This Row],[Tiền hàng]]-Table_DonBan[[#This Row],[Giá trị CK]]</f>
        <v>4800000</v>
      </c>
      <c r="AI54" s="17">
        <f>Table_DonBan[[#This Row],[Doanh thu ròng]]</f>
        <v>4800000</v>
      </c>
      <c r="AJ54" s="17">
        <f>Table_DonBan[[#This Row],[Tiền hàng]]+Table_DonBan[[#This Row],[Tổng VAT]]-Table_DonBan[[#This Row],[Giá trị CK]]</f>
        <v>4800000</v>
      </c>
      <c r="AK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L54" s="543">
        <f>+IFERROR(
MAX(_xlfn._xlws.FILTER(Table_KHThanThiet_ChinhSach[Tỷ lệ điểm thưởng],
(Table_KHThanThiet_ChinhSach[Doanh thu tối thiểu]&lt;=Table_DonBan[[#This Row],[Doanh thu tính điểm]])
)),0)</f>
        <v>7.0000000000000007E-2</v>
      </c>
      <c r="AM54" s="17">
        <f xml:space="preserve">
Table_DonBan[[#This Row],[Tỷ lệ tính điểm]]*Table_DonBan[[#This Row],[Doanh thu ròng]]</f>
        <v>336000.00000000006</v>
      </c>
      <c r="AN54" s="248">
        <f>COUNTA(_xlfn._xlws.FILTER(Table_DonBan[Mã Khách],
(Table_DonBan[Mã Khách]=Table_DonBan[[#This Row],[Mã Khách]])*
(Table_DonBan[Ngày lập]&lt;=Table_DonBan[[#This Row],[Ngày lập]])
))</f>
        <v>9</v>
      </c>
      <c r="AO54" s="246"/>
      <c r="AP54" s="247">
        <f>Table_DonBan[[#This Row],[ĐK - Phân loại]]*Table_DonBan[[#This Row],[ĐK - Thời gian]]*Table_DonBan[[#This Row],[ĐK - Giá trị]]*Table_DonBan[[#This Row],[ĐK - Số lượng]]*Table_DonBan[[#This Row],[ĐK - Sinh nhật]]*Table_DonBan[[#This Row],[ĐK - Ngày mua cuối]]</f>
        <v>1</v>
      </c>
      <c r="AQ54" s="247">
        <f xml:space="preserve">
IF(ISBLANK(Table_DonBan[[#This Row],[Chương trình]]),1,
IF(VLOOKUP(Table_DonBan[[#This Row],[Chương trình]],Table_ChuongTrinh[[Mã Chương trình]:[Đối tượng CK]],Sheet_ChuongTrinh!$C$1,0) = "Đơn hàng",1,0))</f>
        <v>1</v>
      </c>
      <c r="AR5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4" s="247">
        <f>IF(ISBLANK(Table_DonBan[[#This Row],[Chương trình]]),
1,
IF(ISBLANK(VLOOKUP(Table_DonBan[[#This Row],[Chương trình]],Table_ChuongTrinh[],Sheet_ChuongTrinh!$J$1,0)),
1,
IF(Table_DonBan[[#This Row],[Tiền hàng]]&gt;= VLOOKUP(Table_DonBan[[#This Row],[Chương trình]],Table_ChuongTrinh[],Sheet_ChuongTrinh!$J$1,0),
1,
0)))</f>
        <v>1</v>
      </c>
      <c r="AT5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49" ht="18" customHeight="1" x14ac:dyDescent="0.3">
      <c r="T55" s="250"/>
      <c r="U55" s="51" t="str">
        <f>CONCATENATE("BAN-",Table_DonBan[[#This Row],[Mã Khách]],"-",MOD(YEAR(Table_DonBan[[#This Row],[Ngày lập]]),100)*10000+MONTH(Table_DonBan[[#This Row],[Ngày lập]])*100+DAY(Table_DonBan[[#This Row],[Ngày lập]]),"-",Table_DonBan[[#This Row],[TT]])</f>
        <v>BAN-KH3-250430-</v>
      </c>
      <c r="V55" s="415">
        <v>45777</v>
      </c>
      <c r="W55" s="251" t="s">
        <v>1207</v>
      </c>
      <c r="X55" s="246"/>
      <c r="Y55" s="246"/>
      <c r="Z55" s="17">
        <f>IFERROR(SUM(_xlfn._xlws.FILTER(Table_Main[Giá trị bán trước VAT],
(Table_Main[Đơn bán]=Table_DonBan[[#This Row],[Mã Đơn bán]]),
)),0)</f>
        <v>19500000</v>
      </c>
      <c r="AA55" s="17">
        <f>IFERROR(SUM(_xlfn._xlws.FILTER(Table_Main[VAT],
(Table_Main[Đơn bán]=Table_DonBan[[#This Row],[Mã Đơn bán]]),
)),0)</f>
        <v>0</v>
      </c>
      <c r="AB55" s="17" cm="1">
        <f t="array" ref="AB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5" s="422"/>
      <c r="AD55" s="248"/>
      <c r="AE5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5" s="48">
        <f>(Z55/ABS(Z55))
*IFERROR(
IF(
ISBLANK(
VLOOKUP(
AD55,
Table_ChuongTrinh[],
COUNTA(Table_ChuongTrinh[[#Headers],[Mã Chương trình]:[Tỷ lệ CK]]),
0)
),
VLOOKUP(
AD55,
Table_ChuongTrinh[],
COUNTA(Table_ChuongTrinh[[#Headers],[Mã Chương trình]:[Giá trị CK]]),
0),
VLOOKUP(
AD55,
Table_ChuongTrinh[],
COUNTA(Table_ChuongTrinh[[#Headers],[Mã Chương trình]:[Tỷ lệ CK]]),
0)*ABS(Z55)
),
0)+AC55</f>
        <v>0</v>
      </c>
      <c r="AG55" s="17">
        <f>IFERROR(Table_DonBan[[#This Row],[VAT hàng]]-Table_DonBan[[#This Row],[VAT hàng]]*Table_DonBan[[#This Row],[Giá trị CK]]/Table_DonBan[[#This Row],[Tiền hàng]],0)</f>
        <v>0</v>
      </c>
      <c r="AH55" s="17">
        <f>+Table_DonBan[[#This Row],[Tiền hàng]]-Table_DonBan[[#This Row],[Giá trị CK]]</f>
        <v>19500000</v>
      </c>
      <c r="AI55" s="17">
        <f>Table_DonBan[[#This Row],[Doanh thu ròng]]</f>
        <v>19500000</v>
      </c>
      <c r="AJ55" s="17">
        <f>Table_DonBan[[#This Row],[Tiền hàng]]+Table_DonBan[[#This Row],[Tổng VAT]]-Table_DonBan[[#This Row],[Giá trị CK]]</f>
        <v>19500000</v>
      </c>
      <c r="AK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L55" s="543">
        <f>+IFERROR(
MAX(_xlfn._xlws.FILTER(Table_KHThanThiet_ChinhSach[Tỷ lệ điểm thưởng],
(Table_KHThanThiet_ChinhSach[Doanh thu tối thiểu]&lt;=Table_DonBan[[#This Row],[Doanh thu tính điểm]])
)),0)</f>
        <v>0.03</v>
      </c>
      <c r="AM55" s="17">
        <f xml:space="preserve">
Table_DonBan[[#This Row],[Tỷ lệ tính điểm]]*Table_DonBan[[#This Row],[Doanh thu ròng]]</f>
        <v>585000</v>
      </c>
      <c r="AN55" s="248">
        <f>COUNTA(_xlfn._xlws.FILTER(Table_DonBan[Mã Khách],
(Table_DonBan[Mã Khách]=Table_DonBan[[#This Row],[Mã Khách]])*
(Table_DonBan[Ngày lập]&lt;=Table_DonBan[[#This Row],[Ngày lập]])
))</f>
        <v>5</v>
      </c>
      <c r="AO55" s="246"/>
      <c r="AP55" s="247">
        <f>Table_DonBan[[#This Row],[ĐK - Phân loại]]*Table_DonBan[[#This Row],[ĐK - Thời gian]]*Table_DonBan[[#This Row],[ĐK - Giá trị]]*Table_DonBan[[#This Row],[ĐK - Số lượng]]*Table_DonBan[[#This Row],[ĐK - Sinh nhật]]*Table_DonBan[[#This Row],[ĐK - Ngày mua cuối]]</f>
        <v>1</v>
      </c>
      <c r="AQ55" s="247">
        <f xml:space="preserve">
IF(ISBLANK(Table_DonBan[[#This Row],[Chương trình]]),1,
IF(VLOOKUP(Table_DonBan[[#This Row],[Chương trình]],Table_ChuongTrinh[[Mã Chương trình]:[Đối tượng CK]],Sheet_ChuongTrinh!$C$1,0) = "Đơn hàng",1,0))</f>
        <v>1</v>
      </c>
      <c r="AR5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5" s="247">
        <f>IF(ISBLANK(Table_DonBan[[#This Row],[Chương trình]]),
1,
IF(ISBLANK(VLOOKUP(Table_DonBan[[#This Row],[Chương trình]],Table_ChuongTrinh[],Sheet_ChuongTrinh!$J$1,0)),
1,
IF(Table_DonBan[[#This Row],[Tiền hàng]]&gt;= VLOOKUP(Table_DonBan[[#This Row],[Chương trình]],Table_ChuongTrinh[],Sheet_ChuongTrinh!$J$1,0),
1,
0)))</f>
        <v>1</v>
      </c>
      <c r="AT5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49" ht="18" customHeight="1" x14ac:dyDescent="0.3">
      <c r="T56" s="250"/>
      <c r="U56" s="51" t="str">
        <f>CONCATENATE("BAN-",Table_DonBan[[#This Row],[Mã Khách]],"-",MOD(YEAR(Table_DonBan[[#This Row],[Ngày lập]]),100)*10000+MONTH(Table_DonBan[[#This Row],[Ngày lập]])*100+DAY(Table_DonBan[[#This Row],[Ngày lập]]),"-",Table_DonBan[[#This Row],[TT]])</f>
        <v>BAN-KH3-250429-</v>
      </c>
      <c r="V56" s="415">
        <v>45776</v>
      </c>
      <c r="W56" s="251" t="s">
        <v>1207</v>
      </c>
      <c r="X56" s="246"/>
      <c r="Y56" s="246"/>
      <c r="Z56" s="17">
        <f>IFERROR(SUM(_xlfn._xlws.FILTER(Table_Main[Giá trị bán trước VAT],
(Table_Main[Đơn bán]=Table_DonBan[[#This Row],[Mã Đơn bán]]),
)),0)</f>
        <v>10500000</v>
      </c>
      <c r="AA56" s="17">
        <f>IFERROR(SUM(_xlfn._xlws.FILTER(Table_Main[VAT],
(Table_Main[Đơn bán]=Table_DonBan[[#This Row],[Mã Đơn bán]]),
)),0)</f>
        <v>0</v>
      </c>
      <c r="AB56" s="17" cm="1">
        <f t="array" ref="AB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6" s="422"/>
      <c r="AD56" s="248"/>
      <c r="AE5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6" s="48">
        <f>(Z56/ABS(Z56))
*IFERROR(
IF(
ISBLANK(
VLOOKUP(
AD56,
Table_ChuongTrinh[],
COUNTA(Table_ChuongTrinh[[#Headers],[Mã Chương trình]:[Tỷ lệ CK]]),
0)
),
VLOOKUP(
AD56,
Table_ChuongTrinh[],
COUNTA(Table_ChuongTrinh[[#Headers],[Mã Chương trình]:[Giá trị CK]]),
0),
VLOOKUP(
AD56,
Table_ChuongTrinh[],
COUNTA(Table_ChuongTrinh[[#Headers],[Mã Chương trình]:[Tỷ lệ CK]]),
0)*ABS(Z56)
),
0)+AC56</f>
        <v>0</v>
      </c>
      <c r="AG56" s="17">
        <f>IFERROR(Table_DonBan[[#This Row],[VAT hàng]]-Table_DonBan[[#This Row],[VAT hàng]]*Table_DonBan[[#This Row],[Giá trị CK]]/Table_DonBan[[#This Row],[Tiền hàng]],0)</f>
        <v>0</v>
      </c>
      <c r="AH56" s="17">
        <f>+Table_DonBan[[#This Row],[Tiền hàng]]-Table_DonBan[[#This Row],[Giá trị CK]]</f>
        <v>10500000</v>
      </c>
      <c r="AI56" s="17">
        <f>Table_DonBan[[#This Row],[Doanh thu ròng]]</f>
        <v>10500000</v>
      </c>
      <c r="AJ56" s="17">
        <f>Table_DonBan[[#This Row],[Tiền hàng]]+Table_DonBan[[#This Row],[Tổng VAT]]-Table_DonBan[[#This Row],[Giá trị CK]]</f>
        <v>10500000</v>
      </c>
      <c r="AK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L56" s="543">
        <f>+IFERROR(
MAX(_xlfn._xlws.FILTER(Table_KHThanThiet_ChinhSach[Tỷ lệ điểm thưởng],
(Table_KHThanThiet_ChinhSach[Doanh thu tối thiểu]&lt;=Table_DonBan[[#This Row],[Doanh thu tính điểm]])
)),0)</f>
        <v>0</v>
      </c>
      <c r="AM56" s="17">
        <f xml:space="preserve">
Table_DonBan[[#This Row],[Tỷ lệ tính điểm]]*Table_DonBan[[#This Row],[Doanh thu ròng]]</f>
        <v>0</v>
      </c>
      <c r="AN56" s="248">
        <f>COUNTA(_xlfn._xlws.FILTER(Table_DonBan[Mã Khách],
(Table_DonBan[Mã Khách]=Table_DonBan[[#This Row],[Mã Khách]])*
(Table_DonBan[Ngày lập]&lt;=Table_DonBan[[#This Row],[Ngày lập]])
))</f>
        <v>4</v>
      </c>
      <c r="AO56" s="246"/>
      <c r="AP56" s="247">
        <f>Table_DonBan[[#This Row],[ĐK - Phân loại]]*Table_DonBan[[#This Row],[ĐK - Thời gian]]*Table_DonBan[[#This Row],[ĐK - Giá trị]]*Table_DonBan[[#This Row],[ĐK - Số lượng]]*Table_DonBan[[#This Row],[ĐK - Sinh nhật]]*Table_DonBan[[#This Row],[ĐK - Ngày mua cuối]]</f>
        <v>1</v>
      </c>
      <c r="AQ56" s="247">
        <f xml:space="preserve">
IF(ISBLANK(Table_DonBan[[#This Row],[Chương trình]]),1,
IF(VLOOKUP(Table_DonBan[[#This Row],[Chương trình]],Table_ChuongTrinh[[Mã Chương trình]:[Đối tượng CK]],Sheet_ChuongTrinh!$C$1,0) = "Đơn hàng",1,0))</f>
        <v>1</v>
      </c>
      <c r="AR5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6" s="247">
        <f>IF(ISBLANK(Table_DonBan[[#This Row],[Chương trình]]),
1,
IF(ISBLANK(VLOOKUP(Table_DonBan[[#This Row],[Chương trình]],Table_ChuongTrinh[],Sheet_ChuongTrinh!$J$1,0)),
1,
IF(Table_DonBan[[#This Row],[Tiền hàng]]&gt;= VLOOKUP(Table_DonBan[[#This Row],[Chương trình]],Table_ChuongTrinh[],Sheet_ChuongTrinh!$J$1,0),
1,
0)))</f>
        <v>1</v>
      </c>
      <c r="AT5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49" ht="18" customHeight="1" x14ac:dyDescent="0.3">
      <c r="T57" s="250"/>
      <c r="U57" s="51" t="str">
        <f>CONCATENATE("BAN-",Table_DonBan[[#This Row],[Mã Khách]],"-",MOD(YEAR(Table_DonBan[[#This Row],[Ngày lập]]),100)*10000+MONTH(Table_DonBan[[#This Row],[Ngày lập]])*100+DAY(Table_DonBan[[#This Row],[Ngày lập]]),"-",Table_DonBan[[#This Row],[TT]])</f>
        <v>BAN-KH2-250427-</v>
      </c>
      <c r="V57" s="415">
        <v>45774</v>
      </c>
      <c r="W57" s="251" t="s">
        <v>1206</v>
      </c>
      <c r="X57" s="246"/>
      <c r="Y57" s="246"/>
      <c r="Z57" s="17">
        <f>IFERROR(SUM(_xlfn._xlws.FILTER(Table_Main[Giá trị bán trước VAT],
(Table_Main[Đơn bán]=Table_DonBan[[#This Row],[Mã Đơn bán]]),
)),0)</f>
        <v>8400000</v>
      </c>
      <c r="AA57" s="17">
        <f>IFERROR(SUM(_xlfn._xlws.FILTER(Table_Main[VAT],
(Table_Main[Đơn bán]=Table_DonBan[[#This Row],[Mã Đơn bán]]),
)),0)</f>
        <v>0</v>
      </c>
      <c r="AB57" s="17" cm="1">
        <f t="array" ref="AB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C57" s="422"/>
      <c r="AD57" s="248"/>
      <c r="AE5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7" s="48">
        <f>(Z57/ABS(Z57))
*IFERROR(
IF(
ISBLANK(
VLOOKUP(
AD57,
Table_ChuongTrinh[],
COUNTA(Table_ChuongTrinh[[#Headers],[Mã Chương trình]:[Tỷ lệ CK]]),
0)
),
VLOOKUP(
AD57,
Table_ChuongTrinh[],
COUNTA(Table_ChuongTrinh[[#Headers],[Mã Chương trình]:[Giá trị CK]]),
0),
VLOOKUP(
AD57,
Table_ChuongTrinh[],
COUNTA(Table_ChuongTrinh[[#Headers],[Mã Chương trình]:[Tỷ lệ CK]]),
0)*ABS(Z57)
),
0)+AC57</f>
        <v>0</v>
      </c>
      <c r="AG57" s="17">
        <f>IFERROR(Table_DonBan[[#This Row],[VAT hàng]]-Table_DonBan[[#This Row],[VAT hàng]]*Table_DonBan[[#This Row],[Giá trị CK]]/Table_DonBan[[#This Row],[Tiền hàng]],0)</f>
        <v>0</v>
      </c>
      <c r="AH57" s="17">
        <f>+Table_DonBan[[#This Row],[Tiền hàng]]-Table_DonBan[[#This Row],[Giá trị CK]]</f>
        <v>8400000</v>
      </c>
      <c r="AI57" s="17">
        <f>Table_DonBan[[#This Row],[Doanh thu ròng]]</f>
        <v>8400000</v>
      </c>
      <c r="AJ57" s="17">
        <f>Table_DonBan[[#This Row],[Tiền hàng]]+Table_DonBan[[#This Row],[Tổng VAT]]-Table_DonBan[[#This Row],[Giá trị CK]]</f>
        <v>8400000</v>
      </c>
      <c r="AK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L57" s="543">
        <f>+IFERROR(
MAX(_xlfn._xlws.FILTER(Table_KHThanThiet_ChinhSach[Tỷ lệ điểm thưởng],
(Table_KHThanThiet_ChinhSach[Doanh thu tối thiểu]&lt;=Table_DonBan[[#This Row],[Doanh thu tính điểm]])
)),0)</f>
        <v>0.05</v>
      </c>
      <c r="AM57" s="17">
        <f xml:space="preserve">
Table_DonBan[[#This Row],[Tỷ lệ tính điểm]]*Table_DonBan[[#This Row],[Doanh thu ròng]]</f>
        <v>420000</v>
      </c>
      <c r="AN57" s="248">
        <f>COUNTA(_xlfn._xlws.FILTER(Table_DonBan[Mã Khách],
(Table_DonBan[Mã Khách]=Table_DonBan[[#This Row],[Mã Khách]])*
(Table_DonBan[Ngày lập]&lt;=Table_DonBan[[#This Row],[Ngày lập]])
))</f>
        <v>8</v>
      </c>
      <c r="AO57" s="246"/>
      <c r="AP57" s="247">
        <f>Table_DonBan[[#This Row],[ĐK - Phân loại]]*Table_DonBan[[#This Row],[ĐK - Thời gian]]*Table_DonBan[[#This Row],[ĐK - Giá trị]]*Table_DonBan[[#This Row],[ĐK - Số lượng]]*Table_DonBan[[#This Row],[ĐK - Sinh nhật]]*Table_DonBan[[#This Row],[ĐK - Ngày mua cuối]]</f>
        <v>1</v>
      </c>
      <c r="AQ57" s="247">
        <f xml:space="preserve">
IF(ISBLANK(Table_DonBan[[#This Row],[Chương trình]]),1,
IF(VLOOKUP(Table_DonBan[[#This Row],[Chương trình]],Table_ChuongTrinh[[Mã Chương trình]:[Đối tượng CK]],Sheet_ChuongTrinh!$C$1,0) = "Đơn hàng",1,0))</f>
        <v>1</v>
      </c>
      <c r="AR5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7" s="247">
        <f>IF(ISBLANK(Table_DonBan[[#This Row],[Chương trình]]),
1,
IF(ISBLANK(VLOOKUP(Table_DonBan[[#This Row],[Chương trình]],Table_ChuongTrinh[],Sheet_ChuongTrinh!$J$1,0)),
1,
IF(Table_DonBan[[#This Row],[Tiền hàng]]&gt;= VLOOKUP(Table_DonBan[[#This Row],[Chương trình]],Table_ChuongTrinh[],Sheet_ChuongTrinh!$J$1,0),
1,
0)))</f>
        <v>1</v>
      </c>
      <c r="AT5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49" ht="18" customHeight="1" x14ac:dyDescent="0.3">
      <c r="T58" s="250"/>
      <c r="U58" s="51" t="str">
        <f>CONCATENATE("BAN-",Table_DonBan[[#This Row],[Mã Khách]],"-",MOD(YEAR(Table_DonBan[[#This Row],[Ngày lập]]),100)*10000+MONTH(Table_DonBan[[#This Row],[Ngày lập]])*100+DAY(Table_DonBan[[#This Row],[Ngày lập]]),"-",Table_DonBan[[#This Row],[TT]])</f>
        <v>BAN-KH2-250424-</v>
      </c>
      <c r="V58" s="415">
        <v>45771</v>
      </c>
      <c r="W58" s="251" t="s">
        <v>1206</v>
      </c>
      <c r="X58" s="246"/>
      <c r="Y58" s="246"/>
      <c r="Z58" s="17">
        <f>IFERROR(SUM(_xlfn._xlws.FILTER(Table_Main[Giá trị bán trước VAT],
(Table_Main[Đơn bán]=Table_DonBan[[#This Row],[Mã Đơn bán]]),
)),0)</f>
        <v>5400000</v>
      </c>
      <c r="AA58" s="17">
        <f>IFERROR(SUM(_xlfn._xlws.FILTER(Table_Main[VAT],
(Table_Main[Đơn bán]=Table_DonBan[[#This Row],[Mã Đơn bán]]),
)),0)</f>
        <v>0</v>
      </c>
      <c r="AB58" s="17" cm="1">
        <f t="array" ref="AB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C58" s="422"/>
      <c r="AD58" s="248"/>
      <c r="AE5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8" s="48">
        <f>(Z58/ABS(Z58))
*IFERROR(
IF(
ISBLANK(
VLOOKUP(
AD58,
Table_ChuongTrinh[],
COUNTA(Table_ChuongTrinh[[#Headers],[Mã Chương trình]:[Tỷ lệ CK]]),
0)
),
VLOOKUP(
AD58,
Table_ChuongTrinh[],
COUNTA(Table_ChuongTrinh[[#Headers],[Mã Chương trình]:[Giá trị CK]]),
0),
VLOOKUP(
AD58,
Table_ChuongTrinh[],
COUNTA(Table_ChuongTrinh[[#Headers],[Mã Chương trình]:[Tỷ lệ CK]]),
0)*ABS(Z58)
),
0)+AC58</f>
        <v>0</v>
      </c>
      <c r="AG58" s="17">
        <f>IFERROR(Table_DonBan[[#This Row],[VAT hàng]]-Table_DonBan[[#This Row],[VAT hàng]]*Table_DonBan[[#This Row],[Giá trị CK]]/Table_DonBan[[#This Row],[Tiền hàng]],0)</f>
        <v>0</v>
      </c>
      <c r="AH58" s="17">
        <f>+Table_DonBan[[#This Row],[Tiền hàng]]-Table_DonBan[[#This Row],[Giá trị CK]]</f>
        <v>5400000</v>
      </c>
      <c r="AI58" s="17">
        <f>Table_DonBan[[#This Row],[Doanh thu ròng]]</f>
        <v>5400000</v>
      </c>
      <c r="AJ58" s="17">
        <f>Table_DonBan[[#This Row],[Tiền hàng]]+Table_DonBan[[#This Row],[Tổng VAT]]-Table_DonBan[[#This Row],[Giá trị CK]]</f>
        <v>5400000</v>
      </c>
      <c r="AK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L58" s="543">
        <f>+IFERROR(
MAX(_xlfn._xlws.FILTER(Table_KHThanThiet_ChinhSach[Tỷ lệ điểm thưởng],
(Table_KHThanThiet_ChinhSach[Doanh thu tối thiểu]&lt;=Table_DonBan[[#This Row],[Doanh thu tính điểm]])
)),0)</f>
        <v>0.05</v>
      </c>
      <c r="AM58" s="17">
        <f xml:space="preserve">
Table_DonBan[[#This Row],[Tỷ lệ tính điểm]]*Table_DonBan[[#This Row],[Doanh thu ròng]]</f>
        <v>270000</v>
      </c>
      <c r="AN58" s="248">
        <f>COUNTA(_xlfn._xlws.FILTER(Table_DonBan[Mã Khách],
(Table_DonBan[Mã Khách]=Table_DonBan[[#This Row],[Mã Khách]])*
(Table_DonBan[Ngày lập]&lt;=Table_DonBan[[#This Row],[Ngày lập]])
))</f>
        <v>7</v>
      </c>
      <c r="AO58" s="246"/>
      <c r="AP58" s="247">
        <f>Table_DonBan[[#This Row],[ĐK - Phân loại]]*Table_DonBan[[#This Row],[ĐK - Thời gian]]*Table_DonBan[[#This Row],[ĐK - Giá trị]]*Table_DonBan[[#This Row],[ĐK - Số lượng]]*Table_DonBan[[#This Row],[ĐK - Sinh nhật]]*Table_DonBan[[#This Row],[ĐK - Ngày mua cuối]]</f>
        <v>1</v>
      </c>
      <c r="AQ58" s="247">
        <f xml:space="preserve">
IF(ISBLANK(Table_DonBan[[#This Row],[Chương trình]]),1,
IF(VLOOKUP(Table_DonBan[[#This Row],[Chương trình]],Table_ChuongTrinh[[Mã Chương trình]:[Đối tượng CK]],Sheet_ChuongTrinh!$C$1,0) = "Đơn hàng",1,0))</f>
        <v>1</v>
      </c>
      <c r="AR5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8" s="247">
        <f>IF(ISBLANK(Table_DonBan[[#This Row],[Chương trình]]),
1,
IF(ISBLANK(VLOOKUP(Table_DonBan[[#This Row],[Chương trình]],Table_ChuongTrinh[],Sheet_ChuongTrinh!$J$1,0)),
1,
IF(Table_DonBan[[#This Row],[Tiền hàng]]&gt;= VLOOKUP(Table_DonBan[[#This Row],[Chương trình]],Table_ChuongTrinh[],Sheet_ChuongTrinh!$J$1,0),
1,
0)))</f>
        <v>1</v>
      </c>
      <c r="AT5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49" ht="18" customHeight="1" x14ac:dyDescent="0.3">
      <c r="T59" s="250"/>
      <c r="U59" s="51" t="str">
        <f>CONCATENATE("BAN-",Table_DonBan[[#This Row],[Mã Khách]],"-",MOD(YEAR(Table_DonBan[[#This Row],[Ngày lập]]),100)*10000+MONTH(Table_DonBan[[#This Row],[Ngày lập]])*100+DAY(Table_DonBan[[#This Row],[Ngày lập]]),"-",Table_DonBan[[#This Row],[TT]])</f>
        <v>BAN-KH3-250417-</v>
      </c>
      <c r="V59" s="415">
        <v>45764</v>
      </c>
      <c r="W59" s="251" t="s">
        <v>1207</v>
      </c>
      <c r="X59" s="246"/>
      <c r="Y59" s="246"/>
      <c r="Z59" s="17">
        <f>IFERROR(SUM(_xlfn._xlws.FILTER(Table_Main[Giá trị bán trước VAT],
(Table_Main[Đơn bán]=Table_DonBan[[#This Row],[Mã Đơn bán]]),
)),0)</f>
        <v>2300000</v>
      </c>
      <c r="AA59" s="17">
        <f>IFERROR(SUM(_xlfn._xlws.FILTER(Table_Main[VAT],
(Table_Main[Đơn bán]=Table_DonBan[[#This Row],[Mã Đơn bán]]),
)),0)</f>
        <v>0</v>
      </c>
      <c r="AB59" s="17" cm="1">
        <f t="array" ref="AB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9" s="422"/>
      <c r="AD59" s="248"/>
      <c r="AE5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9" s="48">
        <f>(Z59/ABS(Z59))
*IFERROR(
IF(
ISBLANK(
VLOOKUP(
AD59,
Table_ChuongTrinh[],
COUNTA(Table_ChuongTrinh[[#Headers],[Mã Chương trình]:[Tỷ lệ CK]]),
0)
),
VLOOKUP(
AD59,
Table_ChuongTrinh[],
COUNTA(Table_ChuongTrinh[[#Headers],[Mã Chương trình]:[Giá trị CK]]),
0),
VLOOKUP(
AD59,
Table_ChuongTrinh[],
COUNTA(Table_ChuongTrinh[[#Headers],[Mã Chương trình]:[Tỷ lệ CK]]),
0)*ABS(Z59)
),
0)+AC59</f>
        <v>0</v>
      </c>
      <c r="AG59" s="17">
        <f>IFERROR(Table_DonBan[[#This Row],[VAT hàng]]-Table_DonBan[[#This Row],[VAT hàng]]*Table_DonBan[[#This Row],[Giá trị CK]]/Table_DonBan[[#This Row],[Tiền hàng]],0)</f>
        <v>0</v>
      </c>
      <c r="AH59" s="17">
        <f>+Table_DonBan[[#This Row],[Tiền hàng]]-Table_DonBan[[#This Row],[Giá trị CK]]</f>
        <v>2300000</v>
      </c>
      <c r="AI59" s="17">
        <f>Table_DonBan[[#This Row],[Doanh thu ròng]]</f>
        <v>2300000</v>
      </c>
      <c r="AJ59" s="17">
        <f>Table_DonBan[[#This Row],[Tiền hàng]]+Table_DonBan[[#This Row],[Tổng VAT]]-Table_DonBan[[#This Row],[Giá trị CK]]</f>
        <v>2300000</v>
      </c>
      <c r="AK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L59" s="543">
        <f>+IFERROR(
MAX(_xlfn._xlws.FILTER(Table_KHThanThiet_ChinhSach[Tỷ lệ điểm thưởng],
(Table_KHThanThiet_ChinhSach[Doanh thu tối thiểu]&lt;=Table_DonBan[[#This Row],[Doanh thu tính điểm]])
)),0)</f>
        <v>0</v>
      </c>
      <c r="AM59" s="17">
        <f xml:space="preserve">
Table_DonBan[[#This Row],[Tỷ lệ tính điểm]]*Table_DonBan[[#This Row],[Doanh thu ròng]]</f>
        <v>0</v>
      </c>
      <c r="AN59" s="248">
        <f>COUNTA(_xlfn._xlws.FILTER(Table_DonBan[Mã Khách],
(Table_DonBan[Mã Khách]=Table_DonBan[[#This Row],[Mã Khách]])*
(Table_DonBan[Ngày lập]&lt;=Table_DonBan[[#This Row],[Ngày lập]])
))</f>
        <v>3</v>
      </c>
      <c r="AO59" s="246"/>
      <c r="AP59" s="247">
        <f>Table_DonBan[[#This Row],[ĐK - Phân loại]]*Table_DonBan[[#This Row],[ĐK - Thời gian]]*Table_DonBan[[#This Row],[ĐK - Giá trị]]*Table_DonBan[[#This Row],[ĐK - Số lượng]]*Table_DonBan[[#This Row],[ĐK - Sinh nhật]]*Table_DonBan[[#This Row],[ĐK - Ngày mua cuối]]</f>
        <v>1</v>
      </c>
      <c r="AQ59" s="247">
        <f xml:space="preserve">
IF(ISBLANK(Table_DonBan[[#This Row],[Chương trình]]),1,
IF(VLOOKUP(Table_DonBan[[#This Row],[Chương trình]],Table_ChuongTrinh[[Mã Chương trình]:[Đối tượng CK]],Sheet_ChuongTrinh!$C$1,0) = "Đơn hàng",1,0))</f>
        <v>1</v>
      </c>
      <c r="AR5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9" s="247">
        <f>IF(ISBLANK(Table_DonBan[[#This Row],[Chương trình]]),
1,
IF(ISBLANK(VLOOKUP(Table_DonBan[[#This Row],[Chương trình]],Table_ChuongTrinh[],Sheet_ChuongTrinh!$J$1,0)),
1,
IF(Table_DonBan[[#This Row],[Tiền hàng]]&gt;= VLOOKUP(Table_DonBan[[#This Row],[Chương trình]],Table_ChuongTrinh[],Sheet_ChuongTrinh!$J$1,0),
1,
0)))</f>
        <v>1</v>
      </c>
      <c r="AT5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49" ht="18" customHeight="1" x14ac:dyDescent="0.3">
      <c r="T60" s="250"/>
      <c r="U60" s="51" t="str">
        <f>CONCATENATE("BAN-",Table_DonBan[[#This Row],[Mã Khách]],"-",MOD(YEAR(Table_DonBan[[#This Row],[Ngày lập]]),100)*10000+MONTH(Table_DonBan[[#This Row],[Ngày lập]])*100+DAY(Table_DonBan[[#This Row],[Ngày lập]]),"-",Table_DonBan[[#This Row],[TT]])</f>
        <v>BAN-KH2-250415-</v>
      </c>
      <c r="V60" s="415">
        <v>45762</v>
      </c>
      <c r="W60" s="251" t="s">
        <v>1206</v>
      </c>
      <c r="X60" s="246"/>
      <c r="Y60" s="246"/>
      <c r="Z60" s="17">
        <f>IFERROR(SUM(_xlfn._xlws.FILTER(Table_Main[Giá trị bán trước VAT],
(Table_Main[Đơn bán]=Table_DonBan[[#This Row],[Mã Đơn bán]]),
)),0)</f>
        <v>3300000</v>
      </c>
      <c r="AA60" s="17">
        <f>IFERROR(SUM(_xlfn._xlws.FILTER(Table_Main[VAT],
(Table_Main[Đơn bán]=Table_DonBan[[#This Row],[Mã Đơn bán]]),
)),0)</f>
        <v>0</v>
      </c>
      <c r="AB60" s="17" cm="1">
        <f t="array" ref="AB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C60" s="422"/>
      <c r="AD60" s="248"/>
      <c r="AE6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0" s="48">
        <f>(Z60/ABS(Z60))
*IFERROR(
IF(
ISBLANK(
VLOOKUP(
AD60,
Table_ChuongTrinh[],
COUNTA(Table_ChuongTrinh[[#Headers],[Mã Chương trình]:[Tỷ lệ CK]]),
0)
),
VLOOKUP(
AD60,
Table_ChuongTrinh[],
COUNTA(Table_ChuongTrinh[[#Headers],[Mã Chương trình]:[Giá trị CK]]),
0),
VLOOKUP(
AD60,
Table_ChuongTrinh[],
COUNTA(Table_ChuongTrinh[[#Headers],[Mã Chương trình]:[Tỷ lệ CK]]),
0)*ABS(Z60)
),
0)+AC60</f>
        <v>0</v>
      </c>
      <c r="AG60" s="17">
        <f>IFERROR(Table_DonBan[[#This Row],[VAT hàng]]-Table_DonBan[[#This Row],[VAT hàng]]*Table_DonBan[[#This Row],[Giá trị CK]]/Table_DonBan[[#This Row],[Tiền hàng]],0)</f>
        <v>0</v>
      </c>
      <c r="AH60" s="17">
        <f>+Table_DonBan[[#This Row],[Tiền hàng]]-Table_DonBan[[#This Row],[Giá trị CK]]</f>
        <v>3300000</v>
      </c>
      <c r="AI60" s="17">
        <f>Table_DonBan[[#This Row],[Doanh thu ròng]]</f>
        <v>3300000</v>
      </c>
      <c r="AJ60" s="17">
        <f>Table_DonBan[[#This Row],[Tiền hàng]]+Table_DonBan[[#This Row],[Tổng VAT]]-Table_DonBan[[#This Row],[Giá trị CK]]</f>
        <v>3300000</v>
      </c>
      <c r="AK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L60" s="543">
        <f>+IFERROR(
MAX(_xlfn._xlws.FILTER(Table_KHThanThiet_ChinhSach[Tỷ lệ điểm thưởng],
(Table_KHThanThiet_ChinhSach[Doanh thu tối thiểu]&lt;=Table_DonBan[[#This Row],[Doanh thu tính điểm]])
)),0)</f>
        <v>0.05</v>
      </c>
      <c r="AM60" s="17">
        <f xml:space="preserve">
Table_DonBan[[#This Row],[Tỷ lệ tính điểm]]*Table_DonBan[[#This Row],[Doanh thu ròng]]</f>
        <v>165000</v>
      </c>
      <c r="AN60" s="248">
        <f>COUNTA(_xlfn._xlws.FILTER(Table_DonBan[Mã Khách],
(Table_DonBan[Mã Khách]=Table_DonBan[[#This Row],[Mã Khách]])*
(Table_DonBan[Ngày lập]&lt;=Table_DonBan[[#This Row],[Ngày lập]])
))</f>
        <v>6</v>
      </c>
      <c r="AO60" s="246"/>
      <c r="AP60" s="247">
        <f>Table_DonBan[[#This Row],[ĐK - Phân loại]]*Table_DonBan[[#This Row],[ĐK - Thời gian]]*Table_DonBan[[#This Row],[ĐK - Giá trị]]*Table_DonBan[[#This Row],[ĐK - Số lượng]]*Table_DonBan[[#This Row],[ĐK - Sinh nhật]]*Table_DonBan[[#This Row],[ĐK - Ngày mua cuối]]</f>
        <v>1</v>
      </c>
      <c r="AQ60" s="247">
        <f xml:space="preserve">
IF(ISBLANK(Table_DonBan[[#This Row],[Chương trình]]),1,
IF(VLOOKUP(Table_DonBan[[#This Row],[Chương trình]],Table_ChuongTrinh[[Mã Chương trình]:[Đối tượng CK]],Sheet_ChuongTrinh!$C$1,0) = "Đơn hàng",1,0))</f>
        <v>1</v>
      </c>
      <c r="AR6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0" s="247">
        <f>IF(ISBLANK(Table_DonBan[[#This Row],[Chương trình]]),
1,
IF(ISBLANK(VLOOKUP(Table_DonBan[[#This Row],[Chương trình]],Table_ChuongTrinh[],Sheet_ChuongTrinh!$J$1,0)),
1,
IF(Table_DonBan[[#This Row],[Tiền hàng]]&gt;= VLOOKUP(Table_DonBan[[#This Row],[Chương trình]],Table_ChuongTrinh[],Sheet_ChuongTrinh!$J$1,0),
1,
0)))</f>
        <v>1</v>
      </c>
      <c r="AT6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49" ht="18" customHeight="1" x14ac:dyDescent="0.3">
      <c r="T61" s="250"/>
      <c r="U61" s="51" t="str">
        <f>CONCATENATE("BAN-",Table_DonBan[[#This Row],[Mã Khách]],"-",MOD(YEAR(Table_DonBan[[#This Row],[Ngày lập]]),100)*10000+MONTH(Table_DonBan[[#This Row],[Ngày lập]])*100+DAY(Table_DonBan[[#This Row],[Ngày lập]]),"-",Table_DonBan[[#This Row],[TT]])</f>
        <v>BAN-KH2-250414-</v>
      </c>
      <c r="V61" s="415">
        <v>45761</v>
      </c>
      <c r="W61" s="251" t="s">
        <v>1206</v>
      </c>
      <c r="X61" s="246"/>
      <c r="Y61" s="246"/>
      <c r="Z61" s="17">
        <f>IFERROR(SUM(_xlfn._xlws.FILTER(Table_Main[Giá trị bán trước VAT],
(Table_Main[Đơn bán]=Table_DonBan[[#This Row],[Mã Đơn bán]]),
)),0)</f>
        <v>3900000</v>
      </c>
      <c r="AA61" s="17">
        <f>IFERROR(SUM(_xlfn._xlws.FILTER(Table_Main[VAT],
(Table_Main[Đơn bán]=Table_DonBan[[#This Row],[Mã Đơn bán]]),
)),0)</f>
        <v>0</v>
      </c>
      <c r="AB61" s="17" cm="1">
        <f t="array" ref="AB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C61" s="422"/>
      <c r="AD61" s="248"/>
      <c r="AE6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1" s="48">
        <f>(Z61/ABS(Z61))
*IFERROR(
IF(
ISBLANK(
VLOOKUP(
AD61,
Table_ChuongTrinh[],
COUNTA(Table_ChuongTrinh[[#Headers],[Mã Chương trình]:[Tỷ lệ CK]]),
0)
),
VLOOKUP(
AD61,
Table_ChuongTrinh[],
COUNTA(Table_ChuongTrinh[[#Headers],[Mã Chương trình]:[Giá trị CK]]),
0),
VLOOKUP(
AD61,
Table_ChuongTrinh[],
COUNTA(Table_ChuongTrinh[[#Headers],[Mã Chương trình]:[Tỷ lệ CK]]),
0)*ABS(Z61)
),
0)+AC61</f>
        <v>0</v>
      </c>
      <c r="AG61" s="17">
        <f>IFERROR(Table_DonBan[[#This Row],[VAT hàng]]-Table_DonBan[[#This Row],[VAT hàng]]*Table_DonBan[[#This Row],[Giá trị CK]]/Table_DonBan[[#This Row],[Tiền hàng]],0)</f>
        <v>0</v>
      </c>
      <c r="AH61" s="17">
        <f>+Table_DonBan[[#This Row],[Tiền hàng]]-Table_DonBan[[#This Row],[Giá trị CK]]</f>
        <v>3900000</v>
      </c>
      <c r="AI61" s="17">
        <f>Table_DonBan[[#This Row],[Doanh thu ròng]]</f>
        <v>3900000</v>
      </c>
      <c r="AJ61" s="17">
        <f>Table_DonBan[[#This Row],[Tiền hàng]]+Table_DonBan[[#This Row],[Tổng VAT]]-Table_DonBan[[#This Row],[Giá trị CK]]</f>
        <v>3900000</v>
      </c>
      <c r="AK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L61" s="543">
        <f>+IFERROR(
MAX(_xlfn._xlws.FILTER(Table_KHThanThiet_ChinhSach[Tỷ lệ điểm thưởng],
(Table_KHThanThiet_ChinhSach[Doanh thu tối thiểu]&lt;=Table_DonBan[[#This Row],[Doanh thu tính điểm]])
)),0)</f>
        <v>0.05</v>
      </c>
      <c r="AM61" s="17">
        <f xml:space="preserve">
Table_DonBan[[#This Row],[Tỷ lệ tính điểm]]*Table_DonBan[[#This Row],[Doanh thu ròng]]</f>
        <v>195000</v>
      </c>
      <c r="AN61" s="248">
        <f>COUNTA(_xlfn._xlws.FILTER(Table_DonBan[Mã Khách],
(Table_DonBan[Mã Khách]=Table_DonBan[[#This Row],[Mã Khách]])*
(Table_DonBan[Ngày lập]&lt;=Table_DonBan[[#This Row],[Ngày lập]])
))</f>
        <v>5</v>
      </c>
      <c r="AO61" s="246"/>
      <c r="AP61" s="247">
        <f>Table_DonBan[[#This Row],[ĐK - Phân loại]]*Table_DonBan[[#This Row],[ĐK - Thời gian]]*Table_DonBan[[#This Row],[ĐK - Giá trị]]*Table_DonBan[[#This Row],[ĐK - Số lượng]]*Table_DonBan[[#This Row],[ĐK - Sinh nhật]]*Table_DonBan[[#This Row],[ĐK - Ngày mua cuối]]</f>
        <v>1</v>
      </c>
      <c r="AQ61" s="247">
        <f xml:space="preserve">
IF(ISBLANK(Table_DonBan[[#This Row],[Chương trình]]),1,
IF(VLOOKUP(Table_DonBan[[#This Row],[Chương trình]],Table_ChuongTrinh[[Mã Chương trình]:[Đối tượng CK]],Sheet_ChuongTrinh!$C$1,0) = "Đơn hàng",1,0))</f>
        <v>1</v>
      </c>
      <c r="AR6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1" s="247">
        <f>IF(ISBLANK(Table_DonBan[[#This Row],[Chương trình]]),
1,
IF(ISBLANK(VLOOKUP(Table_DonBan[[#This Row],[Chương trình]],Table_ChuongTrinh[],Sheet_ChuongTrinh!$J$1,0)),
1,
IF(Table_DonBan[[#This Row],[Tiền hàng]]&gt;= VLOOKUP(Table_DonBan[[#This Row],[Chương trình]],Table_ChuongTrinh[],Sheet_ChuongTrinh!$J$1,0),
1,
0)))</f>
        <v>1</v>
      </c>
      <c r="AT6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49" ht="18" customHeight="1" x14ac:dyDescent="0.3">
      <c r="T62" s="250"/>
      <c r="U62" s="51" t="str">
        <f>CONCATENATE("BAN-",Table_DonBan[[#This Row],[Mã Khách]],"-",MOD(YEAR(Table_DonBan[[#This Row],[Ngày lập]]),100)*10000+MONTH(Table_DonBan[[#This Row],[Ngày lập]])*100+DAY(Table_DonBan[[#This Row],[Ngày lập]]),"-",Table_DonBan[[#This Row],[TT]])</f>
        <v>BAN-KH1-250411-</v>
      </c>
      <c r="V62" s="415">
        <v>45758</v>
      </c>
      <c r="W62" s="251" t="s">
        <v>1205</v>
      </c>
      <c r="X62" s="246"/>
      <c r="Y62" s="246"/>
      <c r="Z62" s="17">
        <f>IFERROR(SUM(_xlfn._xlws.FILTER(Table_Main[Giá trị bán trước VAT],
(Table_Main[Đơn bán]=Table_DonBan[[#This Row],[Mã Đơn bán]]),
)),0)</f>
        <v>2700000</v>
      </c>
      <c r="AA62" s="17">
        <f>IFERROR(SUM(_xlfn._xlws.FILTER(Table_Main[VAT],
(Table_Main[Đơn bán]=Table_DonBan[[#This Row],[Mã Đơn bán]]),
)),0)</f>
        <v>0</v>
      </c>
      <c r="AB62" s="17" cm="1">
        <f t="array" ref="AB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2" s="422"/>
      <c r="AD62" s="248"/>
      <c r="AE6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2" s="48">
        <f>(Z62/ABS(Z62))
*IFERROR(
IF(
ISBLANK(
VLOOKUP(
AD62,
Table_ChuongTrinh[],
COUNTA(Table_ChuongTrinh[[#Headers],[Mã Chương trình]:[Tỷ lệ CK]]),
0)
),
VLOOKUP(
AD62,
Table_ChuongTrinh[],
COUNTA(Table_ChuongTrinh[[#Headers],[Mã Chương trình]:[Giá trị CK]]),
0),
VLOOKUP(
AD62,
Table_ChuongTrinh[],
COUNTA(Table_ChuongTrinh[[#Headers],[Mã Chương trình]:[Tỷ lệ CK]]),
0)*ABS(Z62)
),
0)+AC62</f>
        <v>0</v>
      </c>
      <c r="AG62" s="17">
        <f>IFERROR(Table_DonBan[[#This Row],[VAT hàng]]-Table_DonBan[[#This Row],[VAT hàng]]*Table_DonBan[[#This Row],[Giá trị CK]]/Table_DonBan[[#This Row],[Tiền hàng]],0)</f>
        <v>0</v>
      </c>
      <c r="AH62" s="17">
        <f>+Table_DonBan[[#This Row],[Tiền hàng]]-Table_DonBan[[#This Row],[Giá trị CK]]</f>
        <v>2700000</v>
      </c>
      <c r="AI62" s="17">
        <f>Table_DonBan[[#This Row],[Doanh thu ròng]]</f>
        <v>2700000</v>
      </c>
      <c r="AJ62" s="17">
        <f>Table_DonBan[[#This Row],[Tiền hàng]]+Table_DonBan[[#This Row],[Tổng VAT]]-Table_DonBan[[#This Row],[Giá trị CK]]</f>
        <v>2700000</v>
      </c>
      <c r="AK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L62" s="543">
        <f>+IFERROR(
MAX(_xlfn._xlws.FILTER(Table_KHThanThiet_ChinhSach[Tỷ lệ điểm thưởng],
(Table_KHThanThiet_ChinhSach[Doanh thu tối thiểu]&lt;=Table_DonBan[[#This Row],[Doanh thu tính điểm]])
)),0)</f>
        <v>0.01</v>
      </c>
      <c r="AM62" s="17">
        <f xml:space="preserve">
Table_DonBan[[#This Row],[Tỷ lệ tính điểm]]*Table_DonBan[[#This Row],[Doanh thu ròng]]</f>
        <v>27000</v>
      </c>
      <c r="AN62" s="248">
        <f>COUNTA(_xlfn._xlws.FILTER(Table_DonBan[Mã Khách],
(Table_DonBan[Mã Khách]=Table_DonBan[[#This Row],[Mã Khách]])*
(Table_DonBan[Ngày lập]&lt;=Table_DonBan[[#This Row],[Ngày lập]])
))</f>
        <v>4</v>
      </c>
      <c r="AO62" s="246"/>
      <c r="AP62" s="247">
        <f>Table_DonBan[[#This Row],[ĐK - Phân loại]]*Table_DonBan[[#This Row],[ĐK - Thời gian]]*Table_DonBan[[#This Row],[ĐK - Giá trị]]*Table_DonBan[[#This Row],[ĐK - Số lượng]]*Table_DonBan[[#This Row],[ĐK - Sinh nhật]]*Table_DonBan[[#This Row],[ĐK - Ngày mua cuối]]</f>
        <v>1</v>
      </c>
      <c r="AQ62" s="247">
        <f xml:space="preserve">
IF(ISBLANK(Table_DonBan[[#This Row],[Chương trình]]),1,
IF(VLOOKUP(Table_DonBan[[#This Row],[Chương trình]],Table_ChuongTrinh[[Mã Chương trình]:[Đối tượng CK]],Sheet_ChuongTrinh!$C$1,0) = "Đơn hàng",1,0))</f>
        <v>1</v>
      </c>
      <c r="AR6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2" s="247">
        <f>IF(ISBLANK(Table_DonBan[[#This Row],[Chương trình]]),
1,
IF(ISBLANK(VLOOKUP(Table_DonBan[[#This Row],[Chương trình]],Table_ChuongTrinh[],Sheet_ChuongTrinh!$J$1,0)),
1,
IF(Table_DonBan[[#This Row],[Tiền hàng]]&gt;= VLOOKUP(Table_DonBan[[#This Row],[Chương trình]],Table_ChuongTrinh[],Sheet_ChuongTrinh!$J$1,0),
1,
0)))</f>
        <v>1</v>
      </c>
      <c r="AT6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49" ht="18" customHeight="1" x14ac:dyDescent="0.3">
      <c r="T63" s="250"/>
      <c r="U63" s="51" t="str">
        <f>CONCATENATE("BAN-",Table_DonBan[[#This Row],[Mã Khách]],"-",MOD(YEAR(Table_DonBan[[#This Row],[Ngày lập]]),100)*10000+MONTH(Table_DonBan[[#This Row],[Ngày lập]])*100+DAY(Table_DonBan[[#This Row],[Ngày lập]]),"-",Table_DonBan[[#This Row],[TT]])</f>
        <v>BAN-KH3-250409-</v>
      </c>
      <c r="V63" s="415">
        <v>45756</v>
      </c>
      <c r="W63" s="251" t="s">
        <v>1207</v>
      </c>
      <c r="X63" s="246"/>
      <c r="Y63" s="246"/>
      <c r="Z63" s="17">
        <f>IFERROR(SUM(_xlfn._xlws.FILTER(Table_Main[Giá trị bán trước VAT],
(Table_Main[Đơn bán]=Table_DonBan[[#This Row],[Mã Đơn bán]]),
)),0)</f>
        <v>4200000</v>
      </c>
      <c r="AA63" s="17">
        <f>IFERROR(SUM(_xlfn._xlws.FILTER(Table_Main[VAT],
(Table_Main[Đơn bán]=Table_DonBan[[#This Row],[Mã Đơn bán]]),
)),0)</f>
        <v>0</v>
      </c>
      <c r="AB63" s="17" cm="1">
        <f t="array" ref="AB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3" s="422"/>
      <c r="AD63" s="248"/>
      <c r="AE6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3" s="48">
        <f>(Z63/ABS(Z63))
*IFERROR(
IF(
ISBLANK(
VLOOKUP(
AD63,
Table_ChuongTrinh[],
COUNTA(Table_ChuongTrinh[[#Headers],[Mã Chương trình]:[Tỷ lệ CK]]),
0)
),
VLOOKUP(
AD63,
Table_ChuongTrinh[],
COUNTA(Table_ChuongTrinh[[#Headers],[Mã Chương trình]:[Giá trị CK]]),
0),
VLOOKUP(
AD63,
Table_ChuongTrinh[],
COUNTA(Table_ChuongTrinh[[#Headers],[Mã Chương trình]:[Tỷ lệ CK]]),
0)*ABS(Z63)
),
0)+AC63</f>
        <v>0</v>
      </c>
      <c r="AG63" s="17">
        <f>IFERROR(Table_DonBan[[#This Row],[VAT hàng]]-Table_DonBan[[#This Row],[VAT hàng]]*Table_DonBan[[#This Row],[Giá trị CK]]/Table_DonBan[[#This Row],[Tiền hàng]],0)</f>
        <v>0</v>
      </c>
      <c r="AH63" s="17">
        <f>+Table_DonBan[[#This Row],[Tiền hàng]]-Table_DonBan[[#This Row],[Giá trị CK]]</f>
        <v>4200000</v>
      </c>
      <c r="AI63" s="17">
        <f>Table_DonBan[[#This Row],[Doanh thu ròng]]</f>
        <v>4200000</v>
      </c>
      <c r="AJ63" s="17">
        <f>Table_DonBan[[#This Row],[Tiền hàng]]+Table_DonBan[[#This Row],[Tổng VAT]]-Table_DonBan[[#This Row],[Giá trị CK]]</f>
        <v>4200000</v>
      </c>
      <c r="AK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L63" s="543">
        <f>+IFERROR(
MAX(_xlfn._xlws.FILTER(Table_KHThanThiet_ChinhSach[Tỷ lệ điểm thưởng],
(Table_KHThanThiet_ChinhSach[Doanh thu tối thiểu]&lt;=Table_DonBan[[#This Row],[Doanh thu tính điểm]])
)),0)</f>
        <v>0</v>
      </c>
      <c r="AM63" s="17">
        <f xml:space="preserve">
Table_DonBan[[#This Row],[Tỷ lệ tính điểm]]*Table_DonBan[[#This Row],[Doanh thu ròng]]</f>
        <v>0</v>
      </c>
      <c r="AN63" s="248">
        <f>COUNTA(_xlfn._xlws.FILTER(Table_DonBan[Mã Khách],
(Table_DonBan[Mã Khách]=Table_DonBan[[#This Row],[Mã Khách]])*
(Table_DonBan[Ngày lập]&lt;=Table_DonBan[[#This Row],[Ngày lập]])
))</f>
        <v>2</v>
      </c>
      <c r="AO63" s="246"/>
      <c r="AP63" s="247">
        <f>Table_DonBan[[#This Row],[ĐK - Phân loại]]*Table_DonBan[[#This Row],[ĐK - Thời gian]]*Table_DonBan[[#This Row],[ĐK - Giá trị]]*Table_DonBan[[#This Row],[ĐK - Số lượng]]*Table_DonBan[[#This Row],[ĐK - Sinh nhật]]*Table_DonBan[[#This Row],[ĐK - Ngày mua cuối]]</f>
        <v>1</v>
      </c>
      <c r="AQ63" s="247">
        <f xml:space="preserve">
IF(ISBLANK(Table_DonBan[[#This Row],[Chương trình]]),1,
IF(VLOOKUP(Table_DonBan[[#This Row],[Chương trình]],Table_ChuongTrinh[[Mã Chương trình]:[Đối tượng CK]],Sheet_ChuongTrinh!$C$1,0) = "Đơn hàng",1,0))</f>
        <v>1</v>
      </c>
      <c r="AR6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3" s="247">
        <f>IF(ISBLANK(Table_DonBan[[#This Row],[Chương trình]]),
1,
IF(ISBLANK(VLOOKUP(Table_DonBan[[#This Row],[Chương trình]],Table_ChuongTrinh[],Sheet_ChuongTrinh!$J$1,0)),
1,
IF(Table_DonBan[[#This Row],[Tiền hàng]]&gt;= VLOOKUP(Table_DonBan[[#This Row],[Chương trình]],Table_ChuongTrinh[],Sheet_ChuongTrinh!$J$1,0),
1,
0)))</f>
        <v>1</v>
      </c>
      <c r="AT6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49" ht="18" customHeight="1" x14ac:dyDescent="0.3">
      <c r="T64" s="250"/>
      <c r="U64" s="51" t="str">
        <f>CONCATENATE("BAN-",Table_DonBan[[#This Row],[Mã Khách]],"-",MOD(YEAR(Table_DonBan[[#This Row],[Ngày lập]]),100)*10000+MONTH(Table_DonBan[[#This Row],[Ngày lập]])*100+DAY(Table_DonBan[[#This Row],[Ngày lập]]),"-",Table_DonBan[[#This Row],[TT]])</f>
        <v>BAN-KH2-250408-</v>
      </c>
      <c r="V64" s="415">
        <v>45755</v>
      </c>
      <c r="W64" s="251" t="s">
        <v>1206</v>
      </c>
      <c r="X64" s="246"/>
      <c r="Y64" s="246"/>
      <c r="Z64" s="17">
        <f>IFERROR(SUM(_xlfn._xlws.FILTER(Table_Main[Giá trị bán trước VAT],
(Table_Main[Đơn bán]=Table_DonBan[[#This Row],[Mã Đơn bán]]),
)),0)</f>
        <v>1900000</v>
      </c>
      <c r="AA64" s="17">
        <f>IFERROR(SUM(_xlfn._xlws.FILTER(Table_Main[VAT],
(Table_Main[Đơn bán]=Table_DonBan[[#This Row],[Mã Đơn bán]]),
)),0)</f>
        <v>0</v>
      </c>
      <c r="AB64" s="17" cm="1">
        <f t="array" ref="AB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C64" s="422"/>
      <c r="AD64" s="248"/>
      <c r="AE6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4" s="48">
        <f>(Z64/ABS(Z64))
*IFERROR(
IF(
ISBLANK(
VLOOKUP(
AD64,
Table_ChuongTrinh[],
COUNTA(Table_ChuongTrinh[[#Headers],[Mã Chương trình]:[Tỷ lệ CK]]),
0)
),
VLOOKUP(
AD64,
Table_ChuongTrinh[],
COUNTA(Table_ChuongTrinh[[#Headers],[Mã Chương trình]:[Giá trị CK]]),
0),
VLOOKUP(
AD64,
Table_ChuongTrinh[],
COUNTA(Table_ChuongTrinh[[#Headers],[Mã Chương trình]:[Tỷ lệ CK]]),
0)*ABS(Z64)
),
0)+AC64</f>
        <v>0</v>
      </c>
      <c r="AG64" s="17">
        <f>IFERROR(Table_DonBan[[#This Row],[VAT hàng]]-Table_DonBan[[#This Row],[VAT hàng]]*Table_DonBan[[#This Row],[Giá trị CK]]/Table_DonBan[[#This Row],[Tiền hàng]],0)</f>
        <v>0</v>
      </c>
      <c r="AH64" s="17">
        <f>+Table_DonBan[[#This Row],[Tiền hàng]]-Table_DonBan[[#This Row],[Giá trị CK]]</f>
        <v>1900000</v>
      </c>
      <c r="AI64" s="17">
        <f>Table_DonBan[[#This Row],[Doanh thu ròng]]</f>
        <v>1900000</v>
      </c>
      <c r="AJ64" s="17">
        <f>Table_DonBan[[#This Row],[Tiền hàng]]+Table_DonBan[[#This Row],[Tổng VAT]]-Table_DonBan[[#This Row],[Giá trị CK]]</f>
        <v>1900000</v>
      </c>
      <c r="AK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L64" s="543">
        <f>+IFERROR(
MAX(_xlfn._xlws.FILTER(Table_KHThanThiet_ChinhSach[Tỷ lệ điểm thưởng],
(Table_KHThanThiet_ChinhSach[Doanh thu tối thiểu]&lt;=Table_DonBan[[#This Row],[Doanh thu tính điểm]])
)),0)</f>
        <v>0.05</v>
      </c>
      <c r="AM64" s="17">
        <f xml:space="preserve">
Table_DonBan[[#This Row],[Tỷ lệ tính điểm]]*Table_DonBan[[#This Row],[Doanh thu ròng]]</f>
        <v>95000</v>
      </c>
      <c r="AN64" s="248">
        <f>COUNTA(_xlfn._xlws.FILTER(Table_DonBan[Mã Khách],
(Table_DonBan[Mã Khách]=Table_DonBan[[#This Row],[Mã Khách]])*
(Table_DonBan[Ngày lập]&lt;=Table_DonBan[[#This Row],[Ngày lập]])
))</f>
        <v>4</v>
      </c>
      <c r="AO64" s="246"/>
      <c r="AP64" s="247">
        <f>Table_DonBan[[#This Row],[ĐK - Phân loại]]*Table_DonBan[[#This Row],[ĐK - Thời gian]]*Table_DonBan[[#This Row],[ĐK - Giá trị]]*Table_DonBan[[#This Row],[ĐK - Số lượng]]*Table_DonBan[[#This Row],[ĐK - Sinh nhật]]*Table_DonBan[[#This Row],[ĐK - Ngày mua cuối]]</f>
        <v>1</v>
      </c>
      <c r="AQ64" s="247">
        <f xml:space="preserve">
IF(ISBLANK(Table_DonBan[[#This Row],[Chương trình]]),1,
IF(VLOOKUP(Table_DonBan[[#This Row],[Chương trình]],Table_ChuongTrinh[[Mã Chương trình]:[Đối tượng CK]],Sheet_ChuongTrinh!$C$1,0) = "Đơn hàng",1,0))</f>
        <v>1</v>
      </c>
      <c r="AR6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4" s="247">
        <f>IF(ISBLANK(Table_DonBan[[#This Row],[Chương trình]]),
1,
IF(ISBLANK(VLOOKUP(Table_DonBan[[#This Row],[Chương trình]],Table_ChuongTrinh[],Sheet_ChuongTrinh!$J$1,0)),
1,
IF(Table_DonBan[[#This Row],[Tiền hàng]]&gt;= VLOOKUP(Table_DonBan[[#This Row],[Chương trình]],Table_ChuongTrinh[],Sheet_ChuongTrinh!$J$1,0),
1,
0)))</f>
        <v>1</v>
      </c>
      <c r="AT6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49" ht="18" customHeight="1" x14ac:dyDescent="0.3">
      <c r="T65" s="250"/>
      <c r="U65" s="51" t="str">
        <f>CONCATENATE("BAN-",Table_DonBan[[#This Row],[Mã Khách]],"-",MOD(YEAR(Table_DonBan[[#This Row],[Ngày lập]]),100)*10000+MONTH(Table_DonBan[[#This Row],[Ngày lập]])*100+DAY(Table_DonBan[[#This Row],[Ngày lập]]),"-",Table_DonBan[[#This Row],[TT]])</f>
        <v>BAN-KH1-250403-</v>
      </c>
      <c r="V65" s="415">
        <v>45750</v>
      </c>
      <c r="W65" s="251" t="s">
        <v>1205</v>
      </c>
      <c r="X65" s="246"/>
      <c r="Y65" s="246"/>
      <c r="Z65" s="17">
        <f>IFERROR(SUM(_xlfn._xlws.FILTER(Table_Main[Giá trị bán trước VAT],
(Table_Main[Đơn bán]=Table_DonBan[[#This Row],[Mã Đơn bán]]),
)),0)</f>
        <v>8400000</v>
      </c>
      <c r="AA65" s="17">
        <f>IFERROR(SUM(_xlfn._xlws.FILTER(Table_Main[VAT],
(Table_Main[Đơn bán]=Table_DonBan[[#This Row],[Mã Đơn bán]]),
)),0)</f>
        <v>0</v>
      </c>
      <c r="AB65" s="17" cm="1">
        <f t="array" ref="AB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5" s="422"/>
      <c r="AD65" s="248"/>
      <c r="AE6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5" s="48">
        <f>(Z65/ABS(Z65))
*IFERROR(
IF(
ISBLANK(
VLOOKUP(
AD65,
Table_ChuongTrinh[],
COUNTA(Table_ChuongTrinh[[#Headers],[Mã Chương trình]:[Tỷ lệ CK]]),
0)
),
VLOOKUP(
AD65,
Table_ChuongTrinh[],
COUNTA(Table_ChuongTrinh[[#Headers],[Mã Chương trình]:[Giá trị CK]]),
0),
VLOOKUP(
AD65,
Table_ChuongTrinh[],
COUNTA(Table_ChuongTrinh[[#Headers],[Mã Chương trình]:[Tỷ lệ CK]]),
0)*ABS(Z65)
),
0)+AC65</f>
        <v>0</v>
      </c>
      <c r="AG65" s="17">
        <f>IFERROR(Table_DonBan[[#This Row],[VAT hàng]]-Table_DonBan[[#This Row],[VAT hàng]]*Table_DonBan[[#This Row],[Giá trị CK]]/Table_DonBan[[#This Row],[Tiền hàng]],0)</f>
        <v>0</v>
      </c>
      <c r="AH65" s="17">
        <f>+Table_DonBan[[#This Row],[Tiền hàng]]-Table_DonBan[[#This Row],[Giá trị CK]]</f>
        <v>8400000</v>
      </c>
      <c r="AI65" s="17">
        <f>Table_DonBan[[#This Row],[Doanh thu ròng]]</f>
        <v>8400000</v>
      </c>
      <c r="AJ65" s="17">
        <f>Table_DonBan[[#This Row],[Tiền hàng]]+Table_DonBan[[#This Row],[Tổng VAT]]-Table_DonBan[[#This Row],[Giá trị CK]]</f>
        <v>8400000</v>
      </c>
      <c r="AK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L65" s="543">
        <f>+IFERROR(
MAX(_xlfn._xlws.FILTER(Table_KHThanThiet_ChinhSach[Tỷ lệ điểm thưởng],
(Table_KHThanThiet_ChinhSach[Doanh thu tối thiểu]&lt;=Table_DonBan[[#This Row],[Doanh thu tính điểm]])
)),0)</f>
        <v>0</v>
      </c>
      <c r="AM65" s="17">
        <f xml:space="preserve">
Table_DonBan[[#This Row],[Tỷ lệ tính điểm]]*Table_DonBan[[#This Row],[Doanh thu ròng]]</f>
        <v>0</v>
      </c>
      <c r="AN65" s="248">
        <f>COUNTA(_xlfn._xlws.FILTER(Table_DonBan[Mã Khách],
(Table_DonBan[Mã Khách]=Table_DonBan[[#This Row],[Mã Khách]])*
(Table_DonBan[Ngày lập]&lt;=Table_DonBan[[#This Row],[Ngày lập]])
))</f>
        <v>3</v>
      </c>
      <c r="AO65" s="246"/>
      <c r="AP65" s="247">
        <f>Table_DonBan[[#This Row],[ĐK - Phân loại]]*Table_DonBan[[#This Row],[ĐK - Thời gian]]*Table_DonBan[[#This Row],[ĐK - Giá trị]]*Table_DonBan[[#This Row],[ĐK - Số lượng]]*Table_DonBan[[#This Row],[ĐK - Sinh nhật]]*Table_DonBan[[#This Row],[ĐK - Ngày mua cuối]]</f>
        <v>1</v>
      </c>
      <c r="AQ65" s="247">
        <f xml:space="preserve">
IF(ISBLANK(Table_DonBan[[#This Row],[Chương trình]]),1,
IF(VLOOKUP(Table_DonBan[[#This Row],[Chương trình]],Table_ChuongTrinh[[Mã Chương trình]:[Đối tượng CK]],Sheet_ChuongTrinh!$C$1,0) = "Đơn hàng",1,0))</f>
        <v>1</v>
      </c>
      <c r="AR6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5" s="247">
        <f>IF(ISBLANK(Table_DonBan[[#This Row],[Chương trình]]),
1,
IF(ISBLANK(VLOOKUP(Table_DonBan[[#This Row],[Chương trình]],Table_ChuongTrinh[],Sheet_ChuongTrinh!$J$1,0)),
1,
IF(Table_DonBan[[#This Row],[Tiền hàng]]&gt;= VLOOKUP(Table_DonBan[[#This Row],[Chương trình]],Table_ChuongTrinh[],Sheet_ChuongTrinh!$J$1,0),
1,
0)))</f>
        <v>1</v>
      </c>
      <c r="AT6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49" ht="18" customHeight="1" x14ac:dyDescent="0.3">
      <c r="T66" s="250"/>
      <c r="U66" s="51" t="str">
        <f>CONCATENATE("BAN-",Table_DonBan[[#This Row],[Mã Khách]],"-",MOD(YEAR(Table_DonBan[[#This Row],[Ngày lập]]),100)*10000+MONTH(Table_DonBan[[#This Row],[Ngày lập]])*100+DAY(Table_DonBan[[#This Row],[Ngày lập]]),"-",Table_DonBan[[#This Row],[TT]])</f>
        <v>BAN-KH2-250330-</v>
      </c>
      <c r="V66" s="415">
        <v>45746</v>
      </c>
      <c r="W66" s="251" t="s">
        <v>1206</v>
      </c>
      <c r="X66" s="246"/>
      <c r="Y66" s="246"/>
      <c r="Z66" s="17">
        <f>IFERROR(SUM(_xlfn._xlws.FILTER(Table_Main[Giá trị bán trước VAT],
(Table_Main[Đơn bán]=Table_DonBan[[#This Row],[Mã Đơn bán]]),
)),0)</f>
        <v>15500000</v>
      </c>
      <c r="AA66" s="17">
        <f>IFERROR(SUM(_xlfn._xlws.FILTER(Table_Main[VAT],
(Table_Main[Đơn bán]=Table_DonBan[[#This Row],[Mã Đơn bán]]),
)),0)</f>
        <v>0</v>
      </c>
      <c r="AB66" s="17" cm="1">
        <f t="array" ref="AB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6" s="422"/>
      <c r="AD66" s="248"/>
      <c r="AE6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6" s="48">
        <f>(Z66/ABS(Z66))
*IFERROR(
IF(
ISBLANK(
VLOOKUP(
AD66,
Table_ChuongTrinh[],
COUNTA(Table_ChuongTrinh[[#Headers],[Mã Chương trình]:[Tỷ lệ CK]]),
0)
),
VLOOKUP(
AD66,
Table_ChuongTrinh[],
COUNTA(Table_ChuongTrinh[[#Headers],[Mã Chương trình]:[Giá trị CK]]),
0),
VLOOKUP(
AD66,
Table_ChuongTrinh[],
COUNTA(Table_ChuongTrinh[[#Headers],[Mã Chương trình]:[Tỷ lệ CK]]),
0)*ABS(Z66)
),
0)+AC66</f>
        <v>0</v>
      </c>
      <c r="AG66" s="17">
        <f>IFERROR(Table_DonBan[[#This Row],[VAT hàng]]-Table_DonBan[[#This Row],[VAT hàng]]*Table_DonBan[[#This Row],[Giá trị CK]]/Table_DonBan[[#This Row],[Tiền hàng]],0)</f>
        <v>0</v>
      </c>
      <c r="AH66" s="17">
        <f>+Table_DonBan[[#This Row],[Tiền hàng]]-Table_DonBan[[#This Row],[Giá trị CK]]</f>
        <v>15500000</v>
      </c>
      <c r="AI66" s="17">
        <f>Table_DonBan[[#This Row],[Doanh thu ròng]]</f>
        <v>15500000</v>
      </c>
      <c r="AJ66" s="17">
        <f>Table_DonBan[[#This Row],[Tiền hàng]]+Table_DonBan[[#This Row],[Tổng VAT]]-Table_DonBan[[#This Row],[Giá trị CK]]</f>
        <v>15500000</v>
      </c>
      <c r="AK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L66" s="543">
        <f>+IFERROR(
MAX(_xlfn._xlws.FILTER(Table_KHThanThiet_ChinhSach[Tỷ lệ điểm thưởng],
(Table_KHThanThiet_ChinhSach[Doanh thu tối thiểu]&lt;=Table_DonBan[[#This Row],[Doanh thu tính điểm]])
)),0)</f>
        <v>0.03</v>
      </c>
      <c r="AM66" s="17">
        <f xml:space="preserve">
Table_DonBan[[#This Row],[Tỷ lệ tính điểm]]*Table_DonBan[[#This Row],[Doanh thu ròng]]</f>
        <v>465000</v>
      </c>
      <c r="AN66" s="248">
        <f>COUNTA(_xlfn._xlws.FILTER(Table_DonBan[Mã Khách],
(Table_DonBan[Mã Khách]=Table_DonBan[[#This Row],[Mã Khách]])*
(Table_DonBan[Ngày lập]&lt;=Table_DonBan[[#This Row],[Ngày lập]])
))</f>
        <v>3</v>
      </c>
      <c r="AO66" s="246"/>
      <c r="AP66" s="247">
        <f>Table_DonBan[[#This Row],[ĐK - Phân loại]]*Table_DonBan[[#This Row],[ĐK - Thời gian]]*Table_DonBan[[#This Row],[ĐK - Giá trị]]*Table_DonBan[[#This Row],[ĐK - Số lượng]]*Table_DonBan[[#This Row],[ĐK - Sinh nhật]]*Table_DonBan[[#This Row],[ĐK - Ngày mua cuối]]</f>
        <v>1</v>
      </c>
      <c r="AQ66" s="247">
        <f xml:space="preserve">
IF(ISBLANK(Table_DonBan[[#This Row],[Chương trình]]),1,
IF(VLOOKUP(Table_DonBan[[#This Row],[Chương trình]],Table_ChuongTrinh[[Mã Chương trình]:[Đối tượng CK]],Sheet_ChuongTrinh!$C$1,0) = "Đơn hàng",1,0))</f>
        <v>1</v>
      </c>
      <c r="AR6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6" s="247">
        <f>IF(ISBLANK(Table_DonBan[[#This Row],[Chương trình]]),
1,
IF(ISBLANK(VLOOKUP(Table_DonBan[[#This Row],[Chương trình]],Table_ChuongTrinh[],Sheet_ChuongTrinh!$J$1,0)),
1,
IF(Table_DonBan[[#This Row],[Tiền hàng]]&gt;= VLOOKUP(Table_DonBan[[#This Row],[Chương trình]],Table_ChuongTrinh[],Sheet_ChuongTrinh!$J$1,0),
1,
0)))</f>
        <v>1</v>
      </c>
      <c r="AT6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49" ht="18" customHeight="1" x14ac:dyDescent="0.3">
      <c r="T67" s="250"/>
      <c r="U67" s="51" t="str">
        <f>CONCATENATE("BAN-",Table_DonBan[[#This Row],[Mã Khách]],"-",MOD(YEAR(Table_DonBan[[#This Row],[Ngày lập]]),100)*10000+MONTH(Table_DonBan[[#This Row],[Ngày lập]])*100+DAY(Table_DonBan[[#This Row],[Ngày lập]]),"-",Table_DonBan[[#This Row],[TT]])</f>
        <v>BAN-KH1-250327-</v>
      </c>
      <c r="V67" s="415">
        <v>45743</v>
      </c>
      <c r="W67" s="251" t="s">
        <v>1205</v>
      </c>
      <c r="X67" s="246"/>
      <c r="Y67" s="246"/>
      <c r="Z67" s="17">
        <f>IFERROR(SUM(_xlfn._xlws.FILTER(Table_Main[Giá trị bán trước VAT],
(Table_Main[Đơn bán]=Table_DonBan[[#This Row],[Mã Đơn bán]]),
)),0)</f>
        <v>4200000</v>
      </c>
      <c r="AA67" s="17">
        <f>IFERROR(SUM(_xlfn._xlws.FILTER(Table_Main[VAT],
(Table_Main[Đơn bán]=Table_DonBan[[#This Row],[Mã Đơn bán]]),
)),0)</f>
        <v>0</v>
      </c>
      <c r="AB67" s="17" cm="1">
        <f t="array" ref="AB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7" s="422"/>
      <c r="AD67" s="248"/>
      <c r="AE6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7" s="48">
        <f>(Z67/ABS(Z67))
*IFERROR(
IF(
ISBLANK(
VLOOKUP(
AD67,
Table_ChuongTrinh[],
COUNTA(Table_ChuongTrinh[[#Headers],[Mã Chương trình]:[Tỷ lệ CK]]),
0)
),
VLOOKUP(
AD67,
Table_ChuongTrinh[],
COUNTA(Table_ChuongTrinh[[#Headers],[Mã Chương trình]:[Giá trị CK]]),
0),
VLOOKUP(
AD67,
Table_ChuongTrinh[],
COUNTA(Table_ChuongTrinh[[#Headers],[Mã Chương trình]:[Tỷ lệ CK]]),
0)*ABS(Z67)
),
0)+AC67</f>
        <v>0</v>
      </c>
      <c r="AG67" s="17">
        <f>IFERROR(Table_DonBan[[#This Row],[VAT hàng]]-Table_DonBan[[#This Row],[VAT hàng]]*Table_DonBan[[#This Row],[Giá trị CK]]/Table_DonBan[[#This Row],[Tiền hàng]],0)</f>
        <v>0</v>
      </c>
      <c r="AH67" s="17">
        <f>+Table_DonBan[[#This Row],[Tiền hàng]]-Table_DonBan[[#This Row],[Giá trị CK]]</f>
        <v>4200000</v>
      </c>
      <c r="AI67" s="17">
        <f>Table_DonBan[[#This Row],[Doanh thu ròng]]</f>
        <v>4200000</v>
      </c>
      <c r="AJ67" s="17">
        <f>Table_DonBan[[#This Row],[Tiền hàng]]+Table_DonBan[[#This Row],[Tổng VAT]]-Table_DonBan[[#This Row],[Giá trị CK]]</f>
        <v>4200000</v>
      </c>
      <c r="AK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L67" s="543">
        <f>+IFERROR(
MAX(_xlfn._xlws.FILTER(Table_KHThanThiet_ChinhSach[Tỷ lệ điểm thưởng],
(Table_KHThanThiet_ChinhSach[Doanh thu tối thiểu]&lt;=Table_DonBan[[#This Row],[Doanh thu tính điểm]])
)),0)</f>
        <v>0</v>
      </c>
      <c r="AM67" s="17">
        <f xml:space="preserve">
Table_DonBan[[#This Row],[Tỷ lệ tính điểm]]*Table_DonBan[[#This Row],[Doanh thu ròng]]</f>
        <v>0</v>
      </c>
      <c r="AN67" s="248">
        <f>COUNTA(_xlfn._xlws.FILTER(Table_DonBan[Mã Khách],
(Table_DonBan[Mã Khách]=Table_DonBan[[#This Row],[Mã Khách]])*
(Table_DonBan[Ngày lập]&lt;=Table_DonBan[[#This Row],[Ngày lập]])
))</f>
        <v>2</v>
      </c>
      <c r="AO67" s="246"/>
      <c r="AP67" s="247">
        <f>Table_DonBan[[#This Row],[ĐK - Phân loại]]*Table_DonBan[[#This Row],[ĐK - Thời gian]]*Table_DonBan[[#This Row],[ĐK - Giá trị]]*Table_DonBan[[#This Row],[ĐK - Số lượng]]*Table_DonBan[[#This Row],[ĐK - Sinh nhật]]*Table_DonBan[[#This Row],[ĐK - Ngày mua cuối]]</f>
        <v>1</v>
      </c>
      <c r="AQ67" s="247">
        <f xml:space="preserve">
IF(ISBLANK(Table_DonBan[[#This Row],[Chương trình]]),1,
IF(VLOOKUP(Table_DonBan[[#This Row],[Chương trình]],Table_ChuongTrinh[[Mã Chương trình]:[Đối tượng CK]],Sheet_ChuongTrinh!$C$1,0) = "Đơn hàng",1,0))</f>
        <v>1</v>
      </c>
      <c r="AR6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7" s="247">
        <f>IF(ISBLANK(Table_DonBan[[#This Row],[Chương trình]]),
1,
IF(ISBLANK(VLOOKUP(Table_DonBan[[#This Row],[Chương trình]],Table_ChuongTrinh[],Sheet_ChuongTrinh!$J$1,0)),
1,
IF(Table_DonBan[[#This Row],[Tiền hàng]]&gt;= VLOOKUP(Table_DonBan[[#This Row],[Chương trình]],Table_ChuongTrinh[],Sheet_ChuongTrinh!$J$1,0),
1,
0)))</f>
        <v>1</v>
      </c>
      <c r="AT6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49" ht="18" customHeight="1" x14ac:dyDescent="0.3">
      <c r="T68" s="250"/>
      <c r="U68" s="51" t="str">
        <f>CONCATENATE("BAN-",Table_DonBan[[#This Row],[Mã Khách]],"-",MOD(YEAR(Table_DonBan[[#This Row],[Ngày lập]]),100)*10000+MONTH(Table_DonBan[[#This Row],[Ngày lập]])*100+DAY(Table_DonBan[[#This Row],[Ngày lập]]),"-",Table_DonBan[[#This Row],[TT]])</f>
        <v>BAN-KH3-250325-</v>
      </c>
      <c r="V68" s="415">
        <v>45741</v>
      </c>
      <c r="W68" s="251" t="s">
        <v>1207</v>
      </c>
      <c r="X68" s="246"/>
      <c r="Y68" s="246"/>
      <c r="Z68" s="17">
        <f>IFERROR(SUM(_xlfn._xlws.FILTER(Table_Main[Giá trị bán trước VAT],
(Table_Main[Đơn bán]=Table_DonBan[[#This Row],[Mã Đơn bán]]),
)),0)</f>
        <v>3000000</v>
      </c>
      <c r="AA68" s="17">
        <f>IFERROR(SUM(_xlfn._xlws.FILTER(Table_Main[VAT],
(Table_Main[Đơn bán]=Table_DonBan[[#This Row],[Mã Đơn bán]]),
)),0)</f>
        <v>0</v>
      </c>
      <c r="AB68" s="17" cm="1">
        <f t="array" ref="AB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8" s="422"/>
      <c r="AD68" s="248"/>
      <c r="AE6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8" s="48">
        <f>(Z68/ABS(Z68))
*IFERROR(
IF(
ISBLANK(
VLOOKUP(
AD68,
Table_ChuongTrinh[],
COUNTA(Table_ChuongTrinh[[#Headers],[Mã Chương trình]:[Tỷ lệ CK]]),
0)
),
VLOOKUP(
AD68,
Table_ChuongTrinh[],
COUNTA(Table_ChuongTrinh[[#Headers],[Mã Chương trình]:[Giá trị CK]]),
0),
VLOOKUP(
AD68,
Table_ChuongTrinh[],
COUNTA(Table_ChuongTrinh[[#Headers],[Mã Chương trình]:[Tỷ lệ CK]]),
0)*ABS(Z68)
),
0)+AC68</f>
        <v>0</v>
      </c>
      <c r="AG68" s="17">
        <f>IFERROR(Table_DonBan[[#This Row],[VAT hàng]]-Table_DonBan[[#This Row],[VAT hàng]]*Table_DonBan[[#This Row],[Giá trị CK]]/Table_DonBan[[#This Row],[Tiền hàng]],0)</f>
        <v>0</v>
      </c>
      <c r="AH68" s="17">
        <f>+Table_DonBan[[#This Row],[Tiền hàng]]-Table_DonBan[[#This Row],[Giá trị CK]]</f>
        <v>3000000</v>
      </c>
      <c r="AI68" s="17">
        <f>Table_DonBan[[#This Row],[Doanh thu ròng]]</f>
        <v>3000000</v>
      </c>
      <c r="AJ68" s="17">
        <f>Table_DonBan[[#This Row],[Tiền hàng]]+Table_DonBan[[#This Row],[Tổng VAT]]-Table_DonBan[[#This Row],[Giá trị CK]]</f>
        <v>3000000</v>
      </c>
      <c r="AK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8" s="543">
        <f>+IFERROR(
MAX(_xlfn._xlws.FILTER(Table_KHThanThiet_ChinhSach[Tỷ lệ điểm thưởng],
(Table_KHThanThiet_ChinhSach[Doanh thu tối thiểu]&lt;=Table_DonBan[[#This Row],[Doanh thu tính điểm]])
)),0)</f>
        <v>0</v>
      </c>
      <c r="AM68" s="17">
        <f xml:space="preserve">
Table_DonBan[[#This Row],[Tỷ lệ tính điểm]]*Table_DonBan[[#This Row],[Doanh thu ròng]]</f>
        <v>0</v>
      </c>
      <c r="AN68" s="248">
        <f>COUNTA(_xlfn._xlws.FILTER(Table_DonBan[Mã Khách],
(Table_DonBan[Mã Khách]=Table_DonBan[[#This Row],[Mã Khách]])*
(Table_DonBan[Ngày lập]&lt;=Table_DonBan[[#This Row],[Ngày lập]])
))</f>
        <v>1</v>
      </c>
      <c r="AO68" s="246"/>
      <c r="AP68" s="247">
        <f>Table_DonBan[[#This Row],[ĐK - Phân loại]]*Table_DonBan[[#This Row],[ĐK - Thời gian]]*Table_DonBan[[#This Row],[ĐK - Giá trị]]*Table_DonBan[[#This Row],[ĐK - Số lượng]]*Table_DonBan[[#This Row],[ĐK - Sinh nhật]]*Table_DonBan[[#This Row],[ĐK - Ngày mua cuối]]</f>
        <v>1</v>
      </c>
      <c r="AQ68" s="247">
        <f xml:space="preserve">
IF(ISBLANK(Table_DonBan[[#This Row],[Chương trình]]),1,
IF(VLOOKUP(Table_DonBan[[#This Row],[Chương trình]],Table_ChuongTrinh[[Mã Chương trình]:[Đối tượng CK]],Sheet_ChuongTrinh!$C$1,0) = "Đơn hàng",1,0))</f>
        <v>1</v>
      </c>
      <c r="AR6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8" s="247">
        <f>IF(ISBLANK(Table_DonBan[[#This Row],[Chương trình]]),
1,
IF(ISBLANK(VLOOKUP(Table_DonBan[[#This Row],[Chương trình]],Table_ChuongTrinh[],Sheet_ChuongTrinh!$J$1,0)),
1,
IF(Table_DonBan[[#This Row],[Tiền hàng]]&gt;= VLOOKUP(Table_DonBan[[#This Row],[Chương trình]],Table_ChuongTrinh[],Sheet_ChuongTrinh!$J$1,0),
1,
0)))</f>
        <v>1</v>
      </c>
      <c r="AT6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49" ht="18" customHeight="1" x14ac:dyDescent="0.3">
      <c r="T69" s="250"/>
      <c r="U69" s="51" t="str">
        <f>CONCATENATE("BAN-",Table_DonBan[[#This Row],[Mã Khách]],"-",MOD(YEAR(Table_DonBan[[#This Row],[Ngày lập]]),100)*10000+MONTH(Table_DonBan[[#This Row],[Ngày lập]])*100+DAY(Table_DonBan[[#This Row],[Ngày lập]]),"-",Table_DonBan[[#This Row],[TT]])</f>
        <v>BAN-KH1-250320-</v>
      </c>
      <c r="V69" s="415">
        <v>45736</v>
      </c>
      <c r="W69" s="251" t="s">
        <v>1205</v>
      </c>
      <c r="X69" s="246"/>
      <c r="Y69" s="246"/>
      <c r="Z69" s="17">
        <f>IFERROR(SUM(_xlfn._xlws.FILTER(Table_Main[Giá trị bán trước VAT],
(Table_Main[Đơn bán]=Table_DonBan[[#This Row],[Mã Đơn bán]]),
)),0)</f>
        <v>100000</v>
      </c>
      <c r="AA69" s="17">
        <f>IFERROR(SUM(_xlfn._xlws.FILTER(Table_Main[VAT],
(Table_Main[Đơn bán]=Table_DonBan[[#This Row],[Mã Đơn bán]]),
)),0)</f>
        <v>0</v>
      </c>
      <c r="AB69" s="17" cm="1">
        <f t="array" ref="AB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9" s="422"/>
      <c r="AD69" s="248"/>
      <c r="AE6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9" s="48">
        <f>(Z69/ABS(Z69))
*IFERROR(
IF(
ISBLANK(
VLOOKUP(
AD69,
Table_ChuongTrinh[],
COUNTA(Table_ChuongTrinh[[#Headers],[Mã Chương trình]:[Tỷ lệ CK]]),
0)
),
VLOOKUP(
AD69,
Table_ChuongTrinh[],
COUNTA(Table_ChuongTrinh[[#Headers],[Mã Chương trình]:[Giá trị CK]]),
0),
VLOOKUP(
AD69,
Table_ChuongTrinh[],
COUNTA(Table_ChuongTrinh[[#Headers],[Mã Chương trình]:[Tỷ lệ CK]]),
0)*ABS(Z69)
),
0)+AC69</f>
        <v>0</v>
      </c>
      <c r="AG69" s="17">
        <f>IFERROR(Table_DonBan[[#This Row],[VAT hàng]]-Table_DonBan[[#This Row],[VAT hàng]]*Table_DonBan[[#This Row],[Giá trị CK]]/Table_DonBan[[#This Row],[Tiền hàng]],0)</f>
        <v>0</v>
      </c>
      <c r="AH69" s="17">
        <f>+Table_DonBan[[#This Row],[Tiền hàng]]-Table_DonBan[[#This Row],[Giá trị CK]]</f>
        <v>100000</v>
      </c>
      <c r="AI69" s="17">
        <f>Table_DonBan[[#This Row],[Doanh thu ròng]]</f>
        <v>100000</v>
      </c>
      <c r="AJ69" s="17">
        <f>Table_DonBan[[#This Row],[Tiền hàng]]+Table_DonBan[[#This Row],[Tổng VAT]]-Table_DonBan[[#This Row],[Giá trị CK]]</f>
        <v>100000</v>
      </c>
      <c r="AK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9" s="543">
        <f>+IFERROR(
MAX(_xlfn._xlws.FILTER(Table_KHThanThiet_ChinhSach[Tỷ lệ điểm thưởng],
(Table_KHThanThiet_ChinhSach[Doanh thu tối thiểu]&lt;=Table_DonBan[[#This Row],[Doanh thu tính điểm]])
)),0)</f>
        <v>0</v>
      </c>
      <c r="AM69" s="17">
        <f xml:space="preserve">
Table_DonBan[[#This Row],[Tỷ lệ tính điểm]]*Table_DonBan[[#This Row],[Doanh thu ròng]]</f>
        <v>0</v>
      </c>
      <c r="AN69" s="248">
        <f>COUNTA(_xlfn._xlws.FILTER(Table_DonBan[Mã Khách],
(Table_DonBan[Mã Khách]=Table_DonBan[[#This Row],[Mã Khách]])*
(Table_DonBan[Ngày lập]&lt;=Table_DonBan[[#This Row],[Ngày lập]])
))</f>
        <v>1</v>
      </c>
      <c r="AO69" s="246"/>
      <c r="AP69" s="247">
        <f>Table_DonBan[[#This Row],[ĐK - Phân loại]]*Table_DonBan[[#This Row],[ĐK - Thời gian]]*Table_DonBan[[#This Row],[ĐK - Giá trị]]*Table_DonBan[[#This Row],[ĐK - Số lượng]]*Table_DonBan[[#This Row],[ĐK - Sinh nhật]]*Table_DonBan[[#This Row],[ĐK - Ngày mua cuối]]</f>
        <v>1</v>
      </c>
      <c r="AQ69" s="247">
        <f xml:space="preserve">
IF(ISBLANK(Table_DonBan[[#This Row],[Chương trình]]),1,
IF(VLOOKUP(Table_DonBan[[#This Row],[Chương trình]],Table_ChuongTrinh[[Mã Chương trình]:[Đối tượng CK]],Sheet_ChuongTrinh!$C$1,0) = "Đơn hàng",1,0))</f>
        <v>1</v>
      </c>
      <c r="AR6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9" s="247">
        <f>IF(ISBLANK(Table_DonBan[[#This Row],[Chương trình]]),
1,
IF(ISBLANK(VLOOKUP(Table_DonBan[[#This Row],[Chương trình]],Table_ChuongTrinh[],Sheet_ChuongTrinh!$J$1,0)),
1,
IF(Table_DonBan[[#This Row],[Tiền hàng]]&gt;= VLOOKUP(Table_DonBan[[#This Row],[Chương trình]],Table_ChuongTrinh[],Sheet_ChuongTrinh!$J$1,0),
1,
0)))</f>
        <v>1</v>
      </c>
      <c r="AT6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49" ht="18" customHeight="1" x14ac:dyDescent="0.3">
      <c r="T70" s="250"/>
      <c r="U70" s="51" t="str">
        <f>CONCATENATE("BAN-",Table_DonBan[[#This Row],[Mã Khách]],"-",MOD(YEAR(Table_DonBan[[#This Row],[Ngày lập]]),100)*10000+MONTH(Table_DonBan[[#This Row],[Ngày lập]])*100+DAY(Table_DonBan[[#This Row],[Ngày lập]]),"-",Table_DonBan[[#This Row],[TT]])</f>
        <v>BAN-KH2-250319-</v>
      </c>
      <c r="V70" s="415">
        <v>45735</v>
      </c>
      <c r="W70" s="251" t="s">
        <v>1206</v>
      </c>
      <c r="X70" s="246"/>
      <c r="Y70" s="246"/>
      <c r="Z70" s="17">
        <f>IFERROR(SUM(_xlfn._xlws.FILTER(Table_Main[Giá trị bán trước VAT],
(Table_Main[Đơn bán]=Table_DonBan[[#This Row],[Mã Đơn bán]]),
)),0)</f>
        <v>24000000</v>
      </c>
      <c r="AA70" s="17">
        <f>IFERROR(SUM(_xlfn._xlws.FILTER(Table_Main[VAT],
(Table_Main[Đơn bán]=Table_DonBan[[#This Row],[Mã Đơn bán]]),
)),0)</f>
        <v>0</v>
      </c>
      <c r="AB70" s="17" cm="1">
        <f t="array" ref="AB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0" s="422"/>
      <c r="AD70" s="248"/>
      <c r="AE7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0" s="48">
        <f>(Z70/ABS(Z70))
*IFERROR(
IF(
ISBLANK(
VLOOKUP(
AD70,
Table_ChuongTrinh[],
COUNTA(Table_ChuongTrinh[[#Headers],[Mã Chương trình]:[Tỷ lệ CK]]),
0)
),
VLOOKUP(
AD70,
Table_ChuongTrinh[],
COUNTA(Table_ChuongTrinh[[#Headers],[Mã Chương trình]:[Giá trị CK]]),
0),
VLOOKUP(
AD70,
Table_ChuongTrinh[],
COUNTA(Table_ChuongTrinh[[#Headers],[Mã Chương trình]:[Tỷ lệ CK]]),
0)*ABS(Z70)
),
0)+AC70</f>
        <v>0</v>
      </c>
      <c r="AG70" s="17">
        <f>IFERROR(Table_DonBan[[#This Row],[VAT hàng]]-Table_DonBan[[#This Row],[VAT hàng]]*Table_DonBan[[#This Row],[Giá trị CK]]/Table_DonBan[[#This Row],[Tiền hàng]],0)</f>
        <v>0</v>
      </c>
      <c r="AH70" s="17">
        <f>+Table_DonBan[[#This Row],[Tiền hàng]]-Table_DonBan[[#This Row],[Giá trị CK]]</f>
        <v>24000000</v>
      </c>
      <c r="AI70" s="17">
        <f>Table_DonBan[[#This Row],[Doanh thu ròng]]</f>
        <v>24000000</v>
      </c>
      <c r="AJ70" s="17">
        <f>Table_DonBan[[#This Row],[Tiền hàng]]+Table_DonBan[[#This Row],[Tổng VAT]]-Table_DonBan[[#This Row],[Giá trị CK]]</f>
        <v>24000000</v>
      </c>
      <c r="AK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L70" s="543">
        <f>+IFERROR(
MAX(_xlfn._xlws.FILTER(Table_KHThanThiet_ChinhSach[Tỷ lệ điểm thưởng],
(Table_KHThanThiet_ChinhSach[Doanh thu tối thiểu]&lt;=Table_DonBan[[#This Row],[Doanh thu tính điểm]])
)),0)</f>
        <v>0</v>
      </c>
      <c r="AM70" s="17">
        <f xml:space="preserve">
Table_DonBan[[#This Row],[Tỷ lệ tính điểm]]*Table_DonBan[[#This Row],[Doanh thu ròng]]</f>
        <v>0</v>
      </c>
      <c r="AN70" s="248">
        <f>COUNTA(_xlfn._xlws.FILTER(Table_DonBan[Mã Khách],
(Table_DonBan[Mã Khách]=Table_DonBan[[#This Row],[Mã Khách]])*
(Table_DonBan[Ngày lập]&lt;=Table_DonBan[[#This Row],[Ngày lập]])
))</f>
        <v>2</v>
      </c>
      <c r="AO70" s="246"/>
      <c r="AP70" s="247">
        <f>Table_DonBan[[#This Row],[ĐK - Phân loại]]*Table_DonBan[[#This Row],[ĐK - Thời gian]]*Table_DonBan[[#This Row],[ĐK - Giá trị]]*Table_DonBan[[#This Row],[ĐK - Số lượng]]*Table_DonBan[[#This Row],[ĐK - Sinh nhật]]*Table_DonBan[[#This Row],[ĐK - Ngày mua cuối]]</f>
        <v>1</v>
      </c>
      <c r="AQ70" s="247">
        <f xml:space="preserve">
IF(ISBLANK(Table_DonBan[[#This Row],[Chương trình]]),1,
IF(VLOOKUP(Table_DonBan[[#This Row],[Chương trình]],Table_ChuongTrinh[[Mã Chương trình]:[Đối tượng CK]],Sheet_ChuongTrinh!$C$1,0) = "Đơn hàng",1,0))</f>
        <v>1</v>
      </c>
      <c r="AR7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0" s="247">
        <f>IF(ISBLANK(Table_DonBan[[#This Row],[Chương trình]]),
1,
IF(ISBLANK(VLOOKUP(Table_DonBan[[#This Row],[Chương trình]],Table_ChuongTrinh[],Sheet_ChuongTrinh!$J$1,0)),
1,
IF(Table_DonBan[[#This Row],[Tiền hàng]]&gt;= VLOOKUP(Table_DonBan[[#This Row],[Chương trình]],Table_ChuongTrinh[],Sheet_ChuongTrinh!$J$1,0),
1,
0)))</f>
        <v>1</v>
      </c>
      <c r="AT7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49" ht="18" customHeight="1" x14ac:dyDescent="0.3">
      <c r="T71" s="250"/>
      <c r="U71" s="51" t="str">
        <f>CONCATENATE("BAN-",Table_DonBan[[#This Row],[Mã Khách]],"-",MOD(YEAR(Table_DonBan[[#This Row],[Ngày lập]]),100)*10000+MONTH(Table_DonBan[[#This Row],[Ngày lập]])*100+DAY(Table_DonBan[[#This Row],[Ngày lập]]),"-",Table_DonBan[[#This Row],[TT]])</f>
        <v>BAN-KH2-250313-</v>
      </c>
      <c r="V71" s="415">
        <v>45729</v>
      </c>
      <c r="W71" s="251" t="s">
        <v>1206</v>
      </c>
      <c r="X71" s="246"/>
      <c r="Y71" s="246"/>
      <c r="Z71" s="17">
        <f>IFERROR(SUM(_xlfn._xlws.FILTER(Table_Main[Giá trị bán trước VAT],
(Table_Main[Đơn bán]=Table_DonBan[[#This Row],[Mã Đơn bán]]),
)),0)</f>
        <v>3900000</v>
      </c>
      <c r="AA71" s="17">
        <f>IFERROR(SUM(_xlfn._xlws.FILTER(Table_Main[VAT],
(Table_Main[Đơn bán]=Table_DonBan[[#This Row],[Mã Đơn bán]]),
)),0)</f>
        <v>0</v>
      </c>
      <c r="AB71" s="17" cm="1">
        <f t="array" ref="AB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1" s="422"/>
      <c r="AD71" s="248"/>
      <c r="AE7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1" s="48">
        <f>(Z71/ABS(Z71))
*IFERROR(
IF(
ISBLANK(
VLOOKUP(
AD71,
Table_ChuongTrinh[],
COUNTA(Table_ChuongTrinh[[#Headers],[Mã Chương trình]:[Tỷ lệ CK]]),
0)
),
VLOOKUP(
AD71,
Table_ChuongTrinh[],
COUNTA(Table_ChuongTrinh[[#Headers],[Mã Chương trình]:[Giá trị CK]]),
0),
VLOOKUP(
AD71,
Table_ChuongTrinh[],
COUNTA(Table_ChuongTrinh[[#Headers],[Mã Chương trình]:[Tỷ lệ CK]]),
0)*ABS(Z71)
),
0)+AC71</f>
        <v>0</v>
      </c>
      <c r="AG71" s="17">
        <f>IFERROR(Table_DonBan[[#This Row],[VAT hàng]]-Table_DonBan[[#This Row],[VAT hàng]]*Table_DonBan[[#This Row],[Giá trị CK]]/Table_DonBan[[#This Row],[Tiền hàng]],0)</f>
        <v>0</v>
      </c>
      <c r="AH71" s="17">
        <f>+Table_DonBan[[#This Row],[Tiền hàng]]-Table_DonBan[[#This Row],[Giá trị CK]]</f>
        <v>3900000</v>
      </c>
      <c r="AI71" s="17">
        <f>Table_DonBan[[#This Row],[Doanh thu ròng]]</f>
        <v>3900000</v>
      </c>
      <c r="AJ71" s="17">
        <f>Table_DonBan[[#This Row],[Tiền hàng]]+Table_DonBan[[#This Row],[Tổng VAT]]-Table_DonBan[[#This Row],[Giá trị CK]]</f>
        <v>3900000</v>
      </c>
      <c r="AK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71" s="543">
        <f>+IFERROR(
MAX(_xlfn._xlws.FILTER(Table_KHThanThiet_ChinhSach[Tỷ lệ điểm thưởng],
(Table_KHThanThiet_ChinhSach[Doanh thu tối thiểu]&lt;=Table_DonBan[[#This Row],[Doanh thu tính điểm]])
)),0)</f>
        <v>0</v>
      </c>
      <c r="AM71" s="17">
        <f xml:space="preserve">
Table_DonBan[[#This Row],[Tỷ lệ tính điểm]]*Table_DonBan[[#This Row],[Doanh thu ròng]]</f>
        <v>0</v>
      </c>
      <c r="AN71" s="248">
        <f>COUNTA(_xlfn._xlws.FILTER(Table_DonBan[Mã Khách],
(Table_DonBan[Mã Khách]=Table_DonBan[[#This Row],[Mã Khách]])*
(Table_DonBan[Ngày lập]&lt;=Table_DonBan[[#This Row],[Ngày lập]])
))</f>
        <v>1</v>
      </c>
      <c r="AO71" s="246"/>
      <c r="AP71" s="247">
        <f>Table_DonBan[[#This Row],[ĐK - Phân loại]]*Table_DonBan[[#This Row],[ĐK - Thời gian]]*Table_DonBan[[#This Row],[ĐK - Giá trị]]*Table_DonBan[[#This Row],[ĐK - Số lượng]]*Table_DonBan[[#This Row],[ĐK - Sinh nhật]]*Table_DonBan[[#This Row],[ĐK - Ngày mua cuối]]</f>
        <v>1</v>
      </c>
      <c r="AQ71" s="247">
        <f xml:space="preserve">
IF(ISBLANK(Table_DonBan[[#This Row],[Chương trình]]),1,
IF(VLOOKUP(Table_DonBan[[#This Row],[Chương trình]],Table_ChuongTrinh[[Mã Chương trình]:[Đối tượng CK]],Sheet_ChuongTrinh!$C$1,0) = "Đơn hàng",1,0))</f>
        <v>1</v>
      </c>
      <c r="AR7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1" s="247">
        <f>IF(ISBLANK(Table_DonBan[[#This Row],[Chương trình]]),
1,
IF(ISBLANK(VLOOKUP(Table_DonBan[[#This Row],[Chương trình]],Table_ChuongTrinh[],Sheet_ChuongTrinh!$J$1,0)),
1,
IF(Table_DonBan[[#This Row],[Tiền hàng]]&gt;= VLOOKUP(Table_DonBan[[#This Row],[Chương trình]],Table_ChuongTrinh[],Sheet_ChuongTrinh!$J$1,0),
1,
0)))</f>
        <v>1</v>
      </c>
      <c r="AT7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BzsnwB0nUIW5Qtn1qlZYtnFnA/Jtly3cFhlLalTke09S2He2nmmGK0X42RK5PkgDkLp19KVFEnqUsgTTIw28rw==" saltValue="qsdGT3QSYH508nR9YTU06A==" spinCount="100000" sheet="1" scenarios="1" formatCells="0" formatColumns="0" formatRows="0" insertColumns="0" insertRows="0" deleteColumns="0" deleteRows="0" sort="0" autoFilter="0" pivotTables="0"/>
  <protectedRanges>
    <protectedRange sqref="AW1:XFD1 AW4:XFD7 AX2:XFD3 AO10:AV28 T10:T14 S10:S28 AX8:XFD28 AO29:AW46 AY29:XFD1048576 S8:AV9 S2:AV3 T72:AW1048576 U10:AN46 AN47:AT71 U47:AK71 T16:T71 AW47:AW71" name="Range1"/>
    <protectedRange sqref="P33 F4:F7 C4:D8 E11:E13 D10:F10 F37:O37 G10:H14 F16:H29 F14 P16:R32 F1:Q3 F30:F32 F34:F36 P4:Q8 I10:O29 C3 P34:R34 P10:Q15 R36:R43 P36:Q40 G38:N43 O38:O40 O43:Q43 O41:Q41 D1:D3 C1 B1:B9 R1:R14 C9:E9 G9:Q9 S29:S1048576 F44:R1048576 B10:C1048576 D14:E1048576" name="Range1_1"/>
    <protectedRange sqref="F33 Q33:R33" name="Range1_1_1"/>
    <protectedRange sqref="F8" name="Range1_1_3"/>
    <protectedRange sqref="AA47:AC71" name="Range1_2"/>
    <protectedRange sqref="AG47:AI71" name="Range1_3"/>
    <protectedRange sqref="AU47:AV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34" priority="12">
      <formula>$H17=0</formula>
    </cfRule>
  </conditionalFormatting>
  <conditionalFormatting sqref="P33">
    <cfRule type="expression" dxfId="433" priority="11">
      <formula>$H$33=0</formula>
    </cfRule>
  </conditionalFormatting>
  <conditionalFormatting sqref="AD46">
    <cfRule type="expression" dxfId="432" priority="1">
      <formula>$AP$46=0</formula>
    </cfRule>
  </conditionalFormatting>
  <conditionalFormatting sqref="AD48:AD71">
    <cfRule type="expression" dxfId="431" priority="770">
      <formula>#REF!=0</formula>
    </cfRule>
  </conditionalFormatting>
  <conditionalFormatting sqref="P4:Q4">
    <cfRule type="expression" dxfId="430" priority="782">
      <formula>MATCH($P$4,$U$48:$U$71,0)</formula>
    </cfRule>
  </conditionalFormatting>
  <dataValidations count="14">
    <dataValidation type="list" allowBlank="1" showInputMessage="1" showErrorMessage="1" sqref="AD45:AD46 G17:G28 P33" xr:uid="{1A4A1E2F-8BF1-413B-9F19-13DEBA41E839}">
      <formula1>MaChuongTrinh</formula1>
    </dataValidation>
    <dataValidation type="list" allowBlank="1" showInputMessage="1" showErrorMessage="1" sqref="W45:W46" xr:uid="{262EFF9A-29A8-4696-A139-EF8DBDD3520B}">
      <formula1>MaKhachHang</formula1>
    </dataValidation>
    <dataValidation type="list" allowBlank="1" showInputMessage="1" showErrorMessage="1" sqref="X45:X46" xr:uid="{6692479C-D38F-4902-BCCC-F1ED162D6D92}">
      <formula1>MaNhanVien</formula1>
    </dataValidation>
    <dataValidation type="list" allowBlank="1" showInputMessage="1" showErrorMessage="1" sqref="Y45:Y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W48:W71" xr:uid="{17BB0627-AD52-42A3-9704-B75907087A49}">
      <formula1>MaKhachHang</formula1>
    </dataValidation>
    <dataValidation type="list" allowBlank="1" showInputMessage="1" sqref="X48:X71" xr:uid="{6C62CF4A-0114-49D1-9D9F-3C2D8CA9D9CC}">
      <formula1>MaNhanVien</formula1>
    </dataValidation>
    <dataValidation type="list" allowBlank="1" showInputMessage="1" sqref="Y48:Y71" xr:uid="{9B440006-E58C-4244-B011-62DC0F82B99F}">
      <formula1>MaKenh</formula1>
    </dataValidation>
    <dataValidation type="list" allowBlank="1" showInputMessage="1" sqref="AD48:AD71" xr:uid="{3D679D18-75AA-4823-813C-6A4FD660991C}">
      <formula1>MaChuongTrinh</formula1>
    </dataValidation>
    <dataValidation type="custom" allowBlank="1" showInputMessage="1" showErrorMessage="1" sqref="O10:P10" xr:uid="{706A4A22-B8C1-4A6C-A618-01A1DA203B84}">
      <formula1>O10&lt;&gt;BR:BR</formula1>
    </dataValidation>
    <dataValidation type="custom" allowBlank="1" showInputMessage="1" showErrorMessage="1" sqref="Q10:R10" xr:uid="{35423751-BF6B-478A-8977-A1B156D65DC3}">
      <formula1>Q10&lt;&gt;BS:BS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40</xdr:col>
                    <xdr:colOff>161925</xdr:colOff>
                    <xdr:row>0</xdr:row>
                    <xdr:rowOff>85725</xdr:rowOff>
                  </from>
                  <to>
                    <xdr:col>48</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48</xdr:col>
                    <xdr:colOff>295275</xdr:colOff>
                    <xdr:row>0</xdr:row>
                    <xdr:rowOff>85725</xdr:rowOff>
                  </from>
                  <to>
                    <xdr:col>49</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23</xdr:col>
                    <xdr:colOff>514350</xdr:colOff>
                    <xdr:row>0</xdr:row>
                    <xdr:rowOff>152400</xdr:rowOff>
                  </from>
                  <to>
                    <xdr:col>24</xdr:col>
                    <xdr:colOff>419100</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24</xdr:col>
                    <xdr:colOff>295275</xdr:colOff>
                    <xdr:row>0</xdr:row>
                    <xdr:rowOff>152400</xdr:rowOff>
                  </from>
                  <to>
                    <xdr:col>25</xdr:col>
                    <xdr:colOff>200025</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25</xdr:col>
                    <xdr:colOff>76200</xdr:colOff>
                    <xdr:row>0</xdr:row>
                    <xdr:rowOff>152400</xdr:rowOff>
                  </from>
                  <to>
                    <xdr:col>25</xdr:col>
                    <xdr:colOff>666750</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25</xdr:col>
                    <xdr:colOff>552450</xdr:colOff>
                    <xdr:row>0</xdr:row>
                    <xdr:rowOff>152400</xdr:rowOff>
                  </from>
                  <to>
                    <xdr:col>26</xdr:col>
                    <xdr:colOff>219075</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23</xdr:col>
                    <xdr:colOff>400050</xdr:colOff>
                    <xdr:row>0</xdr:row>
                    <xdr:rowOff>104775</xdr:rowOff>
                  </from>
                  <to>
                    <xdr:col>26</xdr:col>
                    <xdr:colOff>333375</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21</xdr:col>
                    <xdr:colOff>66675</xdr:colOff>
                    <xdr:row>0</xdr:row>
                    <xdr:rowOff>104775</xdr:rowOff>
                  </from>
                  <to>
                    <xdr:col>23</xdr:col>
                    <xdr:colOff>352425</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21</xdr:col>
                    <xdr:colOff>152400</xdr:colOff>
                    <xdr:row>0</xdr:row>
                    <xdr:rowOff>200025</xdr:rowOff>
                  </from>
                  <to>
                    <xdr:col>21</xdr:col>
                    <xdr:colOff>619125</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21</xdr:col>
                    <xdr:colOff>666750</xdr:colOff>
                    <xdr:row>0</xdr:row>
                    <xdr:rowOff>200025</xdr:rowOff>
                  </from>
                  <to>
                    <xdr:col>22</xdr:col>
                    <xdr:colOff>447675</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22</xdr:col>
                    <xdr:colOff>495300</xdr:colOff>
                    <xdr:row>0</xdr:row>
                    <xdr:rowOff>200025</xdr:rowOff>
                  </from>
                  <to>
                    <xdr:col>23</xdr:col>
                    <xdr:colOff>276225</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40</xdr:col>
                    <xdr:colOff>9525</xdr:colOff>
                    <xdr:row>44</xdr:row>
                    <xdr:rowOff>95250</xdr:rowOff>
                  </from>
                  <to>
                    <xdr:col>48</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5" id="{1C28E9F8-9639-4AF1-8DAE-8C7858C0B2F9}">
            <xm:f>Security!$A$1="NO VBA"</xm:f>
            <x14:dxf>
              <font>
                <color theme="0"/>
              </font>
              <border>
                <vertical/>
                <horizontal/>
              </border>
            </x14:dxf>
          </x14:cfRule>
          <xm:sqref>A47:AJ47 A9:E9 A1:XFD8 G9:XFD9 AN47 A10:XFD46 A48:S1048576 AX47:XFD1048576 T72:AW1048576 AN48:AW71 T48:U71 W48:AJ71</xm:sqref>
        </x14:conditionalFormatting>
        <x14:conditionalFormatting xmlns:xm="http://schemas.microsoft.com/office/excel/2006/main">
          <x14:cfRule type="expression" priority="4" id="{BA35EF14-362F-445D-A117-9F372E1F5D87}">
            <xm:f>Security!$A$1="NO VBA"</xm:f>
            <x14:dxf>
              <font>
                <color theme="0"/>
              </font>
              <border>
                <vertical/>
                <horizontal/>
              </border>
            </x14:dxf>
          </x14:cfRule>
          <xm:sqref>AO47:AT47 AW47</xm:sqref>
        </x14:conditionalFormatting>
        <x14:conditionalFormatting xmlns:xm="http://schemas.microsoft.com/office/excel/2006/main">
          <x14:cfRule type="expression" priority="2" id="{CB3E9970-6E5B-442F-AFF0-F720F4EE4E78}">
            <xm:f>Security!$A$1="NO VBA"</xm:f>
            <x14:dxf>
              <font>
                <color theme="0"/>
              </font>
              <border>
                <vertical/>
                <horizontal/>
              </border>
            </x14:dxf>
          </x14:cfRule>
          <xm:sqref>AU47:AV47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topLeftCell="P1" workbookViewId="0">
      <selection activeCell="U51" sqref="U51"/>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9"/>
      <c r="B1" s="56" t="str">
        <f>EULA!$B11</f>
        <v>Công ty ABC XYZ</v>
      </c>
      <c r="C1" s="313"/>
      <c r="D1" s="282"/>
      <c r="E1" s="282"/>
      <c r="F1" s="282"/>
      <c r="G1" s="282"/>
      <c r="H1" s="282"/>
      <c r="I1" s="57" t="s">
        <v>741</v>
      </c>
      <c r="J1" s="249"/>
      <c r="K1" s="249"/>
      <c r="L1" s="249"/>
      <c r="M1" s="249"/>
      <c r="N1" s="249"/>
      <c r="O1" s="249"/>
      <c r="P1" s="249"/>
      <c r="Q1" s="249"/>
      <c r="R1" s="249"/>
      <c r="S1" s="249"/>
      <c r="T1" s="249"/>
      <c r="U1" s="249"/>
      <c r="V1" s="249"/>
      <c r="W1" s="249"/>
      <c r="X1" s="249"/>
      <c r="Y1" s="249"/>
      <c r="Z1" s="249"/>
      <c r="AA1" s="249"/>
      <c r="AB1" s="249"/>
    </row>
    <row r="2" spans="1:36" hidden="1" outlineLevel="2" x14ac:dyDescent="0.3">
      <c r="A2" s="273"/>
      <c r="B2" s="276"/>
      <c r="C2" s="1" t="s">
        <v>724</v>
      </c>
      <c r="D2" s="283"/>
      <c r="E2" s="276"/>
      <c r="F2" s="276"/>
      <c r="G2" s="276"/>
      <c r="H2" s="297"/>
      <c r="I2" s="297"/>
      <c r="J2" s="297"/>
      <c r="K2" s="297"/>
      <c r="L2" s="273"/>
      <c r="M2" s="273"/>
      <c r="N2" s="273"/>
      <c r="O2" s="273"/>
      <c r="P2" s="273"/>
      <c r="Q2" s="273"/>
      <c r="R2" s="273"/>
      <c r="S2" s="273"/>
      <c r="T2" s="273"/>
      <c r="U2" s="273"/>
      <c r="V2" s="273"/>
      <c r="W2" s="273"/>
      <c r="X2" s="273"/>
      <c r="Y2" s="273"/>
      <c r="Z2" s="273"/>
      <c r="AA2" s="273"/>
      <c r="AB2" s="243"/>
    </row>
    <row r="3" spans="1:36" hidden="1" outlineLevel="2" x14ac:dyDescent="0.3">
      <c r="A3" s="273"/>
      <c r="B3" s="276"/>
      <c r="C3" s="1" t="s">
        <v>742</v>
      </c>
      <c r="D3" s="283"/>
      <c r="E3" s="276"/>
      <c r="F3" s="276"/>
      <c r="G3" s="276"/>
      <c r="H3" s="276"/>
      <c r="I3" s="276"/>
      <c r="J3" s="276"/>
      <c r="K3" s="276"/>
      <c r="L3" s="273"/>
      <c r="M3" s="273"/>
      <c r="N3" s="273"/>
      <c r="O3" s="273"/>
      <c r="P3" s="273"/>
      <c r="Q3" s="273"/>
      <c r="R3" s="273"/>
      <c r="S3" s="273"/>
      <c r="T3" s="273"/>
      <c r="U3" s="273"/>
      <c r="V3" s="273"/>
      <c r="W3" s="273"/>
      <c r="X3" s="273"/>
      <c r="Y3" s="273"/>
      <c r="Z3" s="273"/>
      <c r="AA3" s="273"/>
      <c r="AB3" s="243"/>
    </row>
    <row r="4" spans="1:36" hidden="1" outlineLevel="1" x14ac:dyDescent="0.3">
      <c r="A4" s="273"/>
      <c r="B4" s="568" t="str">
        <f>EULA!$B14</f>
        <v>[Địa chỉ]</v>
      </c>
      <c r="C4" s="569"/>
      <c r="D4" s="568" t="str">
        <f>EULA!$B14</f>
        <v>[Địa chỉ]</v>
      </c>
      <c r="E4" s="568" t="str">
        <f>EULA!$B14</f>
        <v>[Địa chỉ]</v>
      </c>
      <c r="F4" s="1" t="s">
        <v>743</v>
      </c>
      <c r="G4" s="276"/>
      <c r="H4" s="570" t="str">
        <f>CONCATENATE("GIAO-",D2,"-",MOD(YEAR(H5),100)*10000+MONTH(H5)*100+DAY(H5),"-",J4)</f>
        <v>GIAO--100-1</v>
      </c>
      <c r="I4" s="571"/>
      <c r="J4" s="284">
        <v>1</v>
      </c>
      <c r="K4" s="273"/>
      <c r="L4" s="273"/>
      <c r="M4" s="273"/>
      <c r="N4" s="273"/>
      <c r="O4" s="273"/>
      <c r="P4" s="273"/>
      <c r="Q4" s="273"/>
      <c r="R4" s="273"/>
      <c r="S4" s="273"/>
      <c r="T4" s="273"/>
      <c r="U4" s="273"/>
      <c r="V4" s="273"/>
      <c r="W4" s="273"/>
      <c r="X4" s="273"/>
      <c r="Y4" s="273"/>
      <c r="Z4" s="273"/>
      <c r="AA4" s="273"/>
      <c r="AB4" s="273"/>
    </row>
    <row r="5" spans="1:36" hidden="1" outlineLevel="1" x14ac:dyDescent="0.3">
      <c r="A5" s="273"/>
      <c r="B5" s="568" t="str">
        <f>EULA!$B15</f>
        <v>[Mã số thuế]</v>
      </c>
      <c r="C5" s="569"/>
      <c r="D5" s="568" t="str">
        <f>EULA!$B15</f>
        <v>[Mã số thuế]</v>
      </c>
      <c r="E5" s="568" t="str">
        <f>EULA!$B15</f>
        <v>[Mã số thuế]</v>
      </c>
      <c r="F5" s="1" t="s">
        <v>539</v>
      </c>
      <c r="G5" s="276"/>
      <c r="H5" s="572"/>
      <c r="I5" s="573"/>
      <c r="J5" s="273"/>
      <c r="K5" s="273"/>
      <c r="L5" s="273"/>
      <c r="M5" s="273"/>
      <c r="N5" s="273"/>
      <c r="O5" s="273"/>
      <c r="P5" s="273"/>
      <c r="Q5" s="273"/>
      <c r="R5" s="273"/>
      <c r="S5" s="273"/>
      <c r="T5" s="273"/>
      <c r="U5" s="273"/>
      <c r="V5" s="273"/>
      <c r="W5" s="273"/>
      <c r="X5" s="273"/>
      <c r="Y5" s="273"/>
      <c r="Z5" s="273"/>
      <c r="AA5" s="273"/>
      <c r="AB5" s="273"/>
    </row>
    <row r="6" spans="1:36" hidden="1" outlineLevel="1" x14ac:dyDescent="0.3">
      <c r="A6" s="273"/>
      <c r="B6" s="568" t="str">
        <f>EULA!$B16</f>
        <v>[SĐT - Fax]</v>
      </c>
      <c r="C6" s="569"/>
      <c r="D6" s="568" t="str">
        <f>EULA!$B16</f>
        <v>[SĐT - Fax]</v>
      </c>
      <c r="E6" s="568" t="str">
        <f>EULA!$B16</f>
        <v>[SĐT - Fax]</v>
      </c>
      <c r="F6" s="1" t="s">
        <v>173</v>
      </c>
      <c r="G6" s="276"/>
      <c r="H6" s="585" t="str">
        <f>IFERROR(VLOOKUP(D2,Sheet_KhachHang!B6:C8,Sheet_KhachHang!$C$1,0),"")</f>
        <v/>
      </c>
      <c r="I6" s="575"/>
      <c r="J6" s="273"/>
      <c r="K6" s="273"/>
      <c r="L6" s="273"/>
      <c r="M6" s="273"/>
      <c r="N6" s="273"/>
      <c r="O6" s="273"/>
      <c r="P6" s="273"/>
      <c r="Q6" s="273"/>
      <c r="R6" s="273"/>
      <c r="S6" s="273"/>
      <c r="T6" s="273"/>
      <c r="U6" s="273"/>
      <c r="V6" s="273"/>
      <c r="W6" s="273"/>
      <c r="X6" s="273"/>
      <c r="Y6" s="273"/>
      <c r="Z6" s="273"/>
      <c r="AA6" s="273"/>
      <c r="AB6" s="273"/>
    </row>
    <row r="7" spans="1:36" hidden="1" outlineLevel="1" x14ac:dyDescent="0.3">
      <c r="A7" s="273"/>
      <c r="B7" s="568" t="str">
        <f>EULA!$B17</f>
        <v>[Website - Page]</v>
      </c>
      <c r="C7" s="569"/>
      <c r="D7" s="568" t="str">
        <f>EULA!$B17</f>
        <v>[Website - Page]</v>
      </c>
      <c r="E7" s="568" t="str">
        <f>EULA!$B17</f>
        <v>[Website - Page]</v>
      </c>
      <c r="F7" s="1" t="s">
        <v>744</v>
      </c>
      <c r="G7" s="276"/>
      <c r="H7" s="577" t="str">
        <f>IFERROR(
VLOOKUP(D3,Table_NhaCungCap[[Mã Đối tác]:[Tên Đối tác]],2,0),
"")</f>
        <v/>
      </c>
      <c r="I7" s="575"/>
      <c r="J7" s="273"/>
      <c r="K7" s="273"/>
      <c r="L7" s="273"/>
      <c r="M7" s="273"/>
      <c r="N7" s="273"/>
      <c r="O7" s="273"/>
      <c r="P7" s="273"/>
      <c r="Q7" s="273"/>
      <c r="R7" s="273"/>
      <c r="S7" s="273"/>
      <c r="T7" s="273"/>
      <c r="U7" s="273"/>
      <c r="V7" s="273"/>
      <c r="W7" s="273"/>
      <c r="X7" s="273"/>
      <c r="Y7" s="273"/>
      <c r="Z7" s="273"/>
      <c r="AA7" s="273"/>
      <c r="AB7" s="243"/>
    </row>
    <row r="8" spans="1:36" hidden="1" outlineLevel="1" x14ac:dyDescent="0.3">
      <c r="A8" s="273"/>
      <c r="B8" s="185" t="str">
        <f>EULA!$B18</f>
        <v>[STK - Ngân hàng]</v>
      </c>
      <c r="C8" s="289"/>
      <c r="D8" s="276"/>
      <c r="E8" s="276"/>
      <c r="F8" s="1" t="s">
        <v>745</v>
      </c>
      <c r="G8" s="276"/>
      <c r="H8" s="576"/>
      <c r="I8" s="575"/>
      <c r="J8" s="273"/>
      <c r="K8" s="273"/>
      <c r="L8" s="273"/>
      <c r="M8" s="273"/>
      <c r="N8" s="273"/>
      <c r="O8" s="273"/>
      <c r="P8" s="273"/>
      <c r="Q8" s="273"/>
      <c r="R8" s="273"/>
      <c r="S8" s="273"/>
      <c r="T8" s="273"/>
      <c r="U8" s="273"/>
      <c r="V8" s="273"/>
      <c r="W8" s="273"/>
      <c r="X8" s="273"/>
      <c r="Y8" s="273"/>
      <c r="Z8" s="273"/>
      <c r="AA8" s="273"/>
      <c r="AB8" s="243"/>
    </row>
    <row r="9" spans="1:36" ht="42" hidden="1" customHeight="1" outlineLevel="1" x14ac:dyDescent="0.3">
      <c r="A9" s="273"/>
      <c r="B9" s="276"/>
      <c r="C9" s="1" t="s">
        <v>746</v>
      </c>
      <c r="D9" s="283"/>
      <c r="E9" s="276"/>
      <c r="F9" s="276"/>
      <c r="G9" s="276"/>
      <c r="H9" s="297"/>
      <c r="I9" s="433" t="str" cm="1">
        <f t="array" ref="I9">Code128(H4)</f>
        <v>ÌGIAO--1ÇÂÈ-1=Î</v>
      </c>
      <c r="J9" s="297"/>
      <c r="K9" s="297"/>
      <c r="L9" s="273"/>
      <c r="M9" s="273"/>
      <c r="N9" s="273"/>
      <c r="O9" s="273"/>
      <c r="P9" s="273"/>
      <c r="Q9" s="273"/>
      <c r="R9" s="273"/>
      <c r="S9" s="273"/>
      <c r="T9" s="273"/>
      <c r="U9" s="273"/>
      <c r="V9" s="273"/>
      <c r="W9" s="273"/>
      <c r="X9" s="273"/>
      <c r="Y9" s="273"/>
      <c r="Z9" s="273"/>
      <c r="AA9" s="273"/>
      <c r="AB9" s="243"/>
    </row>
    <row r="10" spans="1:36" ht="17.25" hidden="1" customHeight="1" outlineLevel="2" x14ac:dyDescent="0.3">
      <c r="A10" s="273"/>
      <c r="B10" s="276"/>
      <c r="C10" s="1" t="s">
        <v>937</v>
      </c>
      <c r="D10" s="283"/>
      <c r="E10" s="276"/>
      <c r="F10" s="276"/>
      <c r="G10" s="276"/>
      <c r="H10" s="297"/>
      <c r="I10" s="433"/>
      <c r="J10" s="297"/>
      <c r="K10" s="297"/>
      <c r="L10" s="273"/>
      <c r="M10" s="273"/>
      <c r="N10" s="273"/>
      <c r="O10" s="273"/>
      <c r="P10" s="273"/>
      <c r="Q10" s="273"/>
      <c r="R10" s="273"/>
      <c r="S10" s="273"/>
      <c r="T10" s="273"/>
      <c r="U10" s="273"/>
      <c r="V10" s="273"/>
      <c r="W10" s="273"/>
      <c r="X10" s="273"/>
      <c r="Y10" s="273"/>
      <c r="Z10" s="273"/>
      <c r="AA10" s="273"/>
      <c r="AB10" s="243"/>
    </row>
    <row r="11" spans="1:36" hidden="1" outlineLevel="1" x14ac:dyDescent="0.3">
      <c r="A11" s="273"/>
      <c r="B11" s="58" t="s">
        <v>727</v>
      </c>
      <c r="C11" s="314"/>
      <c r="D11" s="285"/>
      <c r="E11" s="285"/>
      <c r="F11" s="276"/>
      <c r="G11" s="276"/>
      <c r="H11" s="276"/>
      <c r="I11" s="276"/>
      <c r="J11" s="276"/>
      <c r="K11" s="276"/>
      <c r="L11" s="273"/>
      <c r="M11" s="273"/>
      <c r="N11" s="273"/>
      <c r="O11" s="273"/>
      <c r="P11" s="273"/>
      <c r="Q11" s="273"/>
      <c r="R11" s="273"/>
      <c r="S11" s="273"/>
      <c r="T11" s="273"/>
      <c r="U11" s="273"/>
      <c r="V11" s="273"/>
      <c r="W11" s="273"/>
      <c r="X11" s="273"/>
      <c r="Y11" s="273"/>
      <c r="Z11" s="273"/>
      <c r="AA11" s="273"/>
      <c r="AB11" s="243"/>
    </row>
    <row r="12" spans="1:36" hidden="1" outlineLevel="2" x14ac:dyDescent="0.3">
      <c r="A12" s="273"/>
      <c r="B12" s="1" t="s">
        <v>540</v>
      </c>
      <c r="C12" s="276"/>
      <c r="D12" s="276"/>
      <c r="E12" s="273"/>
      <c r="F12" s="568" t="str">
        <f>IFERROR(VLOOKUP($D$2,Table_KhachHang[#All],Sheet_KhachHang!$C$1,0),"")</f>
        <v/>
      </c>
      <c r="G12" s="569"/>
      <c r="H12" s="569"/>
      <c r="I12" s="569"/>
      <c r="J12" s="289"/>
      <c r="K12" s="289"/>
      <c r="L12" s="273"/>
      <c r="M12" s="273"/>
      <c r="N12" s="273"/>
      <c r="O12" s="273"/>
      <c r="P12" s="273"/>
      <c r="Q12" s="273"/>
      <c r="R12" s="273"/>
      <c r="S12" s="273"/>
      <c r="T12" s="273"/>
      <c r="U12" s="273"/>
      <c r="V12" s="273"/>
      <c r="W12" s="273"/>
      <c r="X12" s="273"/>
      <c r="Y12" s="273"/>
      <c r="Z12" s="273"/>
      <c r="AA12" s="273"/>
      <c r="AB12" s="243"/>
    </row>
    <row r="13" spans="1:36" hidden="1" outlineLevel="2" x14ac:dyDescent="0.3">
      <c r="A13" s="273"/>
      <c r="B13" s="1" t="s">
        <v>705</v>
      </c>
      <c r="C13" s="276"/>
      <c r="D13" s="276"/>
      <c r="E13" s="273"/>
      <c r="F13" s="568" t="str">
        <f>CONCATENATE(IFERROR(VLOOKUP($D$2,Table_KhachHang[#All],Sheet_KhachHang!$G$1,0),"")," - ",IFERROR(VLOOKUP($D$2,Table_KhachHang[#All],Sheet_KhachHang!$H$1,0),"")," - ",IFERROR(VLOOKUP($D$2,Table_KhachHang[#All],Sheet_KhachHang!$I$1,0),""))</f>
        <v xml:space="preserve"> -  - </v>
      </c>
      <c r="G13" s="569"/>
      <c r="H13" s="569"/>
      <c r="I13" s="569"/>
      <c r="J13" s="289"/>
      <c r="K13" s="289"/>
      <c r="L13" s="273"/>
      <c r="M13" s="273"/>
      <c r="N13" s="273"/>
      <c r="O13" s="273"/>
      <c r="P13" s="273"/>
      <c r="Q13" s="273"/>
      <c r="R13" s="273"/>
      <c r="S13" s="273"/>
      <c r="T13" s="273"/>
      <c r="U13" s="273"/>
      <c r="V13" s="273"/>
      <c r="W13" s="273"/>
      <c r="X13" s="273"/>
      <c r="Y13" s="273"/>
      <c r="Z13" s="273"/>
      <c r="AA13" s="273"/>
      <c r="AB13" s="243"/>
    </row>
    <row r="14" spans="1:36" hidden="1" outlineLevel="2" x14ac:dyDescent="0.3">
      <c r="A14" s="273"/>
      <c r="B14" s="1" t="s">
        <v>542</v>
      </c>
      <c r="C14" s="276"/>
      <c r="D14" s="276"/>
      <c r="E14" s="273"/>
      <c r="F14" s="568" t="str">
        <f>IFERROR(VLOOKUP($D$2,Table_KhachHang[#All],Sheet_KhachHang!$F$1,0),"")</f>
        <v/>
      </c>
      <c r="G14" s="569"/>
      <c r="H14" s="569"/>
      <c r="I14" s="569"/>
      <c r="J14" s="289"/>
      <c r="K14" s="289"/>
      <c r="L14" s="273"/>
      <c r="M14" s="273"/>
      <c r="N14" s="273"/>
      <c r="O14" s="273"/>
      <c r="P14" s="273"/>
      <c r="Q14" s="273"/>
      <c r="R14" s="273"/>
      <c r="S14" s="273"/>
      <c r="T14" s="273"/>
      <c r="U14" s="273"/>
      <c r="V14" s="273"/>
      <c r="W14" s="273"/>
      <c r="X14" s="273"/>
      <c r="Y14" s="273"/>
      <c r="Z14" s="273"/>
      <c r="AA14" s="273"/>
      <c r="AB14" s="243"/>
    </row>
    <row r="15" spans="1:36" hidden="1" outlineLevel="2" x14ac:dyDescent="0.3">
      <c r="A15" s="273"/>
      <c r="B15" s="276"/>
      <c r="C15" s="276"/>
      <c r="D15" s="276"/>
      <c r="E15" s="276"/>
      <c r="F15" s="276"/>
      <c r="G15" s="276"/>
      <c r="H15" s="276"/>
      <c r="I15" s="276"/>
      <c r="J15" s="276"/>
      <c r="K15" s="276"/>
      <c r="L15" s="273"/>
      <c r="M15" s="273"/>
      <c r="N15" s="273"/>
      <c r="O15" s="273"/>
      <c r="P15" s="273"/>
      <c r="Q15" s="273"/>
      <c r="R15" s="273"/>
      <c r="S15" s="273"/>
      <c r="T15" s="273"/>
      <c r="U15" s="273"/>
      <c r="V15" s="273"/>
      <c r="W15" s="273"/>
      <c r="X15" s="273"/>
      <c r="Y15" s="273"/>
      <c r="Z15" s="273"/>
      <c r="AA15" s="273"/>
      <c r="AB15" s="243"/>
    </row>
    <row r="16" spans="1:36" hidden="1" outlineLevel="2" x14ac:dyDescent="0.3">
      <c r="A16" s="273"/>
      <c r="B16" s="276"/>
      <c r="C16" s="276"/>
      <c r="D16" s="276"/>
      <c r="E16" s="276"/>
      <c r="F16" s="276"/>
      <c r="G16" s="276"/>
      <c r="H16" s="92" t="s">
        <v>322</v>
      </c>
      <c r="I16" s="93" t="s">
        <v>329</v>
      </c>
      <c r="J16" s="273"/>
      <c r="K16" s="40" t="s">
        <v>747</v>
      </c>
      <c r="L16" s="40" t="str" cm="1">
        <f t="array" ref="L16:AJ16">TRANSPOSE(_xlfn._xlws.SORT(_xlfn._xlws.FILTER(Table_Main[Đơn bán],(Table_Main[Vận đơn bán] ="")*(NOT(ISBLANK(Table_Main[Đơn bán]))),"")))</f>
        <v>BAN-KH1-250320-</v>
      </c>
      <c r="M16" s="273" t="str">
        <v>BAN-KH1-250327-</v>
      </c>
      <c r="N16" s="273" t="str">
        <v>BAN-KH1-250403-</v>
      </c>
      <c r="O16" s="273" t="str">
        <v>BAN-KH1-250411-</v>
      </c>
      <c r="P16" s="273" t="str">
        <v>BAN-KH1-250507-</v>
      </c>
      <c r="Q16" s="273" t="str">
        <v>BAN-KH1-250509-</v>
      </c>
      <c r="R16" s="273" t="str">
        <v>BAN-KH1-250509-</v>
      </c>
      <c r="S16" s="273" t="str">
        <v>BAN-KH1-250516-</v>
      </c>
      <c r="T16" s="273" t="str">
        <v>BAN-KH1-250519-</v>
      </c>
      <c r="U16" s="273" t="str">
        <v>BAN-KH2-250313-</v>
      </c>
      <c r="V16" s="273" t="str">
        <v>BAN-KH2-250319-</v>
      </c>
      <c r="W16" s="273" t="str">
        <v>BAN-KH2-250330-</v>
      </c>
      <c r="X16" s="273" t="str">
        <v>BAN-KH2-250408-</v>
      </c>
      <c r="Y16" s="273" t="str">
        <v>BAN-KH2-250414-</v>
      </c>
      <c r="Z16" s="273" t="str">
        <v>BAN-KH2-250415-</v>
      </c>
      <c r="AA16" s="273" t="str">
        <v>BAN-KH2-250424-</v>
      </c>
      <c r="AB16" s="243"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3"/>
      <c r="B17" s="59" t="s">
        <v>643</v>
      </c>
      <c r="C17" s="59" t="s">
        <v>687</v>
      </c>
      <c r="D17" s="59" t="s">
        <v>47</v>
      </c>
      <c r="E17" s="59" t="s">
        <v>707</v>
      </c>
      <c r="F17" s="60" t="s">
        <v>748</v>
      </c>
      <c r="G17" s="59" t="s">
        <v>749</v>
      </c>
      <c r="H17" s="60" t="s">
        <v>750</v>
      </c>
      <c r="I17" s="60" t="s">
        <v>751</v>
      </c>
      <c r="J17" s="59" t="s">
        <v>752</v>
      </c>
      <c r="K17" s="40" t="s">
        <v>753</v>
      </c>
      <c r="L17" s="40" t="str" cm="1">
        <f t="array" ref="L17:AJ17">TRANSPOSE(_xlfn._xlws.SORT(_xlfn._xlws.FILTER(Table_Main[Mã SKU],(Table_Main[Vận đơn bán] ="")*(NOT(ISBLANK(Table_Main[Đơn bán]))),"")))</f>
        <v>HH1</v>
      </c>
      <c r="M17" s="273" t="str">
        <v>HH1</v>
      </c>
      <c r="N17" s="273" t="str">
        <v>HH1</v>
      </c>
      <c r="O17" s="273" t="str">
        <v>HH1</v>
      </c>
      <c r="P17" s="273" t="str">
        <v>HH1</v>
      </c>
      <c r="Q17" s="273" t="str">
        <v>HH1</v>
      </c>
      <c r="R17" s="273" t="str">
        <v>HH1</v>
      </c>
      <c r="S17" s="273" t="str">
        <v>HH1</v>
      </c>
      <c r="T17" s="273" t="str">
        <v>HH1</v>
      </c>
      <c r="U17" s="273" t="str">
        <v>TP1</v>
      </c>
      <c r="V17" s="273" t="str">
        <v>TP1</v>
      </c>
      <c r="W17" s="273" t="str">
        <v>TP1</v>
      </c>
      <c r="X17" s="273" t="str">
        <v>TP1</v>
      </c>
      <c r="Y17" s="273" t="str">
        <v>TP1</v>
      </c>
      <c r="Z17" s="273" t="str">
        <v>TP1</v>
      </c>
      <c r="AA17" s="243" t="str">
        <v>TP1</v>
      </c>
      <c r="AB17" s="273"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3"/>
      <c r="B18" s="7" t="str">
        <f>IF(Table_PhieuGiao[[#This Row],[SKU]]&lt;&gt;"",COUNTIF(D$18:D18,"&lt;&gt;"""),"")</f>
        <v/>
      </c>
      <c r="C18" s="242"/>
      <c r="D18" s="242"/>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5"/>
      <c r="L18" s="273"/>
      <c r="M18" s="273"/>
      <c r="N18" s="273"/>
      <c r="O18" s="273"/>
      <c r="P18" s="273"/>
      <c r="Q18" s="273"/>
      <c r="R18" s="273"/>
      <c r="S18" s="273"/>
      <c r="T18" s="273"/>
      <c r="U18" s="273"/>
      <c r="V18" s="273"/>
      <c r="W18" s="273"/>
      <c r="X18" s="273"/>
      <c r="Y18" s="273"/>
      <c r="Z18" s="273"/>
      <c r="AA18" s="243"/>
      <c r="AB18" s="273"/>
    </row>
    <row r="19" spans="1:36" ht="16.5" hidden="1" outlineLevel="2" x14ac:dyDescent="0.3">
      <c r="A19" s="273"/>
      <c r="B19" s="7" t="str">
        <f>IF(Table_PhieuGiao[[#This Row],[SKU]]&lt;&gt;"",COUNTIF(D$18:D19,"&lt;&gt;"""),"")</f>
        <v/>
      </c>
      <c r="C19" s="242"/>
      <c r="D19" s="242"/>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5"/>
      <c r="L19" s="273"/>
      <c r="M19" s="273"/>
      <c r="N19" s="273"/>
      <c r="O19" s="273"/>
      <c r="P19" s="273"/>
      <c r="Q19" s="273"/>
      <c r="R19" s="273"/>
      <c r="S19" s="273"/>
      <c r="T19" s="273"/>
      <c r="U19" s="273"/>
      <c r="V19" s="273"/>
      <c r="W19" s="273"/>
      <c r="X19" s="273"/>
      <c r="Y19" s="273"/>
      <c r="Z19" s="273"/>
      <c r="AA19" s="243"/>
      <c r="AB19" s="273"/>
    </row>
    <row r="20" spans="1:36" ht="16.5" hidden="1" outlineLevel="2" x14ac:dyDescent="0.3">
      <c r="A20" s="273"/>
      <c r="B20" s="7" t="str">
        <f>IF(Table_PhieuGiao[[#This Row],[SKU]]&lt;&gt;"",COUNTIF(D$18:D20,"&lt;&gt;"""),"")</f>
        <v/>
      </c>
      <c r="C20" s="242"/>
      <c r="D20" s="242"/>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5"/>
      <c r="L20" s="273"/>
      <c r="M20" s="273"/>
      <c r="N20" s="273"/>
      <c r="O20" s="273"/>
      <c r="P20" s="273"/>
      <c r="Q20" s="273"/>
      <c r="R20" s="273"/>
      <c r="S20" s="273"/>
      <c r="T20" s="273"/>
      <c r="U20" s="273"/>
      <c r="V20" s="273"/>
      <c r="W20" s="273"/>
      <c r="X20" s="273"/>
      <c r="Y20" s="273"/>
      <c r="Z20" s="273"/>
      <c r="AA20" s="243"/>
      <c r="AB20" s="273"/>
    </row>
    <row r="21" spans="1:36" ht="16.5" hidden="1" outlineLevel="2" x14ac:dyDescent="0.3">
      <c r="A21" s="273"/>
      <c r="B21" s="7" t="str">
        <f>IF(Table_PhieuGiao[[#This Row],[SKU]]&lt;&gt;"",COUNTIF(D$18:D21,"&lt;&gt;"""),"")</f>
        <v/>
      </c>
      <c r="C21" s="242"/>
      <c r="D21" s="242"/>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5"/>
      <c r="L21" s="273"/>
      <c r="M21" s="273"/>
      <c r="N21" s="273"/>
      <c r="O21" s="273"/>
      <c r="P21" s="273"/>
      <c r="Q21" s="273"/>
      <c r="R21" s="273"/>
      <c r="S21" s="273"/>
      <c r="T21" s="273"/>
      <c r="U21" s="273"/>
      <c r="V21" s="273"/>
      <c r="W21" s="273"/>
      <c r="X21" s="273"/>
      <c r="Y21" s="273"/>
      <c r="Z21" s="273"/>
      <c r="AA21" s="243"/>
      <c r="AB21" s="273"/>
    </row>
    <row r="22" spans="1:36" ht="16.5" hidden="1" outlineLevel="2" x14ac:dyDescent="0.3">
      <c r="A22" s="273"/>
      <c r="B22" s="7" t="str">
        <f>IF(Table_PhieuGiao[[#This Row],[SKU]]&lt;&gt;"",COUNTIF(D$18:D22,"&lt;&gt;"""),"")</f>
        <v/>
      </c>
      <c r="C22" s="242"/>
      <c r="D22" s="242"/>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5"/>
      <c r="L22" s="273"/>
      <c r="M22" s="273"/>
      <c r="N22" s="273"/>
      <c r="O22" s="273"/>
      <c r="P22" s="273"/>
      <c r="Q22" s="273"/>
      <c r="R22" s="273"/>
      <c r="S22" s="273"/>
      <c r="T22" s="273"/>
      <c r="U22" s="273"/>
      <c r="V22" s="273"/>
      <c r="W22" s="273"/>
      <c r="X22" s="273"/>
      <c r="Y22" s="273"/>
      <c r="Z22" s="273"/>
      <c r="AA22" s="243"/>
      <c r="AB22" s="273"/>
    </row>
    <row r="23" spans="1:36" ht="16.5" hidden="1" outlineLevel="2" x14ac:dyDescent="0.3">
      <c r="A23" s="273"/>
      <c r="B23" s="7" t="str">
        <f>IF(Table_PhieuGiao[[#This Row],[SKU]]&lt;&gt;"",COUNTIF(D$18:D23,"&lt;&gt;"""),"")</f>
        <v/>
      </c>
      <c r="C23" s="242"/>
      <c r="D23" s="242"/>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5"/>
      <c r="L23" s="273"/>
      <c r="M23" s="273"/>
      <c r="N23" s="273"/>
      <c r="O23" s="273"/>
      <c r="P23" s="273"/>
      <c r="Q23" s="273"/>
      <c r="R23" s="273"/>
      <c r="S23" s="273"/>
      <c r="T23" s="273"/>
      <c r="U23" s="273"/>
      <c r="V23" s="273"/>
      <c r="W23" s="273"/>
      <c r="X23" s="273"/>
      <c r="Y23" s="273"/>
      <c r="Z23" s="273"/>
      <c r="AA23" s="243"/>
      <c r="AB23" s="273"/>
    </row>
    <row r="24" spans="1:36" ht="16.5" hidden="1" outlineLevel="2" x14ac:dyDescent="0.3">
      <c r="A24" s="273"/>
      <c r="B24" s="7" t="str">
        <f>IF(Table_PhieuGiao[[#This Row],[SKU]]&lt;&gt;"",COUNTIF(D$18:D24,"&lt;&gt;"""),"")</f>
        <v/>
      </c>
      <c r="C24" s="242"/>
      <c r="D24" s="242"/>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5"/>
      <c r="L24" s="273"/>
      <c r="M24" s="273"/>
      <c r="N24" s="273"/>
      <c r="O24" s="273"/>
      <c r="P24" s="273"/>
      <c r="Q24" s="273"/>
      <c r="R24" s="273"/>
      <c r="S24" s="273"/>
      <c r="T24" s="273"/>
      <c r="U24" s="273"/>
      <c r="V24" s="273"/>
      <c r="W24" s="273"/>
      <c r="X24" s="273"/>
      <c r="Y24" s="273"/>
      <c r="Z24" s="273"/>
      <c r="AA24" s="243"/>
      <c r="AB24" s="273"/>
    </row>
    <row r="25" spans="1:36" ht="16.5" hidden="1" outlineLevel="2" x14ac:dyDescent="0.3">
      <c r="A25" s="273"/>
      <c r="B25" s="7" t="str">
        <f>IF(Table_PhieuGiao[[#This Row],[SKU]]&lt;&gt;"",COUNTIF(D$18:D25,"&lt;&gt;"""),"")</f>
        <v/>
      </c>
      <c r="C25" s="242"/>
      <c r="D25" s="242"/>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5"/>
      <c r="L25" s="273"/>
      <c r="M25" s="273"/>
      <c r="N25" s="273"/>
      <c r="O25" s="273"/>
      <c r="P25" s="273"/>
      <c r="Q25" s="273"/>
      <c r="R25" s="273"/>
      <c r="S25" s="273"/>
      <c r="T25" s="273"/>
      <c r="U25" s="273"/>
      <c r="V25" s="273"/>
      <c r="W25" s="273"/>
      <c r="X25" s="273"/>
      <c r="Y25" s="273"/>
      <c r="Z25" s="273"/>
      <c r="AA25" s="243"/>
      <c r="AB25" s="273"/>
    </row>
    <row r="26" spans="1:36" ht="16.5" hidden="1" outlineLevel="2" x14ac:dyDescent="0.3">
      <c r="A26" s="273"/>
      <c r="B26" s="7" t="str">
        <f>IF(Table_PhieuGiao[[#This Row],[SKU]]&lt;&gt;"",COUNTIF(D$18:D26,"&lt;&gt;"""),"")</f>
        <v/>
      </c>
      <c r="C26" s="242"/>
      <c r="D26" s="242"/>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5"/>
      <c r="L26" s="273"/>
      <c r="M26" s="273"/>
      <c r="N26" s="273"/>
      <c r="O26" s="273"/>
      <c r="P26" s="273"/>
      <c r="Q26" s="273"/>
      <c r="R26" s="273"/>
      <c r="S26" s="273"/>
      <c r="T26" s="273"/>
      <c r="U26" s="273"/>
      <c r="V26" s="273"/>
      <c r="W26" s="273"/>
      <c r="X26" s="273"/>
      <c r="Y26" s="273"/>
      <c r="Z26" s="273"/>
      <c r="AA26" s="243"/>
      <c r="AB26" s="273"/>
    </row>
    <row r="27" spans="1:36" ht="16.5" hidden="1" outlineLevel="2" x14ac:dyDescent="0.3">
      <c r="A27" s="273"/>
      <c r="B27" s="7" t="str">
        <f>IF(Table_PhieuGiao[[#This Row],[SKU]]&lt;&gt;"",COUNTIF(D$18:D27,"&lt;&gt;"""),"")</f>
        <v/>
      </c>
      <c r="C27" s="242"/>
      <c r="D27" s="242"/>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5"/>
      <c r="L27" s="273"/>
      <c r="M27" s="273"/>
      <c r="N27" s="273"/>
      <c r="O27" s="273"/>
      <c r="P27" s="273"/>
      <c r="Q27" s="273"/>
      <c r="R27" s="273"/>
      <c r="S27" s="273"/>
      <c r="T27" s="273"/>
      <c r="U27" s="273"/>
      <c r="V27" s="273"/>
      <c r="W27" s="273"/>
      <c r="X27" s="273"/>
      <c r="Y27" s="273"/>
      <c r="Z27" s="273"/>
      <c r="AA27" s="243"/>
      <c r="AB27" s="273"/>
    </row>
    <row r="28" spans="1:36" ht="16.5" hidden="1" outlineLevel="2" x14ac:dyDescent="0.3">
      <c r="A28" s="273"/>
      <c r="B28" s="7" t="str">
        <f>IF(Table_PhieuGiao[[#This Row],[SKU]]&lt;&gt;"",COUNTIF(D$18:D28,"&lt;&gt;"""),"")</f>
        <v/>
      </c>
      <c r="C28" s="242"/>
      <c r="D28" s="242"/>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5"/>
      <c r="L28" s="273"/>
      <c r="M28" s="273"/>
      <c r="N28" s="273"/>
      <c r="O28" s="273"/>
      <c r="P28" s="273"/>
      <c r="Q28" s="273"/>
      <c r="R28" s="273"/>
      <c r="S28" s="273"/>
      <c r="T28" s="273"/>
      <c r="U28" s="273"/>
      <c r="V28" s="273"/>
      <c r="W28" s="273"/>
      <c r="X28" s="273"/>
      <c r="Y28" s="273"/>
      <c r="Z28" s="273"/>
      <c r="AA28" s="243"/>
      <c r="AB28" s="273"/>
    </row>
    <row r="29" spans="1:36" ht="16.5" hidden="1" outlineLevel="2" x14ac:dyDescent="0.3">
      <c r="A29" s="273"/>
      <c r="B29" s="7" t="str">
        <f>IF(Table_PhieuGiao[[#This Row],[SKU]]&lt;&gt;"",COUNTIF(D$18:D29,"&lt;&gt;"""),"")</f>
        <v/>
      </c>
      <c r="C29" s="242"/>
      <c r="D29" s="242"/>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5"/>
      <c r="L29" s="273"/>
      <c r="M29" s="273"/>
      <c r="N29" s="273"/>
      <c r="O29" s="273"/>
      <c r="P29" s="273"/>
      <c r="Q29" s="273"/>
      <c r="R29" s="273"/>
      <c r="S29" s="273"/>
      <c r="T29" s="273"/>
      <c r="U29" s="273"/>
      <c r="V29" s="273"/>
      <c r="W29" s="273"/>
      <c r="X29" s="273"/>
      <c r="Y29" s="273"/>
      <c r="Z29" s="273"/>
      <c r="AA29" s="243"/>
      <c r="AB29" s="273"/>
    </row>
    <row r="30" spans="1:36" hidden="1" outlineLevel="2" x14ac:dyDescent="0.3">
      <c r="A30" s="273"/>
      <c r="B30" s="276"/>
      <c r="C30" s="276"/>
      <c r="D30" s="276"/>
      <c r="E30" s="276"/>
      <c r="F30" s="276"/>
      <c r="G30" s="276"/>
      <c r="H30" s="276"/>
      <c r="I30" s="276"/>
      <c r="J30" s="276"/>
      <c r="K30" s="276"/>
      <c r="L30" s="273"/>
      <c r="M30" s="273"/>
      <c r="N30" s="273"/>
      <c r="O30" s="273"/>
      <c r="P30" s="273"/>
      <c r="Q30" s="273"/>
      <c r="R30" s="273"/>
      <c r="S30" s="273"/>
      <c r="T30" s="273"/>
      <c r="U30" s="273"/>
      <c r="V30" s="273"/>
      <c r="W30" s="273"/>
      <c r="X30" s="273"/>
      <c r="Y30" s="273"/>
      <c r="Z30" s="273"/>
      <c r="AA30" s="273"/>
      <c r="AB30" s="243"/>
    </row>
    <row r="31" spans="1:36" hidden="1" outlineLevel="1" x14ac:dyDescent="0.3">
      <c r="A31" s="273"/>
      <c r="B31" s="61" t="s">
        <v>544</v>
      </c>
      <c r="C31" s="316"/>
      <c r="D31" s="287"/>
      <c r="E31" s="287"/>
      <c r="F31" s="287"/>
      <c r="G31" s="288"/>
      <c r="H31" s="1" t="s">
        <v>734</v>
      </c>
      <c r="I31" s="413">
        <f>SUM(Table_PhieuGiao[Thành tiền giao])</f>
        <v>0</v>
      </c>
      <c r="J31" s="273"/>
      <c r="K31" s="273"/>
      <c r="L31" s="273"/>
      <c r="M31" s="273"/>
      <c r="N31" s="273"/>
      <c r="O31" s="273"/>
      <c r="P31" s="273"/>
      <c r="Q31" s="273"/>
      <c r="R31" s="273"/>
      <c r="S31" s="273"/>
      <c r="T31" s="273"/>
      <c r="U31" s="273"/>
      <c r="V31" s="273"/>
      <c r="W31" s="273"/>
      <c r="X31" s="273"/>
      <c r="Y31" s="273"/>
      <c r="Z31" s="273"/>
      <c r="AA31" s="273"/>
      <c r="AB31" s="243"/>
    </row>
    <row r="32" spans="1:36" hidden="1" outlineLevel="1" x14ac:dyDescent="0.3">
      <c r="A32" s="273"/>
      <c r="B32" s="290"/>
      <c r="C32" s="276"/>
      <c r="D32" s="276"/>
      <c r="E32" s="276"/>
      <c r="F32" s="276"/>
      <c r="G32" s="291"/>
      <c r="H32" s="1" t="s">
        <v>754</v>
      </c>
      <c r="I32" s="414">
        <f xml:space="preserve">
IF(ISBLANK(D9),0,
IF(D9 = "Bên bán", 0,
IF(ISBLANK(D10),
"Chưa bao gồm",D10)))</f>
        <v>0</v>
      </c>
      <c r="J32" s="273"/>
      <c r="K32" s="273"/>
      <c r="L32" s="273"/>
      <c r="M32" s="273"/>
      <c r="N32" s="273"/>
      <c r="O32" s="273"/>
      <c r="P32" s="273"/>
      <c r="Q32" s="273"/>
      <c r="R32" s="273"/>
      <c r="S32" s="273"/>
      <c r="T32" s="273"/>
      <c r="U32" s="273"/>
      <c r="V32" s="273"/>
      <c r="W32" s="273"/>
      <c r="X32" s="273"/>
      <c r="Y32" s="273"/>
      <c r="Z32" s="273"/>
      <c r="AA32" s="273"/>
      <c r="AB32" s="243"/>
    </row>
    <row r="33" spans="1:28" hidden="1" outlineLevel="1" x14ac:dyDescent="0.3">
      <c r="A33" s="273"/>
      <c r="B33" s="290"/>
      <c r="C33" s="276"/>
      <c r="D33" s="276"/>
      <c r="E33" s="276"/>
      <c r="F33" s="276"/>
      <c r="G33" s="291"/>
      <c r="H33" s="1" t="s">
        <v>721</v>
      </c>
      <c r="I33" s="414" cm="1">
        <f t="array" ref="I33">IFERROR(
SUMPRODUCT(
_xlfn._xlws.FILTER(Table_PhieuGiao[Tỷ trọng thành tiền],
(NOT(ISBLANK(Table_PhieuGiao[SKU])))
),
_xlfn._xlws.FILTER(VLOOKUP(Table_PhieuGiao[Đơn bán],Table_DonBan[[Mã Đơn bán]:[Giá trị CK]],Sheet_DonBan!$AF$44,0),
(NOT(ISBLANK(Table_PhieuGiao[SKU])))
)),0)</f>
        <v>0</v>
      </c>
      <c r="J33" s="273"/>
      <c r="K33" s="273"/>
      <c r="L33" s="273"/>
      <c r="M33" s="273"/>
      <c r="N33" s="273"/>
      <c r="O33" s="273"/>
      <c r="P33" s="273"/>
      <c r="Q33" s="273"/>
      <c r="R33" s="273"/>
      <c r="S33" s="273"/>
      <c r="T33" s="273"/>
      <c r="U33" s="273"/>
      <c r="V33" s="273"/>
      <c r="W33" s="273"/>
      <c r="X33" s="273"/>
      <c r="Y33" s="273"/>
      <c r="Z33" s="273"/>
      <c r="AA33" s="273"/>
      <c r="AB33" s="243"/>
    </row>
    <row r="34" spans="1:28" hidden="1" outlineLevel="1" x14ac:dyDescent="0.3">
      <c r="A34" s="273"/>
      <c r="B34" s="290"/>
      <c r="C34" s="276"/>
      <c r="D34" s="276"/>
      <c r="E34" s="276"/>
      <c r="F34" s="276"/>
      <c r="G34" s="291"/>
      <c r="H34" s="1" t="s">
        <v>736</v>
      </c>
      <c r="I34" s="414" cm="1">
        <f t="array" ref="I34">IFERROR(
SUMPRODUCT(
_xlfn._xlws.FILTER(Table_PhieuGiao[Tỷ trọng thành tiền],
(NOT(ISBLANK(Table_PhieuGiao[SKU])))
),
_xlfn._xlws.FILTER(VLOOKUP(Table_PhieuGiao[Đơn bán],Table_DonBan[[Mã Đơn bán]:[Tổng VAT]],Sheet_DonBan!$AG$44,0),
(NOT(ISBLANK(Table_PhieuGiao[SKU])))
)),0)</f>
        <v>0</v>
      </c>
      <c r="J34" s="273"/>
      <c r="K34" s="273"/>
      <c r="L34" s="273"/>
      <c r="M34" s="273"/>
      <c r="N34" s="273"/>
      <c r="O34" s="273"/>
      <c r="P34" s="273"/>
      <c r="Q34" s="273"/>
      <c r="R34" s="273"/>
      <c r="S34" s="273"/>
      <c r="T34" s="273"/>
      <c r="U34" s="273"/>
      <c r="V34" s="273"/>
      <c r="W34" s="273"/>
      <c r="X34" s="273"/>
      <c r="Y34" s="273"/>
      <c r="Z34" s="273"/>
      <c r="AA34" s="273"/>
      <c r="AB34" s="243"/>
    </row>
    <row r="35" spans="1:28" hidden="1" outlineLevel="1" x14ac:dyDescent="0.3">
      <c r="A35" s="273"/>
      <c r="B35" s="292"/>
      <c r="C35" s="293"/>
      <c r="D35" s="293"/>
      <c r="E35" s="293"/>
      <c r="F35" s="293"/>
      <c r="G35" s="294"/>
      <c r="H35" s="62" t="s">
        <v>737</v>
      </c>
      <c r="I35" s="410">
        <f>+I31+IF(ISNUMBER(I32),I32,0)-I33+I34</f>
        <v>0</v>
      </c>
      <c r="J35" s="273"/>
      <c r="K35" s="273"/>
      <c r="L35" s="273"/>
      <c r="M35" s="273"/>
      <c r="N35" s="273"/>
      <c r="O35" s="273"/>
      <c r="P35" s="273"/>
      <c r="Q35" s="273"/>
      <c r="R35" s="273"/>
      <c r="S35" s="273"/>
      <c r="T35" s="273"/>
      <c r="U35" s="273"/>
      <c r="V35" s="273"/>
      <c r="W35" s="273"/>
      <c r="X35" s="273"/>
      <c r="Y35" s="273"/>
      <c r="Z35" s="273"/>
      <c r="AA35" s="273"/>
      <c r="AB35" s="243"/>
    </row>
    <row r="36" spans="1:28" hidden="1" outlineLevel="1" x14ac:dyDescent="0.3">
      <c r="A36" s="273"/>
      <c r="B36" s="276"/>
      <c r="C36" s="276"/>
      <c r="D36" s="276"/>
      <c r="E36" s="276"/>
      <c r="F36" s="276"/>
      <c r="G36" s="276"/>
      <c r="H36" s="276"/>
      <c r="I36" s="276"/>
      <c r="J36" s="276"/>
      <c r="K36" s="276"/>
      <c r="L36" s="273"/>
      <c r="M36" s="273"/>
      <c r="N36" s="273"/>
      <c r="O36" s="273"/>
      <c r="P36" s="273"/>
      <c r="Q36" s="273"/>
      <c r="R36" s="273"/>
      <c r="S36" s="273"/>
      <c r="T36" s="273"/>
      <c r="U36" s="273"/>
      <c r="V36" s="273"/>
      <c r="W36" s="273"/>
      <c r="X36" s="273"/>
      <c r="Y36" s="273"/>
      <c r="Z36" s="273"/>
      <c r="AA36" s="273"/>
      <c r="AB36" s="243"/>
    </row>
    <row r="37" spans="1:28" hidden="1" outlineLevel="1" x14ac:dyDescent="0.3">
      <c r="A37" s="273"/>
      <c r="B37" s="276"/>
      <c r="C37" s="276"/>
      <c r="D37" s="276"/>
      <c r="E37" s="276"/>
      <c r="F37" s="276"/>
      <c r="G37" s="273"/>
      <c r="H37" s="566" t="str">
        <f>B1</f>
        <v>Công ty ABC XYZ</v>
      </c>
      <c r="I37" s="567"/>
      <c r="J37" s="317"/>
      <c r="K37" s="317"/>
      <c r="L37" s="273"/>
      <c r="M37" s="273"/>
      <c r="N37" s="273"/>
      <c r="O37" s="273"/>
      <c r="P37" s="273"/>
      <c r="Q37" s="273"/>
      <c r="R37" s="273"/>
      <c r="S37" s="273"/>
      <c r="T37" s="273"/>
      <c r="U37" s="273"/>
      <c r="V37" s="273"/>
      <c r="W37" s="273"/>
      <c r="X37" s="273"/>
      <c r="Y37" s="273"/>
      <c r="Z37" s="273"/>
      <c r="AA37" s="273"/>
      <c r="AB37" s="243"/>
    </row>
    <row r="38" spans="1:28" hidden="1" outlineLevel="1" x14ac:dyDescent="0.3">
      <c r="A38" s="273"/>
      <c r="B38" s="276"/>
      <c r="C38" s="276"/>
      <c r="D38" s="276"/>
      <c r="E38" s="276"/>
      <c r="F38" s="276"/>
      <c r="G38" s="273"/>
      <c r="H38" s="566" t="s">
        <v>755</v>
      </c>
      <c r="I38" s="567"/>
      <c r="J38" s="296"/>
      <c r="K38" s="296"/>
      <c r="L38" s="273"/>
      <c r="M38" s="273"/>
      <c r="N38" s="273"/>
      <c r="O38" s="273"/>
      <c r="P38" s="273"/>
      <c r="Q38" s="273"/>
      <c r="R38" s="273"/>
      <c r="S38" s="273"/>
      <c r="T38" s="273"/>
      <c r="U38" s="273"/>
      <c r="V38" s="273"/>
      <c r="W38" s="273"/>
      <c r="X38" s="273"/>
      <c r="Y38" s="273"/>
      <c r="Z38" s="273"/>
      <c r="AA38" s="273"/>
      <c r="AB38" s="243"/>
    </row>
    <row r="39" spans="1:28" hidden="1" outlineLevel="1" x14ac:dyDescent="0.3">
      <c r="A39" s="273"/>
      <c r="B39" s="276"/>
      <c r="C39" s="276"/>
      <c r="D39" s="276"/>
      <c r="E39" s="276"/>
      <c r="F39" s="276"/>
      <c r="G39" s="273"/>
      <c r="H39" s="564" t="str">
        <f>IFERROR(VLOOKUP(H8,Table_NhanVien[#All],Sheet_CauTruc!$T$1,0),"")</f>
        <v/>
      </c>
      <c r="I39" s="565"/>
      <c r="J39" s="297"/>
      <c r="K39" s="297"/>
      <c r="L39" s="273"/>
      <c r="M39" s="273"/>
      <c r="N39" s="273"/>
      <c r="O39" s="273"/>
      <c r="P39" s="273"/>
      <c r="Q39" s="273"/>
      <c r="R39" s="273"/>
      <c r="S39" s="273"/>
      <c r="T39" s="273"/>
      <c r="U39" s="273"/>
      <c r="V39" s="273"/>
      <c r="W39" s="273"/>
      <c r="X39" s="273"/>
      <c r="Y39" s="273"/>
      <c r="Z39" s="273"/>
      <c r="AA39" s="273"/>
      <c r="AB39" s="243"/>
    </row>
    <row r="40" spans="1:28" hidden="1" outlineLevel="1" x14ac:dyDescent="0.3">
      <c r="A40" s="273"/>
      <c r="B40" s="276"/>
      <c r="C40" s="276"/>
      <c r="D40" s="276"/>
      <c r="E40" s="276"/>
      <c r="F40" s="276"/>
      <c r="G40" s="297"/>
      <c r="H40" s="297"/>
      <c r="I40" s="297"/>
      <c r="J40" s="297"/>
      <c r="K40" s="297"/>
      <c r="L40" s="273"/>
      <c r="M40" s="273"/>
      <c r="N40" s="273"/>
      <c r="O40" s="273"/>
      <c r="P40" s="273"/>
      <c r="Q40" s="273"/>
      <c r="R40" s="273"/>
      <c r="S40" s="273"/>
      <c r="T40" s="273"/>
      <c r="U40" s="273"/>
      <c r="V40" s="273"/>
      <c r="W40" s="273"/>
      <c r="X40" s="273"/>
      <c r="Y40" s="273"/>
      <c r="Z40" s="273"/>
      <c r="AA40" s="273"/>
      <c r="AB40" s="243"/>
    </row>
    <row r="41" spans="1:28" hidden="1" outlineLevel="1" x14ac:dyDescent="0.3">
      <c r="A41" s="273"/>
      <c r="B41" s="276"/>
      <c r="C41" s="276"/>
      <c r="D41" s="276"/>
      <c r="E41" s="276"/>
      <c r="F41" s="276"/>
      <c r="G41" s="276"/>
      <c r="H41" s="276"/>
      <c r="I41" s="276"/>
      <c r="J41" s="276"/>
      <c r="K41" s="276"/>
      <c r="L41" s="273"/>
      <c r="M41" s="273"/>
      <c r="N41" s="273"/>
      <c r="O41" s="273"/>
      <c r="P41" s="273"/>
      <c r="Q41" s="273"/>
      <c r="R41" s="273"/>
      <c r="S41" s="273"/>
      <c r="T41" s="273"/>
      <c r="U41" s="273"/>
      <c r="V41" s="273"/>
      <c r="W41" s="273"/>
      <c r="X41" s="273"/>
      <c r="Y41" s="273"/>
      <c r="Z41" s="273"/>
      <c r="AA41" s="273"/>
      <c r="AB41" s="243"/>
    </row>
    <row r="42" spans="1:28" collapsed="1" x14ac:dyDescent="0.3">
      <c r="A42" s="273"/>
      <c r="B42" s="276"/>
      <c r="C42" s="276"/>
      <c r="D42" s="276"/>
      <c r="E42" s="276"/>
      <c r="F42" s="276"/>
      <c r="G42" s="276"/>
      <c r="H42" s="276"/>
      <c r="I42" s="276"/>
      <c r="J42" s="276"/>
      <c r="K42" s="276"/>
      <c r="L42" s="273"/>
      <c r="M42" s="301">
        <v>0</v>
      </c>
      <c r="N42" s="301">
        <f t="shared" ref="N42:Y42" si="0">+M42+1</f>
        <v>1</v>
      </c>
      <c r="O42" s="301">
        <f t="shared" si="0"/>
        <v>2</v>
      </c>
      <c r="P42" s="301">
        <f t="shared" si="0"/>
        <v>3</v>
      </c>
      <c r="Q42" s="301">
        <f t="shared" si="0"/>
        <v>4</v>
      </c>
      <c r="R42" s="301">
        <f t="shared" si="0"/>
        <v>5</v>
      </c>
      <c r="S42" s="301">
        <f t="shared" si="0"/>
        <v>6</v>
      </c>
      <c r="T42" s="301">
        <f t="shared" si="0"/>
        <v>7</v>
      </c>
      <c r="U42" s="301">
        <f t="shared" si="0"/>
        <v>8</v>
      </c>
      <c r="V42" s="301">
        <f t="shared" si="0"/>
        <v>9</v>
      </c>
      <c r="W42" s="301">
        <f t="shared" si="0"/>
        <v>10</v>
      </c>
      <c r="X42" s="301">
        <f t="shared" si="0"/>
        <v>11</v>
      </c>
      <c r="Y42" s="301">
        <f t="shared" si="0"/>
        <v>12</v>
      </c>
      <c r="Z42" s="249"/>
      <c r="AA42" s="249"/>
      <c r="AB42" s="243"/>
    </row>
    <row r="43" spans="1:28" x14ac:dyDescent="0.3">
      <c r="A43" s="273"/>
      <c r="B43" s="276"/>
      <c r="C43" s="276"/>
      <c r="D43" s="276"/>
      <c r="E43" s="276"/>
      <c r="F43" s="276"/>
      <c r="G43" s="276"/>
      <c r="H43" s="276"/>
      <c r="I43" s="276"/>
      <c r="J43" s="276"/>
      <c r="K43" s="276"/>
      <c r="L43" s="273"/>
      <c r="M43" s="250">
        <f>J4</f>
        <v>1</v>
      </c>
      <c r="N43" s="51" t="str">
        <f>H4</f>
        <v>GIAO--100-1</v>
      </c>
      <c r="O43" s="412">
        <f>H5</f>
        <v>0</v>
      </c>
      <c r="P43" s="412"/>
      <c r="Q43" s="246">
        <f>D3</f>
        <v>0</v>
      </c>
      <c r="R43" s="47" t="str">
        <f>H6</f>
        <v/>
      </c>
      <c r="S43" s="51" t="str">
        <f xml:space="preserve">
IFERROR(
VLOOKUP(R43,Table_KhachHang[],COUNTA(Table_KhachHang[[#Headers],[Mã KH]:[Địa chỉ]]),0),"")</f>
        <v/>
      </c>
      <c r="T43" s="48">
        <f>IF(D9 = "Bên bán",D10,0)</f>
        <v>0</v>
      </c>
      <c r="U43" s="246">
        <f>D9</f>
        <v>0</v>
      </c>
      <c r="V43" s="118"/>
      <c r="W43" s="393">
        <f>IF(U43 = "Bên bán",V43*(T43/(1+V43)),0)</f>
        <v>0</v>
      </c>
      <c r="X43" s="393">
        <f>Y43-W43</f>
        <v>0</v>
      </c>
      <c r="Y43" s="48">
        <f>IF(U43 = "Bên bán",T43,0)</f>
        <v>0</v>
      </c>
      <c r="Z43" s="247"/>
      <c r="AA43" s="247"/>
      <c r="AB43" s="243"/>
    </row>
    <row r="44" spans="1:28" x14ac:dyDescent="0.3">
      <c r="A44" s="273"/>
      <c r="B44" s="276"/>
      <c r="C44" s="276"/>
      <c r="D44" s="276"/>
      <c r="E44" s="276"/>
      <c r="F44" s="276"/>
      <c r="G44" s="276"/>
      <c r="H44" s="276"/>
      <c r="I44" s="276"/>
      <c r="J44" s="276"/>
      <c r="K44" s="276"/>
      <c r="L44" s="273"/>
      <c r="M44" s="250">
        <v>1</v>
      </c>
      <c r="N44" s="51" t="str">
        <f>CONCATENATE("GIAO-",R44,"-",MOD(YEAR(O44),100)*10000+MONTH(O44)*100+DAY(O44),"-",M44)</f>
        <v>GIAO--100-1</v>
      </c>
      <c r="O44" s="412"/>
      <c r="P44" s="412"/>
      <c r="Q44" s="246"/>
      <c r="R44" s="246"/>
      <c r="S44" s="51" t="str">
        <f xml:space="preserve">
IFERROR(
VLOOKUP(R44,Table_KhachHang[],COUNTA(Table_KhachHang[[#Headers],[Mã KH]:[Địa chỉ]]),0),"")</f>
        <v/>
      </c>
      <c r="T44" s="48"/>
      <c r="U44" s="246"/>
      <c r="V44" s="118"/>
      <c r="W44" s="393">
        <f>IF(U44 = "Bên bán",V44*(T44/(1+V44)),0)</f>
        <v>0</v>
      </c>
      <c r="X44" s="393">
        <f>Y44-W44</f>
        <v>0</v>
      </c>
      <c r="Y44" s="48">
        <f>IF(U44 = "Bên bán",T44,0)</f>
        <v>0</v>
      </c>
      <c r="Z44" s="247"/>
      <c r="AA44" s="247"/>
      <c r="AB44" s="243"/>
    </row>
    <row r="45" spans="1:28" x14ac:dyDescent="0.3">
      <c r="A45" s="273"/>
      <c r="B45" s="276"/>
      <c r="C45" s="276"/>
      <c r="D45" s="276"/>
      <c r="E45" s="276"/>
      <c r="F45" s="276"/>
      <c r="G45" s="276"/>
      <c r="H45" s="276"/>
      <c r="I45" s="276"/>
      <c r="J45" s="276"/>
      <c r="K45" s="276"/>
      <c r="L45" s="273"/>
      <c r="M45" s="46" t="s">
        <v>643</v>
      </c>
      <c r="N45" s="46" t="s">
        <v>743</v>
      </c>
      <c r="O45" s="46" t="s">
        <v>700</v>
      </c>
      <c r="P45" s="46" t="s">
        <v>756</v>
      </c>
      <c r="Q45" s="46" t="s">
        <v>757</v>
      </c>
      <c r="R45" s="46" t="s">
        <v>173</v>
      </c>
      <c r="S45" s="46" t="s">
        <v>758</v>
      </c>
      <c r="T45" s="46" t="s">
        <v>754</v>
      </c>
      <c r="U45" s="46" t="s">
        <v>746</v>
      </c>
      <c r="V45" s="46" t="s">
        <v>710</v>
      </c>
      <c r="W45" s="46" t="s">
        <v>686</v>
      </c>
      <c r="X45" s="46" t="s">
        <v>657</v>
      </c>
      <c r="Y45" s="46" t="s">
        <v>759</v>
      </c>
      <c r="Z45" s="7" t="s">
        <v>883</v>
      </c>
      <c r="AA45" s="7" t="s">
        <v>1253</v>
      </c>
      <c r="AB45" s="243"/>
    </row>
    <row r="46" spans="1:28" x14ac:dyDescent="0.3">
      <c r="A46" s="273"/>
      <c r="B46" s="276"/>
      <c r="C46" s="276"/>
      <c r="D46" s="276"/>
      <c r="E46" s="276"/>
      <c r="F46" s="276"/>
      <c r="G46" s="276"/>
      <c r="H46" s="276"/>
      <c r="I46" s="276"/>
      <c r="J46" s="276"/>
      <c r="K46" s="276"/>
      <c r="L46" s="273"/>
      <c r="M46" s="250">
        <v>1</v>
      </c>
      <c r="N46" s="51" t="str">
        <f>CONCATENATE("GIAO-",Table_VanDon[[#This Row],[Khách hàng]],"-",MOD(YEAR(Table_VanDon[[#This Row],[Ngày lập]]),100)*10000+MONTH(Table_VanDon[[#This Row],[Ngày lập]])*100+DAY(Table_VanDon[[#This Row],[Ngày lập]]),"-",Table_VanDon[[#This Row],[STT]])</f>
        <v>GIAO--100-1</v>
      </c>
      <c r="O46" s="412"/>
      <c r="P46" s="412"/>
      <c r="Q46" s="265"/>
      <c r="R46" s="242"/>
      <c r="S46" s="51" t="str">
        <f xml:space="preserve">
IFERROR(
VLOOKUP(Table_VanDon[[#This Row],[Khách hàng]],Table_KhachHang[],COUNTA(Table_KhachHang[[#Headers],[Mã KH]:[Địa chỉ]]),0),"")</f>
        <v/>
      </c>
      <c r="T46" s="15"/>
      <c r="U46" s="242"/>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7"/>
      <c r="AA46" s="318"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3"/>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76" priority="267"/>
  </conditionalFormatting>
  <conditionalFormatting sqref="H4:I4">
    <cfRule type="expression" dxfId="375"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 type="list" allowBlank="1" showInputMessage="1" xr:uid="{43F81AAB-C477-4AC0-9043-4EBE84C31532}">
          <x14:formula1>
            <xm:f>_xlfn.ANCHORARRAY(Sheet_DoiTac!$E8)</xm:f>
          </x14:formula1>
          <xm:sqref>Q46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2"/>
      <c r="C1" s="242"/>
      <c r="D1" s="242"/>
      <c r="E1" s="242"/>
      <c r="F1" s="242"/>
      <c r="G1" s="242"/>
      <c r="H1" s="242"/>
      <c r="I1" s="242"/>
      <c r="J1" s="242"/>
      <c r="K1" s="242"/>
      <c r="L1" s="242"/>
      <c r="M1" s="242"/>
      <c r="N1" s="242"/>
      <c r="O1" s="242"/>
      <c r="P1" s="242"/>
      <c r="Q1" s="242"/>
      <c r="R1" s="242"/>
      <c r="S1" s="242"/>
      <c r="T1" s="242"/>
      <c r="U1" s="242"/>
      <c r="V1" s="242"/>
    </row>
    <row r="2" spans="2:29" ht="18" customHeight="1" x14ac:dyDescent="0.3">
      <c r="B2" s="242"/>
      <c r="C2" s="242"/>
      <c r="D2" s="242"/>
      <c r="E2" s="242"/>
      <c r="F2" s="242"/>
      <c r="G2" s="242"/>
      <c r="H2" s="242"/>
      <c r="I2" s="242"/>
      <c r="J2" s="242"/>
      <c r="K2" s="242"/>
      <c r="L2" s="242"/>
      <c r="M2" s="242"/>
      <c r="N2" s="242"/>
      <c r="O2" s="242"/>
      <c r="P2" s="242"/>
      <c r="Q2" s="242"/>
      <c r="R2" s="242"/>
      <c r="S2" s="242"/>
      <c r="T2" s="242"/>
      <c r="U2" s="242"/>
      <c r="V2" s="242"/>
    </row>
    <row r="3" spans="2:29" ht="18" customHeight="1" x14ac:dyDescent="0.3">
      <c r="B3" s="49">
        <f>IFERROR(
IF(ISBLANK(D3),
DATE(C3,12,1),
DATE(C3,D3,1)),0)</f>
        <v>336</v>
      </c>
      <c r="C3" s="245"/>
      <c r="D3" s="245"/>
      <c r="E3" s="399"/>
      <c r="F3" s="399"/>
      <c r="G3" s="245"/>
      <c r="H3" s="245"/>
      <c r="I3" s="245"/>
      <c r="J3" s="245"/>
      <c r="K3" s="280"/>
      <c r="L3" s="398">
        <v>0</v>
      </c>
      <c r="M3" s="48">
        <f>IFERROR(L3*(K3/(1+L3)),0)</f>
        <v>0</v>
      </c>
      <c r="N3" s="48">
        <f>IF(M3&lt;0, K3,K3-M3)</f>
        <v>0</v>
      </c>
      <c r="O3" s="281"/>
      <c r="P3" s="281"/>
      <c r="Q3" s="243"/>
      <c r="R3" s="242"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2">
        <f ca="1"/>
        <v>0</v>
      </c>
      <c r="T3" s="242" t="str">
        <f ca="1"/>
        <v>TS1</v>
      </c>
      <c r="U3" s="242" t="str">
        <f ca="1"/>
        <v>TS2</v>
      </c>
      <c r="V3" s="242"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645</v>
      </c>
      <c r="F4" s="7" t="s">
        <v>646</v>
      </c>
      <c r="G4" s="7" t="s">
        <v>773</v>
      </c>
      <c r="H4" s="7" t="s">
        <v>16</v>
      </c>
      <c r="I4" s="7" t="s">
        <v>561</v>
      </c>
      <c r="J4" s="7" t="s">
        <v>556</v>
      </c>
      <c r="K4" s="7" t="s">
        <v>21</v>
      </c>
      <c r="L4" s="7" t="s">
        <v>710</v>
      </c>
      <c r="M4" s="7" t="s">
        <v>774</v>
      </c>
      <c r="N4" s="7" t="s">
        <v>658</v>
      </c>
      <c r="O4" s="7" t="s">
        <v>883</v>
      </c>
      <c r="P4" s="7" t="s">
        <v>1253</v>
      </c>
      <c r="Q4" s="242"/>
      <c r="R4" s="242"/>
      <c r="S4" s="242"/>
      <c r="T4" s="242"/>
      <c r="U4" s="242"/>
      <c r="V4" s="242"/>
    </row>
    <row r="5" spans="2:29" ht="18" customHeight="1" x14ac:dyDescent="0.3">
      <c r="B5" s="49">
        <f>IFERROR(
IF(ISBLANK(Table_LaiKhac[[#This Row],[Tháng]]),
DATE(Table_LaiKhac[[#This Row],[Năm]],12,1),
DATE(Table_LaiKhac[[#This Row],[Năm]],Table_LaiKhac[[#This Row],[Tháng]],1)),0)</f>
        <v>336</v>
      </c>
      <c r="C5" s="242"/>
      <c r="D5" s="245"/>
      <c r="E5" s="345"/>
      <c r="F5" s="345"/>
      <c r="G5" s="242"/>
      <c r="H5" s="245"/>
      <c r="I5" s="242"/>
      <c r="J5" s="245"/>
      <c r="K5" s="245"/>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5"/>
      <c r="P5" s="344">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2"/>
      <c r="R5" s="242"/>
      <c r="S5" s="242"/>
      <c r="T5" s="242"/>
      <c r="U5" s="242"/>
      <c r="V5" s="242"/>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Sheet_BaoCaoTaiChinh!$C$43:$C$47</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3"/>
      <c r="B1" s="301">
        <v>0</v>
      </c>
      <c r="C1" s="301">
        <f t="shared" ref="C1:M1" si="0">+B1+1</f>
        <v>1</v>
      </c>
      <c r="D1" s="301">
        <f t="shared" si="0"/>
        <v>2</v>
      </c>
      <c r="E1" s="301">
        <f t="shared" si="0"/>
        <v>3</v>
      </c>
      <c r="F1" s="301">
        <f t="shared" si="0"/>
        <v>4</v>
      </c>
      <c r="G1" s="301">
        <f t="shared" si="0"/>
        <v>5</v>
      </c>
      <c r="H1" s="301">
        <f t="shared" si="0"/>
        <v>6</v>
      </c>
      <c r="I1" s="301">
        <f t="shared" si="0"/>
        <v>7</v>
      </c>
      <c r="J1" s="301">
        <f t="shared" si="0"/>
        <v>8</v>
      </c>
      <c r="K1" s="301">
        <f t="shared" si="0"/>
        <v>9</v>
      </c>
      <c r="L1" s="301">
        <f t="shared" si="0"/>
        <v>10</v>
      </c>
      <c r="M1" s="301">
        <f t="shared" si="0"/>
        <v>11</v>
      </c>
      <c r="N1" s="301"/>
      <c r="O1" s="301"/>
      <c r="P1" s="301"/>
    </row>
    <row r="2" spans="1:16" ht="18" customHeight="1" x14ac:dyDescent="0.3">
      <c r="A2" s="275"/>
      <c r="B2" s="248"/>
      <c r="C2" s="248"/>
      <c r="D2" s="249"/>
      <c r="E2" s="249"/>
      <c r="F2" s="249"/>
      <c r="G2" s="249"/>
      <c r="H2" s="249"/>
      <c r="I2" s="249"/>
      <c r="J2" s="249"/>
      <c r="K2" s="249"/>
      <c r="L2" s="249"/>
      <c r="M2" s="249"/>
      <c r="N2" s="249"/>
      <c r="O2" s="249"/>
      <c r="P2" s="242"/>
    </row>
    <row r="3" spans="1:16" ht="18" customHeight="1" outlineLevel="1" x14ac:dyDescent="0.15">
      <c r="A3" s="275"/>
      <c r="B3" s="248"/>
      <c r="C3" s="248"/>
      <c r="D3" s="242"/>
      <c r="E3" s="7" t="s">
        <v>643</v>
      </c>
      <c r="F3" s="7" t="s">
        <v>775</v>
      </c>
      <c r="G3" s="242"/>
      <c r="H3" s="265"/>
      <c r="I3" s="242"/>
      <c r="J3" s="242"/>
      <c r="K3" s="248"/>
      <c r="L3" s="248"/>
      <c r="M3" s="248"/>
      <c r="N3" s="242"/>
      <c r="O3" s="242"/>
      <c r="P3" s="242"/>
    </row>
    <row r="4" spans="1:16" ht="18" customHeight="1" outlineLevel="1" x14ac:dyDescent="0.15">
      <c r="A4" s="275"/>
      <c r="B4" s="248"/>
      <c r="C4" s="248"/>
      <c r="D4" s="242"/>
      <c r="E4" s="242">
        <v>1</v>
      </c>
      <c r="F4" s="7" t="s">
        <v>407</v>
      </c>
      <c r="G4" s="242"/>
      <c r="H4" s="265"/>
      <c r="I4" s="242"/>
      <c r="J4" s="242"/>
      <c r="K4" s="248"/>
      <c r="L4" s="248"/>
      <c r="M4" s="248"/>
      <c r="N4" s="242"/>
      <c r="O4" s="242"/>
      <c r="P4" s="242"/>
    </row>
    <row r="5" spans="1:16" ht="18" customHeight="1" outlineLevel="1" x14ac:dyDescent="0.15">
      <c r="A5" s="275"/>
      <c r="B5" s="248"/>
      <c r="C5" s="248"/>
      <c r="D5" s="242"/>
      <c r="E5" s="242">
        <v>2</v>
      </c>
      <c r="F5" s="7" t="s">
        <v>409</v>
      </c>
      <c r="G5" s="242"/>
      <c r="H5" s="265"/>
      <c r="I5" s="242"/>
      <c r="J5" s="242"/>
      <c r="K5" s="248"/>
      <c r="L5" s="248"/>
      <c r="M5" s="248"/>
      <c r="N5" s="242"/>
      <c r="O5" s="242"/>
      <c r="P5" s="242"/>
    </row>
    <row r="6" spans="1:16" ht="18" customHeight="1" outlineLevel="1" x14ac:dyDescent="0.15">
      <c r="A6" s="275"/>
      <c r="B6" s="248"/>
      <c r="C6" s="248"/>
      <c r="D6" s="242"/>
      <c r="E6" s="242">
        <v>3</v>
      </c>
      <c r="F6" s="7" t="s">
        <v>410</v>
      </c>
      <c r="G6" s="242"/>
      <c r="H6" s="265"/>
      <c r="I6" s="242"/>
      <c r="J6" s="242"/>
      <c r="K6" s="248"/>
      <c r="L6" s="248"/>
      <c r="M6" s="248"/>
      <c r="N6" s="242"/>
      <c r="O6" s="242"/>
      <c r="P6" s="242"/>
    </row>
    <row r="7" spans="1:16" ht="18" customHeight="1" outlineLevel="1" x14ac:dyDescent="0.15">
      <c r="A7" s="276"/>
      <c r="B7" s="248"/>
      <c r="C7" s="248"/>
      <c r="D7" s="242"/>
      <c r="E7" s="242">
        <v>4</v>
      </c>
      <c r="F7" s="7" t="s">
        <v>411</v>
      </c>
      <c r="G7" s="242"/>
      <c r="H7" s="265"/>
      <c r="I7" s="242"/>
      <c r="J7" s="242"/>
      <c r="K7" s="248"/>
      <c r="L7" s="248"/>
      <c r="M7" s="248"/>
      <c r="N7" s="242"/>
      <c r="O7" s="242"/>
      <c r="P7" s="242"/>
    </row>
    <row r="8" spans="1:16" ht="18" customHeight="1" outlineLevel="1" x14ac:dyDescent="0.15">
      <c r="A8" s="276"/>
      <c r="B8" s="248"/>
      <c r="C8" s="248"/>
      <c r="D8" s="242"/>
      <c r="E8" s="242">
        <v>5</v>
      </c>
      <c r="F8" s="7" t="s">
        <v>412</v>
      </c>
      <c r="G8" s="242"/>
      <c r="H8" s="265"/>
      <c r="I8" s="242"/>
      <c r="J8" s="242"/>
      <c r="K8" s="248"/>
      <c r="L8" s="248"/>
      <c r="M8" s="248"/>
      <c r="N8" s="242"/>
      <c r="O8" s="242"/>
      <c r="P8" s="242"/>
    </row>
    <row r="9" spans="1:16" ht="18" customHeight="1" outlineLevel="1" x14ac:dyDescent="0.15">
      <c r="A9" s="276"/>
      <c r="B9" s="248"/>
      <c r="C9" s="248"/>
      <c r="D9" s="242"/>
      <c r="E9" s="242">
        <v>6</v>
      </c>
      <c r="F9" s="7" t="s">
        <v>413</v>
      </c>
      <c r="G9" s="242"/>
      <c r="H9" s="265"/>
      <c r="I9" s="242"/>
      <c r="J9" s="242"/>
      <c r="K9" s="248"/>
      <c r="L9" s="248"/>
      <c r="M9" s="248"/>
      <c r="N9" s="242"/>
      <c r="O9" s="242"/>
      <c r="P9" s="242"/>
    </row>
    <row r="10" spans="1:16" ht="18" customHeight="1" outlineLevel="1" x14ac:dyDescent="0.15">
      <c r="A10" s="276"/>
      <c r="B10" s="248"/>
      <c r="C10" s="248"/>
      <c r="D10" s="242"/>
      <c r="E10" s="242">
        <v>7</v>
      </c>
      <c r="F10" s="7" t="s">
        <v>308</v>
      </c>
      <c r="G10" s="242"/>
      <c r="H10" s="265"/>
      <c r="I10" s="242"/>
      <c r="J10" s="242"/>
      <c r="K10" s="248"/>
      <c r="L10" s="248"/>
      <c r="M10" s="248"/>
      <c r="N10" s="242"/>
      <c r="O10" s="242"/>
      <c r="P10" s="242"/>
    </row>
    <row r="11" spans="1:16" ht="18" customHeight="1" outlineLevel="1" x14ac:dyDescent="0.15">
      <c r="A11" s="276"/>
      <c r="B11" s="248"/>
      <c r="C11" s="248"/>
      <c r="D11" s="242"/>
      <c r="E11" s="242">
        <v>8</v>
      </c>
      <c r="F11" s="7" t="s">
        <v>416</v>
      </c>
      <c r="G11" s="242"/>
      <c r="H11" s="265"/>
      <c r="I11" s="242"/>
      <c r="J11" s="242"/>
      <c r="K11" s="248"/>
      <c r="L11" s="248"/>
      <c r="M11" s="248"/>
      <c r="N11" s="242"/>
      <c r="O11" s="242"/>
      <c r="P11" s="242"/>
    </row>
    <row r="12" spans="1:16" ht="18" customHeight="1" outlineLevel="1" x14ac:dyDescent="0.15">
      <c r="A12" s="276"/>
      <c r="B12" s="248"/>
      <c r="C12" s="248"/>
      <c r="D12" s="242"/>
      <c r="E12" s="12" t="s">
        <v>281</v>
      </c>
      <c r="F12" s="242"/>
      <c r="G12" s="242"/>
      <c r="H12" s="265"/>
      <c r="I12" s="242"/>
      <c r="J12" s="242"/>
      <c r="K12" s="248"/>
      <c r="L12" s="248"/>
      <c r="M12" s="248"/>
      <c r="N12" s="242"/>
      <c r="O12" s="242"/>
      <c r="P12" s="242"/>
    </row>
    <row r="13" spans="1:16" s="112" customFormat="1" ht="18" customHeight="1" x14ac:dyDescent="0.15">
      <c r="A13" s="277"/>
      <c r="B13" s="278"/>
      <c r="C13" s="278"/>
      <c r="D13" s="272"/>
      <c r="E13" s="272"/>
      <c r="F13" s="272"/>
      <c r="G13" s="272"/>
      <c r="H13" s="279"/>
      <c r="I13" s="272"/>
      <c r="J13" s="272"/>
      <c r="K13" s="278"/>
      <c r="L13" s="278"/>
      <c r="M13" s="278"/>
      <c r="N13" s="272"/>
      <c r="O13" s="272"/>
      <c r="P13" s="272"/>
    </row>
    <row r="14" spans="1:16" s="112" customFormat="1" ht="18" hidden="1" customHeight="1" outlineLevel="1" x14ac:dyDescent="0.15">
      <c r="A14" s="277"/>
      <c r="B14" s="278"/>
      <c r="C14" s="278"/>
      <c r="D14" s="272"/>
      <c r="E14" s="272"/>
      <c r="F14" s="272"/>
      <c r="G14" s="112" t="s">
        <v>173</v>
      </c>
      <c r="H14" s="279" t="str" cm="1">
        <f t="array" ref="H14:J14">IF(G14="Khách hàng",TRANSPOSE(_xlfn._xlws.SORT(Table_KhachHang[Mã KH])),
TRANSPOSE(_xlfn._xlws.SORT(_xlfn._xlws.FILTER(Table_NhaCungCap[Mã Đối tác],Table_NhaCungCap[Loại đối tác]=Sheet_ThuChiKD!G14,""))))</f>
        <v>KH1</v>
      </c>
      <c r="I14" s="272" t="str">
        <v>KH2</v>
      </c>
      <c r="J14" s="272" t="str">
        <v>KH3</v>
      </c>
      <c r="K14" s="278"/>
      <c r="L14" s="278"/>
      <c r="M14" s="278"/>
      <c r="N14" s="272"/>
      <c r="O14" s="272"/>
      <c r="P14" s="272"/>
    </row>
    <row r="15" spans="1:16" s="112" customFormat="1" ht="18" hidden="1" customHeight="1" outlineLevel="1" x14ac:dyDescent="0.15">
      <c r="A15" s="277"/>
      <c r="B15" s="278"/>
      <c r="C15" s="278"/>
      <c r="D15" s="272"/>
      <c r="E15" s="272"/>
      <c r="F15" s="272"/>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2" t="str">
        <v>NCC2</v>
      </c>
      <c r="J15" s="272" t="str">
        <v>NCC3</v>
      </c>
      <c r="K15" s="278"/>
      <c r="L15" s="278"/>
      <c r="M15" s="278"/>
      <c r="N15" s="272"/>
      <c r="O15" s="272"/>
      <c r="P15" s="272"/>
    </row>
    <row r="16" spans="1:16" s="112" customFormat="1" ht="18" hidden="1" customHeight="1" outlineLevel="1" x14ac:dyDescent="0.15">
      <c r="A16" s="277"/>
      <c r="B16" s="278"/>
      <c r="C16" s="278"/>
      <c r="D16" s="272"/>
      <c r="E16" s="272"/>
      <c r="F16" s="272"/>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2"/>
      <c r="J16" s="272"/>
      <c r="K16" s="278"/>
      <c r="L16" s="278"/>
      <c r="M16" s="278"/>
      <c r="N16" s="272"/>
      <c r="O16" s="272"/>
      <c r="P16" s="272"/>
    </row>
    <row r="17" spans="1:16" s="112" customFormat="1" ht="18" hidden="1" customHeight="1" outlineLevel="1" x14ac:dyDescent="0.15">
      <c r="A17" s="277"/>
      <c r="B17" s="278"/>
      <c r="C17" s="278"/>
      <c r="D17" s="272"/>
      <c r="E17" s="272"/>
      <c r="F17" s="272"/>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2"/>
      <c r="J17" s="272"/>
      <c r="K17" s="278"/>
      <c r="L17" s="278"/>
      <c r="M17" s="278"/>
      <c r="N17" s="272"/>
      <c r="O17" s="272"/>
      <c r="P17" s="272"/>
    </row>
    <row r="18" spans="1:16" s="112" customFormat="1" ht="18" hidden="1" customHeight="1" outlineLevel="1" x14ac:dyDescent="0.15">
      <c r="A18" s="277"/>
      <c r="B18" s="278"/>
      <c r="C18" s="278"/>
      <c r="D18" s="272"/>
      <c r="E18" s="272"/>
      <c r="F18" s="272"/>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2"/>
      <c r="J18" s="272"/>
      <c r="K18" s="278"/>
      <c r="L18" s="278"/>
      <c r="M18" s="278"/>
      <c r="N18" s="272"/>
      <c r="O18" s="272"/>
      <c r="P18" s="272"/>
    </row>
    <row r="19" spans="1:16" s="112" customFormat="1" ht="18" hidden="1" customHeight="1" outlineLevel="1" x14ac:dyDescent="0.15">
      <c r="A19" s="277"/>
      <c r="B19" s="278"/>
      <c r="C19" s="278"/>
      <c r="D19" s="272"/>
      <c r="E19" s="272"/>
      <c r="F19" s="272"/>
      <c r="G19" s="112" t="str">
        <f>Sheet_DoiTac!D7</f>
        <v>Dịch vụ tài chính</v>
      </c>
      <c r="H19" s="175" t="str" cm="1">
        <f t="array" ref="H19">IF(G19="Khách hàng",TRANSPOSE(_xlfn._xlws.SORT(Table_KhachHang[Mã KH])),
TRANSPOSE(_xlfn._xlws.SORT(_xlfn._xlws.FILTER(Table_NhaCungCap[Mã Đối tác],Table_NhaCungCap[Loại đối tác]=Sheet_ThuChiKD!G19,""))))</f>
        <v/>
      </c>
      <c r="I19" s="272"/>
      <c r="J19" s="272"/>
      <c r="K19" s="278"/>
      <c r="L19" s="278"/>
      <c r="M19" s="278"/>
      <c r="N19" s="272"/>
      <c r="O19" s="272"/>
      <c r="P19" s="272"/>
    </row>
    <row r="20" spans="1:16" s="112" customFormat="1" ht="18" hidden="1" customHeight="1" outlineLevel="1" x14ac:dyDescent="0.15">
      <c r="A20" s="277"/>
      <c r="B20" s="278"/>
      <c r="C20" s="278"/>
      <c r="D20" s="272"/>
      <c r="E20" s="272"/>
      <c r="F20" s="272"/>
      <c r="G20" s="112" t="str">
        <f>Sheet_DoiTac!D8</f>
        <v>Tiện ích</v>
      </c>
      <c r="H20" s="175" t="str" cm="1">
        <f t="array" ref="H20">IF(G20="Khách hàng",TRANSPOSE(_xlfn._xlws.SORT(Table_KhachHang[Mã KH])),
TRANSPOSE(_xlfn._xlws.SORT(_xlfn._xlws.FILTER(Table_NhaCungCap[Mã Đối tác],Table_NhaCungCap[Loại đối tác]=Sheet_ThuChiKD!G20,""))))</f>
        <v/>
      </c>
      <c r="I20" s="272"/>
      <c r="J20" s="272"/>
      <c r="K20" s="278"/>
      <c r="L20" s="278"/>
      <c r="M20" s="278"/>
      <c r="N20" s="272"/>
      <c r="O20" s="272"/>
      <c r="P20" s="272"/>
    </row>
    <row r="21" spans="1:16" s="112" customFormat="1" ht="18" hidden="1" customHeight="1" outlineLevel="1" x14ac:dyDescent="0.15">
      <c r="A21" s="277"/>
      <c r="B21" s="278"/>
      <c r="C21" s="278"/>
      <c r="D21" s="272"/>
      <c r="E21" s="272"/>
      <c r="F21" s="272"/>
      <c r="G21" s="112" t="str">
        <f>Sheet_DoiTac!D9</f>
        <v>Máy móc - Thiết bị</v>
      </c>
      <c r="H21" s="175" t="str" cm="1">
        <f t="array" ref="H21">IF(G21="Khách hàng",TRANSPOSE(_xlfn._xlws.SORT(Table_KhachHang[Mã KH])),
TRANSPOSE(_xlfn._xlws.SORT(_xlfn._xlws.FILTER(Table_NhaCungCap[Mã Đối tác],Table_NhaCungCap[Loại đối tác]=Sheet_ThuChiKD!G21,""))))</f>
        <v/>
      </c>
      <c r="I21" s="272"/>
      <c r="J21" s="272"/>
      <c r="K21" s="278"/>
      <c r="L21" s="278"/>
      <c r="M21" s="278"/>
      <c r="N21" s="272"/>
      <c r="O21" s="272"/>
      <c r="P21" s="272"/>
    </row>
    <row r="22" spans="1:16" s="112" customFormat="1" ht="18" hidden="1" customHeight="1" outlineLevel="1" x14ac:dyDescent="0.15">
      <c r="A22" s="277"/>
      <c r="B22" s="278"/>
      <c r="C22" s="278"/>
      <c r="D22" s="272"/>
      <c r="E22" s="272"/>
      <c r="F22" s="272"/>
      <c r="G22" s="112" t="str">
        <f>Sheet_DoiTac!D10</f>
        <v>Dịch vụ sản xuất</v>
      </c>
      <c r="H22" s="175" t="str" cm="1">
        <f t="array" ref="H22">IF(G22="Khách hàng",TRANSPOSE(_xlfn._xlws.SORT(Table_KhachHang[Mã KH])),
TRANSPOSE(_xlfn._xlws.SORT(_xlfn._xlws.FILTER(Table_NhaCungCap[Mã Đối tác],Table_NhaCungCap[Loại đối tác]=Sheet_ThuChiKD!G22,""))))</f>
        <v/>
      </c>
      <c r="I22" s="272"/>
      <c r="J22" s="272"/>
      <c r="K22" s="278"/>
      <c r="L22" s="278"/>
      <c r="M22" s="278"/>
      <c r="N22" s="272"/>
      <c r="O22" s="272"/>
      <c r="P22" s="272"/>
    </row>
    <row r="23" spans="1:16" s="112" customFormat="1" ht="18" hidden="1" customHeight="1" outlineLevel="1" x14ac:dyDescent="0.15">
      <c r="A23" s="277"/>
      <c r="B23" s="278"/>
      <c r="C23" s="278"/>
      <c r="D23" s="272"/>
      <c r="E23" s="272"/>
      <c r="F23" s="272"/>
      <c r="G23" s="112" t="str">
        <f>Sheet_DoiTac!D11</f>
        <v>Marketing - Thương mại</v>
      </c>
      <c r="H23" s="175" t="str" cm="1">
        <f t="array" ref="H23">IF(G23="Khách hàng",TRANSPOSE(_xlfn._xlws.SORT(Table_KhachHang[Mã KH])),
TRANSPOSE(_xlfn._xlws.SORT(_xlfn._xlws.FILTER(Table_NhaCungCap[Mã Đối tác],Table_NhaCungCap[Loại đối tác]=Sheet_ThuChiKD!G23,""))))</f>
        <v/>
      </c>
      <c r="I23" s="272"/>
      <c r="J23" s="272"/>
      <c r="K23" s="278"/>
      <c r="L23" s="278"/>
      <c r="M23" s="278"/>
      <c r="N23" s="272"/>
      <c r="O23" s="272"/>
      <c r="P23" s="272"/>
    </row>
    <row r="24" spans="1:16" s="112" customFormat="1" ht="18" hidden="1" customHeight="1" outlineLevel="1" x14ac:dyDescent="0.15">
      <c r="A24" s="277"/>
      <c r="B24" s="278"/>
      <c r="C24" s="278"/>
      <c r="D24" s="272"/>
      <c r="E24" s="272"/>
      <c r="F24" s="272"/>
      <c r="G24" s="112" t="str">
        <f>Sheet_DoiTac!D12</f>
        <v>Dịch vụ quản lý</v>
      </c>
      <c r="H24" s="175" t="str" cm="1">
        <f t="array" ref="H24">IF(G24="Khách hàng",TRANSPOSE(_xlfn._xlws.SORT(Table_KhachHang[Mã KH])),
TRANSPOSE(_xlfn._xlws.SORT(_xlfn._xlws.FILTER(Table_NhaCungCap[Mã Đối tác],Table_NhaCungCap[Loại đối tác]=Sheet_ThuChiKD!G24,""))))</f>
        <v/>
      </c>
      <c r="I24" s="272"/>
      <c r="J24" s="272"/>
      <c r="K24" s="278"/>
      <c r="L24" s="278"/>
      <c r="M24" s="278"/>
      <c r="N24" s="272"/>
      <c r="O24" s="272"/>
      <c r="P24" s="272"/>
    </row>
    <row r="25" spans="1:16" s="112" customFormat="1" ht="18" hidden="1" customHeight="1" outlineLevel="1" x14ac:dyDescent="0.15">
      <c r="A25" s="277"/>
      <c r="B25" s="278"/>
      <c r="C25" s="278"/>
      <c r="D25" s="272"/>
      <c r="E25" s="272"/>
      <c r="F25" s="272"/>
      <c r="G25" s="112" t="s">
        <v>776</v>
      </c>
      <c r="H25" s="175" t="str" cm="1">
        <f t="array" ref="H25">IF(G25="Khách hàng",TRANSPOSE(_xlfn._xlws.SORT(Table_KhachHang[Mã KH])),
TRANSPOSE(_xlfn._xlws.SORT(_xlfn._xlws.FILTER(Table_NhaCungCap[Mã Đối tác],Table_NhaCungCap[Loại đối tác]=Sheet_ThuChiKD!G25,""))))</f>
        <v/>
      </c>
      <c r="I25" s="272"/>
      <c r="J25" s="272"/>
      <c r="K25" s="278"/>
      <c r="L25" s="278"/>
      <c r="M25" s="278"/>
      <c r="N25" s="272"/>
      <c r="O25" s="272"/>
      <c r="P25" s="272"/>
    </row>
    <row r="26" spans="1:16" s="112" customFormat="1" ht="18" hidden="1" customHeight="1" outlineLevel="1" x14ac:dyDescent="0.15">
      <c r="A26" s="277"/>
      <c r="B26" s="278"/>
      <c r="C26" s="278"/>
      <c r="D26" s="272"/>
      <c r="E26" s="272"/>
      <c r="F26" s="272"/>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2"/>
      <c r="J26" s="272"/>
      <c r="K26" s="278"/>
      <c r="L26" s="278"/>
      <c r="M26" s="278"/>
      <c r="N26" s="272"/>
      <c r="O26" s="272"/>
      <c r="P26" s="272"/>
    </row>
    <row r="27" spans="1:16" ht="18" customHeight="1" collapsed="1" x14ac:dyDescent="0.3">
      <c r="A27" s="276"/>
      <c r="B27" s="250">
        <v>1</v>
      </c>
      <c r="C27" s="51" t="str">
        <f>CONCATENATE(E27,"-",H27,"-",MOD(YEAR(D27),100)*10000+MONTH(D27)*100+DAY(D27),"-",B27)</f>
        <v>--100-1</v>
      </c>
      <c r="D27" s="396"/>
      <c r="E27" s="245"/>
      <c r="F27" s="245"/>
      <c r="G27" s="245"/>
      <c r="H27" s="245"/>
      <c r="I27" s="245"/>
      <c r="J27" s="394"/>
      <c r="K27" s="55">
        <f>IF(E27 = "THU",
VLOOKUP(I27,Table_TaiKhoan[[#All],[Mã Tài khoản]:[Phí Thanh toán]],Sheet_TaiKhoan!$E$3-Sheet_TaiKhoan!$B$3+1,0),
0)</f>
        <v>0</v>
      </c>
      <c r="L27" s="48">
        <f>J27*K27</f>
        <v>0</v>
      </c>
      <c r="M27" s="48">
        <f>J27-L27</f>
        <v>0</v>
      </c>
      <c r="N27" s="247"/>
      <c r="O27" s="242"/>
      <c r="P27" s="242"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6"/>
      <c r="B28" s="39" t="s">
        <v>643</v>
      </c>
      <c r="C28" s="46" t="s">
        <v>777</v>
      </c>
      <c r="D28" s="46" t="s">
        <v>778</v>
      </c>
      <c r="E28" s="46" t="s">
        <v>779</v>
      </c>
      <c r="F28" s="46" t="s">
        <v>775</v>
      </c>
      <c r="G28" s="46" t="s">
        <v>561</v>
      </c>
      <c r="H28" s="46" t="s">
        <v>556</v>
      </c>
      <c r="I28" s="46" t="s">
        <v>780</v>
      </c>
      <c r="J28" s="46" t="s">
        <v>781</v>
      </c>
      <c r="K28" s="46" t="s">
        <v>782</v>
      </c>
      <c r="L28" s="46" t="s">
        <v>783</v>
      </c>
      <c r="M28" s="46" t="s">
        <v>784</v>
      </c>
      <c r="N28" s="7" t="s">
        <v>883</v>
      </c>
      <c r="O28" s="242"/>
      <c r="P28" s="242"/>
    </row>
    <row r="29" spans="1:16" ht="18" customHeight="1" x14ac:dyDescent="0.3">
      <c r="A29" s="276"/>
      <c r="B29" s="546"/>
      <c r="C29" s="51" t="str">
        <f t="shared" ref="C29:C46" si="1">CONCATENATE(E29,"-",H29,"-",MOD(YEAR(D29),100)*10000+MONTH(D29)*100+DAY(D29),"-",B29)</f>
        <v>CHI-NCC1-250331-</v>
      </c>
      <c r="D29" s="395">
        <v>45747</v>
      </c>
      <c r="E29" s="245" t="s">
        <v>1237</v>
      </c>
      <c r="F29" s="245" t="s">
        <v>409</v>
      </c>
      <c r="G29" s="245"/>
      <c r="H29" s="245" t="s">
        <v>1168</v>
      </c>
      <c r="I29" s="245" t="s">
        <v>1236</v>
      </c>
      <c r="J29" s="408">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7"/>
      <c r="O29" s="242"/>
      <c r="P29" s="242"/>
    </row>
    <row r="30" spans="1:16" ht="18" customHeight="1" x14ac:dyDescent="0.3">
      <c r="B30" s="546"/>
      <c r="C30" s="51" t="str">
        <f t="shared" si="1"/>
        <v>CHI-NCC2-250331-</v>
      </c>
      <c r="D30" s="395">
        <v>45747</v>
      </c>
      <c r="E30" s="245" t="s">
        <v>1237</v>
      </c>
      <c r="F30" s="245" t="s">
        <v>409</v>
      </c>
      <c r="G30" s="245"/>
      <c r="H30" s="245" t="s">
        <v>1169</v>
      </c>
      <c r="I30" s="245" t="s">
        <v>1236</v>
      </c>
      <c r="J30" s="408">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7"/>
    </row>
    <row r="31" spans="1:16" ht="18" customHeight="1" x14ac:dyDescent="0.3">
      <c r="B31" s="546"/>
      <c r="C31" s="51" t="str">
        <f t="shared" si="1"/>
        <v>CHI-NCC3-250331-</v>
      </c>
      <c r="D31" s="395">
        <v>45747</v>
      </c>
      <c r="E31" s="245" t="s">
        <v>1237</v>
      </c>
      <c r="F31" s="245" t="s">
        <v>409</v>
      </c>
      <c r="G31" s="245"/>
      <c r="H31" s="245" t="s">
        <v>1170</v>
      </c>
      <c r="I31" s="245" t="s">
        <v>1236</v>
      </c>
      <c r="J31" s="408">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7"/>
    </row>
    <row r="32" spans="1:16" ht="18" customHeight="1" x14ac:dyDescent="0.3">
      <c r="B32" s="546"/>
      <c r="C32" s="51" t="str">
        <f t="shared" si="1"/>
        <v>CHI-NCC1-250430-</v>
      </c>
      <c r="D32" s="395">
        <v>45777</v>
      </c>
      <c r="E32" s="245" t="s">
        <v>1237</v>
      </c>
      <c r="F32" s="245" t="s">
        <v>409</v>
      </c>
      <c r="G32" s="245"/>
      <c r="H32" s="245" t="s">
        <v>1168</v>
      </c>
      <c r="I32" s="245" t="s">
        <v>1236</v>
      </c>
      <c r="J32" s="408">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7"/>
    </row>
    <row r="33" spans="2:14" ht="18" customHeight="1" x14ac:dyDescent="0.3">
      <c r="B33" s="546"/>
      <c r="C33" s="51" t="str">
        <f t="shared" si="1"/>
        <v>CHI-NCC2-250430-</v>
      </c>
      <c r="D33" s="395">
        <v>45777</v>
      </c>
      <c r="E33" s="245" t="s">
        <v>1237</v>
      </c>
      <c r="F33" s="245" t="s">
        <v>409</v>
      </c>
      <c r="G33" s="245"/>
      <c r="H33" s="245" t="s">
        <v>1169</v>
      </c>
      <c r="I33" s="245" t="s">
        <v>1236</v>
      </c>
      <c r="J33" s="408">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7"/>
    </row>
    <row r="34" spans="2:14" ht="18" customHeight="1" x14ac:dyDescent="0.3">
      <c r="B34" s="546"/>
      <c r="C34" s="51" t="str">
        <f t="shared" si="1"/>
        <v>CHI-NCC3-250430-</v>
      </c>
      <c r="D34" s="395">
        <v>45777</v>
      </c>
      <c r="E34" s="245" t="s">
        <v>1237</v>
      </c>
      <c r="F34" s="245" t="s">
        <v>409</v>
      </c>
      <c r="G34" s="245"/>
      <c r="H34" s="245" t="s">
        <v>1170</v>
      </c>
      <c r="I34" s="245" t="s">
        <v>1236</v>
      </c>
      <c r="J34" s="408">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7"/>
    </row>
    <row r="35" spans="2:14" ht="18" customHeight="1" x14ac:dyDescent="0.3">
      <c r="B35" s="546"/>
      <c r="C35" s="51" t="str">
        <f t="shared" si="1"/>
        <v>CHI-NCC1-250531-</v>
      </c>
      <c r="D35" s="395">
        <v>45808</v>
      </c>
      <c r="E35" s="245" t="s">
        <v>1237</v>
      </c>
      <c r="F35" s="245" t="s">
        <v>409</v>
      </c>
      <c r="G35" s="245"/>
      <c r="H35" s="245" t="s">
        <v>1168</v>
      </c>
      <c r="I35" s="245" t="s">
        <v>1236</v>
      </c>
      <c r="J35" s="408">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7"/>
    </row>
    <row r="36" spans="2:14" ht="18" customHeight="1" x14ac:dyDescent="0.3">
      <c r="B36" s="546"/>
      <c r="C36" s="51" t="str">
        <f t="shared" si="1"/>
        <v>CHI-NCC2-250531-</v>
      </c>
      <c r="D36" s="395">
        <v>45808</v>
      </c>
      <c r="E36" s="245" t="s">
        <v>1237</v>
      </c>
      <c r="F36" s="245" t="s">
        <v>409</v>
      </c>
      <c r="G36" s="245"/>
      <c r="H36" s="245" t="s">
        <v>1169</v>
      </c>
      <c r="I36" s="245" t="s">
        <v>1236</v>
      </c>
      <c r="J36" s="408">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7"/>
    </row>
    <row r="37" spans="2:14" ht="18" customHeight="1" x14ac:dyDescent="0.3">
      <c r="B37" s="546"/>
      <c r="C37" s="51" t="str">
        <f t="shared" si="1"/>
        <v>CHI-NCC3-250531-</v>
      </c>
      <c r="D37" s="395">
        <v>45808</v>
      </c>
      <c r="E37" s="245" t="s">
        <v>1237</v>
      </c>
      <c r="F37" s="245" t="s">
        <v>409</v>
      </c>
      <c r="G37" s="245"/>
      <c r="H37" s="245" t="s">
        <v>1170</v>
      </c>
      <c r="I37" s="245" t="s">
        <v>1236</v>
      </c>
      <c r="J37" s="408">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7"/>
    </row>
    <row r="38" spans="2:14" ht="18" customHeight="1" x14ac:dyDescent="0.3">
      <c r="B38" s="546"/>
      <c r="C38" s="51" t="str">
        <f t="shared" si="1"/>
        <v>THU-KH1-250331-</v>
      </c>
      <c r="D38" s="395">
        <v>45747</v>
      </c>
      <c r="E38" s="245" t="s">
        <v>1235</v>
      </c>
      <c r="F38" s="245" t="s">
        <v>407</v>
      </c>
      <c r="G38" s="245"/>
      <c r="H38" s="245" t="s">
        <v>1205</v>
      </c>
      <c r="I38" s="245" t="s">
        <v>1236</v>
      </c>
      <c r="J38" s="408">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7"/>
    </row>
    <row r="39" spans="2:14" ht="18" customHeight="1" x14ac:dyDescent="0.3">
      <c r="B39" s="546"/>
      <c r="C39" s="51" t="str">
        <f t="shared" si="1"/>
        <v>THU-KH2-250331-</v>
      </c>
      <c r="D39" s="395">
        <v>45747</v>
      </c>
      <c r="E39" s="245" t="s">
        <v>1235</v>
      </c>
      <c r="F39" s="245" t="s">
        <v>407</v>
      </c>
      <c r="G39" s="245"/>
      <c r="H39" s="245" t="s">
        <v>1206</v>
      </c>
      <c r="I39" s="245" t="s">
        <v>1236</v>
      </c>
      <c r="J39" s="408">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7"/>
    </row>
    <row r="40" spans="2:14" ht="18" customHeight="1" x14ac:dyDescent="0.3">
      <c r="B40" s="546"/>
      <c r="C40" s="51" t="str">
        <f t="shared" si="1"/>
        <v>THU-KH3-250331-</v>
      </c>
      <c r="D40" s="395">
        <v>45747</v>
      </c>
      <c r="E40" s="245" t="s">
        <v>1235</v>
      </c>
      <c r="F40" s="245" t="s">
        <v>407</v>
      </c>
      <c r="G40" s="245"/>
      <c r="H40" s="245" t="s">
        <v>1207</v>
      </c>
      <c r="I40" s="245" t="s">
        <v>1236</v>
      </c>
      <c r="J40" s="408">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7"/>
    </row>
    <row r="41" spans="2:14" ht="18" customHeight="1" x14ac:dyDescent="0.3">
      <c r="B41" s="546"/>
      <c r="C41" s="51" t="str">
        <f t="shared" si="1"/>
        <v>THU-KH1-250430-</v>
      </c>
      <c r="D41" s="395">
        <v>45777</v>
      </c>
      <c r="E41" s="245" t="s">
        <v>1235</v>
      </c>
      <c r="F41" s="245" t="s">
        <v>407</v>
      </c>
      <c r="G41" s="245"/>
      <c r="H41" s="245" t="s">
        <v>1205</v>
      </c>
      <c r="I41" s="245" t="s">
        <v>1236</v>
      </c>
      <c r="J41" s="408">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7"/>
    </row>
    <row r="42" spans="2:14" ht="18" customHeight="1" x14ac:dyDescent="0.3">
      <c r="B42" s="546"/>
      <c r="C42" s="51" t="str">
        <f t="shared" si="1"/>
        <v>THU-KH2-250430-</v>
      </c>
      <c r="D42" s="395">
        <v>45777</v>
      </c>
      <c r="E42" s="245" t="s">
        <v>1235</v>
      </c>
      <c r="F42" s="245" t="s">
        <v>407</v>
      </c>
      <c r="G42" s="245"/>
      <c r="H42" s="245" t="s">
        <v>1206</v>
      </c>
      <c r="I42" s="245" t="s">
        <v>1236</v>
      </c>
      <c r="J42" s="408">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7"/>
    </row>
    <row r="43" spans="2:14" ht="18" customHeight="1" x14ac:dyDescent="0.3">
      <c r="B43" s="546"/>
      <c r="C43" s="51" t="str">
        <f t="shared" si="1"/>
        <v>THU-KH3-250430-</v>
      </c>
      <c r="D43" s="395">
        <v>45777</v>
      </c>
      <c r="E43" s="245" t="s">
        <v>1235</v>
      </c>
      <c r="F43" s="245" t="s">
        <v>407</v>
      </c>
      <c r="G43" s="245"/>
      <c r="H43" s="245" t="s">
        <v>1207</v>
      </c>
      <c r="I43" s="245" t="s">
        <v>1236</v>
      </c>
      <c r="J43" s="408">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7"/>
    </row>
    <row r="44" spans="2:14" ht="18" customHeight="1" x14ac:dyDescent="0.3">
      <c r="B44" s="546"/>
      <c r="C44" s="51" t="str">
        <f t="shared" si="1"/>
        <v>THU-KH1-250531-</v>
      </c>
      <c r="D44" s="395">
        <v>45808</v>
      </c>
      <c r="E44" s="245" t="s">
        <v>1235</v>
      </c>
      <c r="F44" s="245" t="s">
        <v>407</v>
      </c>
      <c r="G44" s="245"/>
      <c r="H44" s="245" t="s">
        <v>1205</v>
      </c>
      <c r="I44" s="245" t="s">
        <v>1236</v>
      </c>
      <c r="J44" s="408">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7"/>
    </row>
    <row r="45" spans="2:14" ht="18" customHeight="1" x14ac:dyDescent="0.3">
      <c r="B45" s="546"/>
      <c r="C45" s="51" t="str">
        <f t="shared" si="1"/>
        <v>THU-KH2-250531-</v>
      </c>
      <c r="D45" s="395">
        <v>45808</v>
      </c>
      <c r="E45" s="245" t="s">
        <v>1235</v>
      </c>
      <c r="F45" s="245" t="s">
        <v>407</v>
      </c>
      <c r="G45" s="245"/>
      <c r="H45" s="245" t="s">
        <v>1206</v>
      </c>
      <c r="I45" s="245" t="s">
        <v>1236</v>
      </c>
      <c r="J45" s="408">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7"/>
    </row>
    <row r="46" spans="2:14" ht="18" customHeight="1" x14ac:dyDescent="0.3">
      <c r="B46" s="250">
        <v>1</v>
      </c>
      <c r="C46" s="51" t="str">
        <f t="shared" si="1"/>
        <v>THU-KH3-250531-1</v>
      </c>
      <c r="D46" s="395">
        <v>45808</v>
      </c>
      <c r="E46" s="245" t="s">
        <v>1235</v>
      </c>
      <c r="F46" s="245" t="s">
        <v>407</v>
      </c>
      <c r="G46" s="245"/>
      <c r="H46" s="245" t="s">
        <v>1207</v>
      </c>
      <c r="I46" s="245" t="s">
        <v>1236</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7"/>
    </row>
    <row r="47" spans="2:14" ht="18" customHeight="1" x14ac:dyDescent="0.15">
      <c r="B47" s="248"/>
      <c r="C47" s="248"/>
      <c r="D47" s="242"/>
      <c r="E47" s="242"/>
      <c r="F47" s="242"/>
      <c r="G47" s="242"/>
      <c r="H47" s="265"/>
      <c r="I47" s="242"/>
      <c r="J47" s="242"/>
      <c r="K47" s="248"/>
      <c r="L47" s="248"/>
      <c r="M47" s="248"/>
      <c r="N47" s="242"/>
    </row>
    <row r="48" spans="2:14" ht="18" customHeight="1" x14ac:dyDescent="0.15">
      <c r="B48" s="248"/>
      <c r="C48" s="248"/>
      <c r="D48" s="242"/>
      <c r="E48" s="242"/>
      <c r="F48" s="242"/>
      <c r="G48" s="242"/>
      <c r="H48" s="265"/>
      <c r="I48" s="242"/>
      <c r="J48" s="242"/>
      <c r="K48" s="248"/>
      <c r="L48" s="248"/>
      <c r="M48" s="248"/>
      <c r="N48" s="242"/>
    </row>
    <row r="49" spans="2:14" ht="18" customHeight="1" x14ac:dyDescent="0.15">
      <c r="B49" s="248"/>
      <c r="C49" s="248"/>
      <c r="D49" s="242"/>
      <c r="E49" s="242"/>
      <c r="F49" s="242"/>
      <c r="G49" s="242"/>
      <c r="H49" s="265"/>
      <c r="I49" s="242"/>
      <c r="J49" s="242"/>
      <c r="K49" s="248"/>
      <c r="L49" s="248"/>
      <c r="M49" s="248"/>
      <c r="N49" s="242"/>
    </row>
    <row r="50" spans="2:14" ht="18" customHeight="1" x14ac:dyDescent="0.15">
      <c r="B50" s="248"/>
      <c r="C50" s="248"/>
      <c r="D50" s="242"/>
      <c r="E50" s="242"/>
      <c r="F50" s="242"/>
      <c r="G50" s="242"/>
      <c r="H50" s="265"/>
      <c r="I50" s="242"/>
      <c r="J50" s="242"/>
      <c r="K50" s="248"/>
      <c r="L50" s="248"/>
      <c r="M50" s="248"/>
      <c r="N50" s="242"/>
    </row>
    <row r="51" spans="2:14" ht="18" customHeight="1" x14ac:dyDescent="0.15">
      <c r="B51" s="248"/>
      <c r="C51" s="248"/>
      <c r="D51" s="242"/>
      <c r="E51" s="242"/>
      <c r="F51" s="242"/>
      <c r="G51" s="242"/>
      <c r="H51" s="265"/>
      <c r="I51" s="242"/>
      <c r="J51" s="242"/>
      <c r="K51" s="248"/>
      <c r="L51" s="248"/>
      <c r="M51" s="248"/>
      <c r="N51" s="242"/>
    </row>
    <row r="52" spans="2:14" ht="18" customHeight="1" x14ac:dyDescent="0.15">
      <c r="B52" s="248"/>
      <c r="C52" s="248"/>
      <c r="D52" s="242"/>
      <c r="E52" s="242"/>
      <c r="F52" s="242"/>
      <c r="G52" s="242"/>
      <c r="H52" s="265"/>
      <c r="I52" s="242"/>
      <c r="J52" s="242"/>
      <c r="K52" s="248"/>
      <c r="L52" s="248"/>
      <c r="M52" s="248"/>
      <c r="N52" s="242"/>
    </row>
    <row r="53" spans="2:14" ht="18" customHeight="1" x14ac:dyDescent="0.15">
      <c r="B53" s="248"/>
      <c r="C53" s="248"/>
      <c r="D53" s="242"/>
      <c r="E53" s="242"/>
      <c r="F53" s="242"/>
      <c r="G53" s="242"/>
      <c r="H53" s="265"/>
      <c r="I53" s="242"/>
      <c r="J53" s="242"/>
      <c r="K53" s="248"/>
      <c r="L53" s="248"/>
      <c r="M53" s="248"/>
      <c r="N53" s="242"/>
    </row>
    <row r="54" spans="2:14" ht="18" customHeight="1" x14ac:dyDescent="0.15">
      <c r="B54" s="248"/>
      <c r="C54" s="248"/>
      <c r="D54" s="242"/>
      <c r="E54" s="242"/>
      <c r="F54" s="242"/>
      <c r="G54" s="242"/>
      <c r="H54" s="265"/>
      <c r="I54" s="242"/>
      <c r="J54" s="242"/>
      <c r="K54" s="248"/>
      <c r="L54" s="248"/>
      <c r="M54" s="248"/>
      <c r="N54" s="242"/>
    </row>
    <row r="55" spans="2:14" ht="18" customHeight="1" x14ac:dyDescent="0.15">
      <c r="B55" s="248"/>
      <c r="C55" s="248"/>
      <c r="D55" s="242"/>
      <c r="E55" s="242"/>
      <c r="F55" s="242"/>
      <c r="G55" s="242"/>
      <c r="H55" s="265"/>
      <c r="I55" s="242"/>
      <c r="J55" s="242"/>
      <c r="K55" s="248"/>
      <c r="L55" s="248"/>
      <c r="M55" s="248"/>
      <c r="N55" s="242"/>
    </row>
    <row r="56" spans="2:14" ht="18" customHeight="1" x14ac:dyDescent="0.15">
      <c r="B56" s="248"/>
      <c r="C56" s="248"/>
      <c r="D56" s="242"/>
      <c r="E56" s="242"/>
      <c r="F56" s="242"/>
      <c r="G56" s="242"/>
      <c r="H56" s="265"/>
      <c r="I56" s="242"/>
      <c r="J56" s="242"/>
      <c r="K56" s="248"/>
      <c r="L56" s="248"/>
      <c r="M56" s="248"/>
      <c r="N56" s="242"/>
    </row>
    <row r="57" spans="2:14" ht="18" customHeight="1" x14ac:dyDescent="0.15">
      <c r="B57" s="248"/>
      <c r="C57" s="248"/>
      <c r="D57" s="242"/>
      <c r="E57" s="242"/>
      <c r="F57" s="242"/>
      <c r="G57" s="242"/>
      <c r="H57" s="265"/>
      <c r="I57" s="242"/>
      <c r="J57" s="242"/>
      <c r="K57" s="248"/>
      <c r="L57" s="248"/>
      <c r="M57" s="248"/>
      <c r="N57" s="242"/>
    </row>
    <row r="58" spans="2:14" ht="18" customHeight="1" x14ac:dyDescent="0.15">
      <c r="B58" s="248"/>
      <c r="C58" s="248"/>
      <c r="D58" s="242"/>
      <c r="E58" s="242"/>
      <c r="F58" s="242"/>
      <c r="G58" s="242"/>
      <c r="H58" s="265"/>
      <c r="I58" s="242"/>
      <c r="J58" s="242"/>
      <c r="K58" s="248"/>
      <c r="L58" s="248"/>
      <c r="M58" s="248"/>
      <c r="N58" s="242"/>
    </row>
    <row r="59" spans="2:14" ht="18" customHeight="1" x14ac:dyDescent="0.15">
      <c r="B59" s="248"/>
      <c r="C59" s="248"/>
      <c r="D59" s="242"/>
      <c r="E59" s="242"/>
      <c r="F59" s="242"/>
      <c r="G59" s="242"/>
      <c r="H59" s="265"/>
      <c r="I59" s="242"/>
      <c r="J59" s="242"/>
      <c r="K59" s="248"/>
      <c r="L59" s="248"/>
      <c r="M59" s="248"/>
      <c r="N59" s="242"/>
    </row>
    <row r="60" spans="2:14" ht="18" customHeight="1" x14ac:dyDescent="0.15">
      <c r="B60" s="248"/>
      <c r="C60" s="248"/>
      <c r="D60" s="242"/>
      <c r="E60" s="242"/>
      <c r="F60" s="242"/>
      <c r="G60" s="242"/>
      <c r="H60" s="265"/>
      <c r="I60" s="242"/>
      <c r="J60" s="242"/>
      <c r="K60" s="248"/>
      <c r="L60" s="248"/>
      <c r="M60" s="248"/>
      <c r="N60" s="242"/>
    </row>
    <row r="61" spans="2:14" ht="18" customHeight="1" x14ac:dyDescent="0.15">
      <c r="B61" s="248"/>
      <c r="C61" s="248"/>
      <c r="D61" s="242"/>
      <c r="E61" s="242"/>
      <c r="F61" s="242"/>
      <c r="G61" s="242"/>
      <c r="H61" s="265"/>
      <c r="I61" s="242"/>
      <c r="J61" s="242"/>
      <c r="K61" s="248"/>
      <c r="L61" s="248"/>
      <c r="M61" s="248"/>
      <c r="N61" s="242"/>
    </row>
    <row r="62" spans="2:14" ht="18" customHeight="1" x14ac:dyDescent="0.15">
      <c r="B62" s="248"/>
      <c r="C62" s="248"/>
      <c r="D62" s="242"/>
      <c r="E62" s="242"/>
      <c r="F62" s="242"/>
      <c r="G62" s="242"/>
      <c r="H62" s="265"/>
      <c r="I62" s="242"/>
      <c r="J62" s="242"/>
      <c r="K62" s="248"/>
      <c r="L62" s="248"/>
      <c r="M62" s="248"/>
      <c r="N62" s="242"/>
    </row>
    <row r="63" spans="2:14" ht="18" customHeight="1" x14ac:dyDescent="0.15">
      <c r="B63" s="248"/>
      <c r="C63" s="248"/>
      <c r="D63" s="242"/>
      <c r="E63" s="242"/>
      <c r="F63" s="242"/>
      <c r="G63" s="242"/>
      <c r="H63" s="265"/>
      <c r="I63" s="242"/>
      <c r="J63" s="242"/>
      <c r="K63" s="248"/>
      <c r="L63" s="248"/>
      <c r="M63" s="248"/>
      <c r="N63" s="242"/>
    </row>
    <row r="64" spans="2:14" ht="18" customHeight="1" x14ac:dyDescent="0.15">
      <c r="B64" s="248"/>
      <c r="C64" s="248"/>
      <c r="D64" s="242"/>
      <c r="E64" s="242"/>
      <c r="F64" s="242"/>
      <c r="G64" s="242"/>
      <c r="H64" s="265"/>
      <c r="I64" s="242"/>
      <c r="J64" s="242"/>
      <c r="K64" s="248"/>
      <c r="L64" s="248"/>
      <c r="M64" s="248"/>
      <c r="N64" s="242"/>
    </row>
    <row r="65" spans="2:14" ht="18" customHeight="1" x14ac:dyDescent="0.15">
      <c r="B65" s="248"/>
      <c r="C65" s="248"/>
      <c r="D65" s="242"/>
      <c r="E65" s="242"/>
      <c r="F65" s="242"/>
      <c r="G65" s="242"/>
      <c r="H65" s="265"/>
      <c r="I65" s="242"/>
      <c r="J65" s="242"/>
      <c r="K65" s="248"/>
      <c r="L65" s="248"/>
      <c r="M65" s="248"/>
      <c r="N65" s="242"/>
    </row>
    <row r="66" spans="2:14" ht="18" customHeight="1" x14ac:dyDescent="0.15">
      <c r="B66" s="248"/>
      <c r="C66" s="248"/>
      <c r="D66" s="242"/>
      <c r="E66" s="242"/>
      <c r="F66" s="242"/>
      <c r="G66" s="242"/>
      <c r="H66" s="265"/>
      <c r="I66" s="242"/>
      <c r="J66" s="242"/>
      <c r="K66" s="248"/>
      <c r="L66" s="248"/>
      <c r="M66" s="248"/>
      <c r="N66" s="242"/>
    </row>
    <row r="67" spans="2:14" ht="18" customHeight="1" x14ac:dyDescent="0.15">
      <c r="B67" s="248"/>
      <c r="C67" s="248"/>
      <c r="D67" s="242"/>
      <c r="E67" s="242"/>
      <c r="F67" s="242"/>
      <c r="G67" s="242"/>
      <c r="H67" s="265"/>
      <c r="I67" s="242"/>
      <c r="J67" s="242"/>
      <c r="K67" s="248"/>
      <c r="L67" s="248"/>
      <c r="M67" s="248"/>
      <c r="N67" s="242"/>
    </row>
    <row r="68" spans="2:14" ht="18" customHeight="1" x14ac:dyDescent="0.15">
      <c r="B68" s="248"/>
      <c r="C68" s="248"/>
      <c r="D68" s="242"/>
      <c r="E68" s="242"/>
      <c r="F68" s="242"/>
      <c r="G68" s="242"/>
      <c r="H68" s="265"/>
      <c r="I68" s="242"/>
      <c r="J68" s="242"/>
      <c r="K68" s="248"/>
      <c r="L68" s="248"/>
      <c r="M68" s="248"/>
      <c r="N68" s="242"/>
    </row>
    <row r="69" spans="2:14" ht="18" customHeight="1" x14ac:dyDescent="0.15">
      <c r="B69" s="248"/>
      <c r="C69" s="248"/>
      <c r="D69" s="242"/>
      <c r="E69" s="242"/>
      <c r="F69" s="242"/>
      <c r="G69" s="242"/>
      <c r="H69" s="265"/>
      <c r="I69" s="242"/>
      <c r="J69" s="242"/>
      <c r="K69" s="248"/>
      <c r="L69" s="248"/>
      <c r="M69" s="248"/>
      <c r="N69" s="242"/>
    </row>
    <row r="70" spans="2:14" ht="18" customHeight="1" x14ac:dyDescent="0.15">
      <c r="B70" s="248"/>
      <c r="C70" s="248"/>
      <c r="D70" s="242"/>
      <c r="E70" s="242"/>
      <c r="F70" s="242"/>
      <c r="G70" s="242"/>
      <c r="H70" s="265"/>
      <c r="I70" s="242"/>
      <c r="J70" s="242"/>
      <c r="K70" s="248"/>
      <c r="L70" s="248"/>
      <c r="M70" s="248"/>
      <c r="N70" s="242"/>
    </row>
    <row r="71" spans="2:14" ht="18" customHeight="1" x14ac:dyDescent="0.15">
      <c r="B71" s="248"/>
      <c r="C71" s="248"/>
      <c r="D71" s="242"/>
      <c r="E71" s="242"/>
      <c r="F71" s="242"/>
      <c r="G71" s="242"/>
      <c r="H71" s="265"/>
      <c r="I71" s="242"/>
      <c r="J71" s="242"/>
      <c r="K71" s="248"/>
      <c r="L71" s="248"/>
      <c r="M71" s="248"/>
      <c r="N71" s="242"/>
    </row>
    <row r="72" spans="2:14" ht="18" customHeight="1" x14ac:dyDescent="0.15">
      <c r="B72" s="248"/>
      <c r="C72" s="248"/>
      <c r="D72" s="242"/>
      <c r="E72" s="242"/>
      <c r="F72" s="242"/>
      <c r="G72" s="242"/>
      <c r="H72" s="265"/>
      <c r="I72" s="242"/>
      <c r="J72" s="242"/>
      <c r="K72" s="248"/>
      <c r="L72" s="248"/>
      <c r="M72" s="248"/>
      <c r="N72" s="242"/>
    </row>
    <row r="73" spans="2:14" ht="18" customHeight="1" x14ac:dyDescent="0.15">
      <c r="B73" s="248"/>
      <c r="C73" s="248"/>
      <c r="D73" s="242"/>
      <c r="E73" s="242"/>
      <c r="F73" s="242"/>
      <c r="G73" s="242"/>
      <c r="H73" s="265"/>
      <c r="I73" s="242"/>
      <c r="J73" s="242"/>
      <c r="K73" s="248"/>
      <c r="L73" s="248"/>
      <c r="M73" s="248"/>
      <c r="N73" s="242"/>
    </row>
    <row r="74" spans="2:14" ht="18" customHeight="1" x14ac:dyDescent="0.15">
      <c r="B74" s="248"/>
      <c r="C74" s="248"/>
      <c r="D74" s="242"/>
      <c r="E74" s="242"/>
      <c r="F74" s="242"/>
      <c r="G74" s="242"/>
      <c r="H74" s="265"/>
      <c r="I74" s="242"/>
      <c r="J74" s="242"/>
      <c r="K74" s="248"/>
      <c r="L74" s="248"/>
      <c r="M74" s="248"/>
      <c r="N74" s="242"/>
    </row>
    <row r="75" spans="2:14" ht="18" customHeight="1" x14ac:dyDescent="0.15">
      <c r="B75" s="248"/>
      <c r="C75" s="248"/>
      <c r="D75" s="242"/>
      <c r="E75" s="242"/>
      <c r="F75" s="242"/>
      <c r="G75" s="242"/>
      <c r="H75" s="265"/>
      <c r="I75" s="242"/>
      <c r="J75" s="242"/>
      <c r="K75" s="248"/>
      <c r="L75" s="248"/>
      <c r="M75" s="248"/>
      <c r="N75" s="242"/>
    </row>
    <row r="76" spans="2:14" ht="18" customHeight="1" x14ac:dyDescent="0.15">
      <c r="B76" s="248"/>
      <c r="C76" s="248"/>
      <c r="D76" s="242"/>
      <c r="E76" s="242"/>
      <c r="F76" s="242"/>
      <c r="G76" s="242"/>
      <c r="H76" s="265"/>
      <c r="I76" s="242"/>
      <c r="J76" s="242"/>
      <c r="K76" s="248"/>
      <c r="L76" s="248"/>
      <c r="M76" s="248"/>
      <c r="N76" s="242"/>
    </row>
    <row r="77" spans="2:14" ht="18" customHeight="1" x14ac:dyDescent="0.15">
      <c r="B77" s="248"/>
      <c r="C77" s="248"/>
      <c r="D77" s="242"/>
      <c r="E77" s="242"/>
      <c r="F77" s="242"/>
      <c r="G77" s="242"/>
      <c r="H77" s="265"/>
      <c r="I77" s="242"/>
      <c r="J77" s="242"/>
      <c r="K77" s="248"/>
      <c r="L77" s="248"/>
      <c r="M77" s="248"/>
      <c r="N77" s="242"/>
    </row>
    <row r="78" spans="2:14" ht="18" customHeight="1" x14ac:dyDescent="0.15">
      <c r="B78" s="248"/>
      <c r="C78" s="248"/>
      <c r="D78" s="242"/>
      <c r="E78" s="242"/>
      <c r="F78" s="242"/>
      <c r="G78" s="242"/>
      <c r="H78" s="265"/>
      <c r="I78" s="242"/>
      <c r="J78" s="242"/>
      <c r="K78" s="248"/>
      <c r="L78" s="248"/>
      <c r="M78" s="248"/>
      <c r="N78" s="242"/>
    </row>
    <row r="79" spans="2:14" ht="18" customHeight="1" x14ac:dyDescent="0.15">
      <c r="B79" s="248"/>
      <c r="C79" s="248"/>
      <c r="D79" s="242"/>
      <c r="E79" s="242"/>
      <c r="F79" s="242"/>
      <c r="G79" s="242"/>
      <c r="H79" s="265"/>
      <c r="I79" s="242"/>
      <c r="J79" s="242"/>
      <c r="K79" s="248"/>
      <c r="L79" s="248"/>
      <c r="M79" s="248"/>
      <c r="N79" s="242"/>
    </row>
    <row r="80" spans="2:14" ht="18" customHeight="1" x14ac:dyDescent="0.15">
      <c r="B80" s="248"/>
      <c r="C80" s="248"/>
      <c r="D80" s="242"/>
      <c r="E80" s="242"/>
      <c r="F80" s="242"/>
      <c r="G80" s="242"/>
      <c r="H80" s="265"/>
      <c r="I80" s="242"/>
      <c r="J80" s="242"/>
      <c r="K80" s="248"/>
      <c r="L80" s="248"/>
      <c r="M80" s="248"/>
      <c r="N80" s="242"/>
    </row>
    <row r="81" spans="2:14" ht="18" customHeight="1" x14ac:dyDescent="0.15">
      <c r="B81" s="248"/>
      <c r="C81" s="248"/>
      <c r="D81" s="242"/>
      <c r="E81" s="242"/>
      <c r="F81" s="242"/>
      <c r="G81" s="242"/>
      <c r="H81" s="265"/>
      <c r="I81" s="242"/>
      <c r="J81" s="242"/>
      <c r="K81" s="248"/>
      <c r="L81" s="248"/>
      <c r="M81" s="248"/>
      <c r="N81" s="242"/>
    </row>
    <row r="82" spans="2:14" ht="18" customHeight="1" x14ac:dyDescent="0.15">
      <c r="B82" s="248"/>
      <c r="C82" s="248"/>
      <c r="D82" s="242"/>
      <c r="E82" s="242"/>
      <c r="F82" s="242"/>
      <c r="G82" s="242"/>
      <c r="H82" s="265"/>
      <c r="I82" s="242"/>
      <c r="J82" s="242"/>
      <c r="K82" s="248"/>
      <c r="L82" s="248"/>
      <c r="M82" s="248"/>
      <c r="N82" s="242"/>
    </row>
    <row r="83" spans="2:14" ht="18" customHeight="1" x14ac:dyDescent="0.15">
      <c r="B83" s="248"/>
      <c r="C83" s="248"/>
      <c r="D83" s="242"/>
      <c r="E83" s="242"/>
      <c r="F83" s="242"/>
      <c r="G83" s="242"/>
      <c r="H83" s="265"/>
      <c r="I83" s="242"/>
      <c r="J83" s="242"/>
      <c r="K83" s="248"/>
      <c r="L83" s="248"/>
      <c r="M83" s="248"/>
      <c r="N83" s="242"/>
    </row>
    <row r="84" spans="2:14" ht="18" customHeight="1" x14ac:dyDescent="0.15">
      <c r="B84" s="248"/>
      <c r="C84" s="248"/>
      <c r="D84" s="242"/>
      <c r="E84" s="242"/>
      <c r="F84" s="242"/>
      <c r="G84" s="242"/>
      <c r="H84" s="265"/>
      <c r="I84" s="242"/>
      <c r="J84" s="242"/>
      <c r="K84" s="248"/>
      <c r="L84" s="248"/>
      <c r="M84" s="248"/>
      <c r="N84" s="242"/>
    </row>
    <row r="85" spans="2:14" ht="18" customHeight="1" x14ac:dyDescent="0.15">
      <c r="B85" s="248"/>
      <c r="C85" s="248"/>
      <c r="D85" s="242"/>
      <c r="E85" s="242"/>
      <c r="F85" s="242"/>
      <c r="G85" s="242"/>
      <c r="H85" s="265"/>
      <c r="I85" s="242"/>
      <c r="J85" s="242"/>
      <c r="K85" s="248"/>
      <c r="L85" s="248"/>
      <c r="M85" s="248"/>
      <c r="N85" s="242"/>
    </row>
    <row r="86" spans="2:14" ht="18" customHeight="1" x14ac:dyDescent="0.15">
      <c r="B86" s="248"/>
      <c r="C86" s="248"/>
      <c r="D86" s="242"/>
      <c r="E86" s="242"/>
      <c r="F86" s="242"/>
      <c r="G86" s="242"/>
      <c r="H86" s="265"/>
      <c r="I86" s="242"/>
      <c r="J86" s="242"/>
      <c r="K86" s="248"/>
      <c r="L86" s="248"/>
      <c r="M86" s="248"/>
      <c r="N86" s="242"/>
    </row>
    <row r="87" spans="2:14" ht="18" customHeight="1" x14ac:dyDescent="0.15">
      <c r="B87" s="248"/>
      <c r="C87" s="248"/>
      <c r="D87" s="242"/>
      <c r="E87" s="242"/>
      <c r="F87" s="242"/>
      <c r="G87" s="242"/>
      <c r="H87" s="265"/>
      <c r="I87" s="242"/>
      <c r="J87" s="242"/>
      <c r="K87" s="248"/>
      <c r="L87" s="248"/>
      <c r="M87" s="248"/>
      <c r="N87" s="242"/>
    </row>
    <row r="88" spans="2:14" ht="18" customHeight="1" x14ac:dyDescent="0.15">
      <c r="B88" s="248"/>
      <c r="C88" s="248"/>
      <c r="D88" s="242"/>
      <c r="E88" s="242"/>
      <c r="F88" s="242"/>
      <c r="G88" s="242"/>
      <c r="H88" s="265"/>
      <c r="I88" s="242"/>
      <c r="J88" s="242"/>
      <c r="K88" s="248"/>
      <c r="L88" s="248"/>
      <c r="M88" s="248"/>
      <c r="N88" s="242"/>
    </row>
    <row r="89" spans="2:14" ht="18" customHeight="1" x14ac:dyDescent="0.15">
      <c r="B89" s="248"/>
      <c r="C89" s="248"/>
      <c r="D89" s="242"/>
      <c r="E89" s="242"/>
      <c r="F89" s="242"/>
      <c r="G89" s="242"/>
      <c r="H89" s="265"/>
      <c r="I89" s="242"/>
      <c r="J89" s="242"/>
      <c r="K89" s="248"/>
      <c r="L89" s="248"/>
      <c r="M89" s="248"/>
      <c r="N89" s="242"/>
    </row>
    <row r="90" spans="2:14" ht="18" customHeight="1" x14ac:dyDescent="0.15">
      <c r="B90" s="248"/>
      <c r="C90" s="248"/>
      <c r="D90" s="242"/>
      <c r="E90" s="242"/>
      <c r="F90" s="242"/>
      <c r="G90" s="242"/>
      <c r="H90" s="265"/>
      <c r="I90" s="242"/>
      <c r="J90" s="242"/>
      <c r="K90" s="248"/>
      <c r="L90" s="248"/>
      <c r="M90" s="248"/>
      <c r="N90" s="242"/>
    </row>
    <row r="91" spans="2:14" ht="18" customHeight="1" x14ac:dyDescent="0.15">
      <c r="B91" s="248"/>
      <c r="C91" s="248"/>
      <c r="D91" s="242"/>
      <c r="E91" s="242"/>
      <c r="F91" s="242"/>
      <c r="G91" s="242"/>
      <c r="H91" s="265"/>
      <c r="I91" s="242"/>
      <c r="J91" s="242"/>
      <c r="K91" s="248"/>
      <c r="L91" s="248"/>
      <c r="M91" s="248"/>
      <c r="N91" s="242"/>
    </row>
    <row r="92" spans="2:14" ht="18" customHeight="1" x14ac:dyDescent="0.15">
      <c r="B92" s="248"/>
      <c r="C92" s="248"/>
      <c r="D92" s="242"/>
      <c r="E92" s="242"/>
      <c r="F92" s="242"/>
      <c r="G92" s="242"/>
      <c r="H92" s="265"/>
      <c r="I92" s="242"/>
      <c r="J92" s="242"/>
      <c r="K92" s="248"/>
      <c r="L92" s="248"/>
      <c r="M92" s="248"/>
      <c r="N92" s="242"/>
    </row>
    <row r="93" spans="2:14" ht="18" customHeight="1" x14ac:dyDescent="0.15">
      <c r="B93" s="248"/>
      <c r="C93" s="248"/>
      <c r="D93" s="242"/>
      <c r="E93" s="242"/>
      <c r="F93" s="242"/>
      <c r="G93" s="242"/>
      <c r="H93" s="265"/>
      <c r="I93" s="242"/>
      <c r="J93" s="242"/>
      <c r="K93" s="248"/>
      <c r="L93" s="248"/>
      <c r="M93" s="248"/>
      <c r="N93" s="242"/>
    </row>
    <row r="94" spans="2:14" ht="18" customHeight="1" x14ac:dyDescent="0.15">
      <c r="B94" s="248"/>
      <c r="C94" s="248"/>
      <c r="D94" s="242"/>
      <c r="E94" s="242"/>
      <c r="F94" s="242"/>
      <c r="G94" s="242"/>
      <c r="H94" s="265"/>
      <c r="I94" s="242"/>
      <c r="J94" s="242"/>
      <c r="K94" s="248"/>
      <c r="L94" s="248"/>
      <c r="M94" s="248"/>
      <c r="N94" s="242"/>
    </row>
    <row r="95" spans="2:14" ht="18" customHeight="1" x14ac:dyDescent="0.15">
      <c r="B95" s="248"/>
      <c r="C95" s="248"/>
      <c r="D95" s="242"/>
      <c r="E95" s="242"/>
      <c r="F95" s="242"/>
      <c r="G95" s="242"/>
      <c r="H95" s="265"/>
      <c r="I95" s="242"/>
      <c r="J95" s="242"/>
      <c r="K95" s="248"/>
      <c r="L95" s="248"/>
      <c r="M95" s="248"/>
      <c r="N95" s="242"/>
    </row>
    <row r="96" spans="2:14" ht="18" customHeight="1" x14ac:dyDescent="0.15">
      <c r="B96" s="248"/>
      <c r="C96" s="248"/>
      <c r="D96" s="242"/>
      <c r="E96" s="242"/>
      <c r="F96" s="242"/>
      <c r="G96" s="242"/>
      <c r="H96" s="265"/>
      <c r="I96" s="242"/>
      <c r="J96" s="242"/>
      <c r="K96" s="248"/>
      <c r="L96" s="248"/>
      <c r="M96" s="248"/>
      <c r="N96" s="242"/>
    </row>
    <row r="97" spans="2:14" ht="18" customHeight="1" x14ac:dyDescent="0.15">
      <c r="B97" s="248"/>
      <c r="C97" s="248"/>
      <c r="D97" s="242"/>
      <c r="E97" s="242"/>
      <c r="F97" s="242"/>
      <c r="G97" s="242"/>
      <c r="H97" s="265"/>
      <c r="I97" s="242"/>
      <c r="J97" s="242"/>
      <c r="K97" s="248"/>
      <c r="L97" s="248"/>
      <c r="M97" s="248"/>
      <c r="N97" s="242"/>
    </row>
    <row r="98" spans="2:14" ht="18" customHeight="1" x14ac:dyDescent="0.15">
      <c r="B98" s="248"/>
      <c r="C98" s="248"/>
      <c r="D98" s="242"/>
      <c r="E98" s="242"/>
      <c r="F98" s="242"/>
      <c r="G98" s="242"/>
      <c r="H98" s="265"/>
      <c r="I98" s="242"/>
      <c r="J98" s="242"/>
      <c r="K98" s="248"/>
      <c r="L98" s="248"/>
      <c r="M98" s="248"/>
      <c r="N98" s="242"/>
    </row>
    <row r="99" spans="2:14" ht="18" customHeight="1" x14ac:dyDescent="0.15">
      <c r="B99" s="248"/>
      <c r="C99" s="248"/>
      <c r="D99" s="242"/>
      <c r="E99" s="242"/>
      <c r="F99" s="242"/>
      <c r="G99" s="242"/>
      <c r="H99" s="265"/>
      <c r="I99" s="242"/>
      <c r="J99" s="242"/>
      <c r="K99" s="248"/>
      <c r="L99" s="248"/>
      <c r="M99" s="248"/>
      <c r="N99" s="242"/>
    </row>
    <row r="100" spans="2:14" ht="18" customHeight="1" x14ac:dyDescent="0.15">
      <c r="B100" s="248"/>
      <c r="C100" s="248"/>
      <c r="D100" s="242"/>
      <c r="E100" s="242"/>
      <c r="F100" s="242"/>
      <c r="G100" s="242"/>
      <c r="H100" s="265"/>
      <c r="I100" s="242"/>
      <c r="J100" s="242"/>
      <c r="K100" s="248"/>
      <c r="L100" s="248"/>
      <c r="M100" s="248"/>
      <c r="N100" s="242"/>
    </row>
    <row r="101" spans="2:14" ht="18" customHeight="1" x14ac:dyDescent="0.15">
      <c r="B101" s="248"/>
      <c r="C101" s="248"/>
      <c r="D101" s="242"/>
      <c r="E101" s="242"/>
      <c r="F101" s="242"/>
      <c r="G101" s="242"/>
      <c r="H101" s="265"/>
      <c r="I101" s="242"/>
      <c r="J101" s="242"/>
      <c r="K101" s="248"/>
      <c r="L101" s="248"/>
      <c r="M101" s="248"/>
      <c r="N101" s="242"/>
    </row>
    <row r="102" spans="2:14" ht="18" customHeight="1" x14ac:dyDescent="0.15">
      <c r="B102" s="248"/>
      <c r="C102" s="248"/>
      <c r="D102" s="242"/>
      <c r="E102" s="242"/>
      <c r="F102" s="242"/>
      <c r="G102" s="242"/>
      <c r="H102" s="265"/>
      <c r="I102" s="242"/>
      <c r="J102" s="242"/>
      <c r="K102" s="248"/>
      <c r="L102" s="248"/>
      <c r="M102" s="248"/>
      <c r="N102" s="242"/>
    </row>
    <row r="103" spans="2:14" ht="18" customHeight="1" x14ac:dyDescent="0.15">
      <c r="B103" s="248"/>
      <c r="C103" s="248"/>
      <c r="D103" s="242"/>
      <c r="E103" s="242"/>
      <c r="F103" s="242"/>
      <c r="G103" s="242"/>
      <c r="H103" s="265"/>
      <c r="I103" s="242"/>
      <c r="J103" s="242"/>
      <c r="K103" s="248"/>
      <c r="L103" s="248"/>
      <c r="M103" s="248"/>
      <c r="N103" s="242"/>
    </row>
    <row r="104" spans="2:14" ht="18" customHeight="1" x14ac:dyDescent="0.15">
      <c r="B104" s="248"/>
      <c r="C104" s="248"/>
      <c r="D104" s="242"/>
      <c r="E104" s="242"/>
      <c r="F104" s="242"/>
      <c r="G104" s="242"/>
      <c r="H104" s="265"/>
      <c r="I104" s="242"/>
      <c r="J104" s="242"/>
      <c r="K104" s="248"/>
      <c r="L104" s="248"/>
      <c r="M104" s="248"/>
      <c r="N104" s="242"/>
    </row>
    <row r="105" spans="2:14" ht="18" customHeight="1" x14ac:dyDescent="0.15">
      <c r="B105" s="248"/>
      <c r="C105" s="248"/>
      <c r="D105" s="242"/>
      <c r="E105" s="242"/>
      <c r="F105" s="242"/>
      <c r="G105" s="242"/>
      <c r="H105" s="265"/>
      <c r="I105" s="242"/>
      <c r="J105" s="242"/>
      <c r="K105" s="248"/>
      <c r="L105" s="248"/>
      <c r="M105" s="248"/>
      <c r="N105" s="242"/>
    </row>
    <row r="106" spans="2:14" ht="18" customHeight="1" x14ac:dyDescent="0.15">
      <c r="B106" s="248"/>
      <c r="C106" s="248"/>
      <c r="D106" s="242"/>
      <c r="E106" s="242"/>
      <c r="F106" s="242"/>
      <c r="G106" s="242"/>
      <c r="H106" s="265"/>
      <c r="I106" s="242"/>
      <c r="J106" s="242"/>
      <c r="K106" s="248"/>
      <c r="L106" s="248"/>
      <c r="M106" s="248"/>
      <c r="N106" s="242"/>
    </row>
    <row r="107" spans="2:14" ht="18" customHeight="1" x14ac:dyDescent="0.15">
      <c r="B107" s="248"/>
      <c r="C107" s="248"/>
      <c r="D107" s="242"/>
      <c r="E107" s="242"/>
      <c r="F107" s="242"/>
      <c r="G107" s="242"/>
      <c r="H107" s="265"/>
      <c r="I107" s="242"/>
      <c r="J107" s="242"/>
      <c r="K107" s="248"/>
      <c r="L107" s="248"/>
      <c r="M107" s="248"/>
      <c r="N107" s="242"/>
    </row>
    <row r="108" spans="2:14" ht="18" customHeight="1" x14ac:dyDescent="0.15">
      <c r="B108" s="248"/>
      <c r="C108" s="248"/>
      <c r="D108" s="242"/>
      <c r="E108" s="242"/>
      <c r="F108" s="242"/>
      <c r="G108" s="242"/>
      <c r="H108" s="265"/>
      <c r="I108" s="242"/>
      <c r="J108" s="242"/>
      <c r="K108" s="248"/>
      <c r="L108" s="248"/>
      <c r="M108" s="248"/>
      <c r="N108" s="242"/>
    </row>
    <row r="109" spans="2:14" ht="18" customHeight="1" x14ac:dyDescent="0.15">
      <c r="B109" s="248"/>
      <c r="C109" s="248"/>
      <c r="D109" s="242"/>
      <c r="E109" s="242"/>
      <c r="F109" s="242"/>
      <c r="G109" s="242"/>
      <c r="H109" s="265"/>
      <c r="I109" s="242"/>
      <c r="J109" s="242"/>
      <c r="K109" s="248"/>
      <c r="L109" s="248"/>
      <c r="M109" s="248"/>
      <c r="N109" s="242"/>
    </row>
    <row r="110" spans="2:14" ht="18" customHeight="1" x14ac:dyDescent="0.15">
      <c r="B110" s="248"/>
      <c r="C110" s="248"/>
      <c r="D110" s="242"/>
      <c r="E110" s="242"/>
      <c r="F110" s="242"/>
      <c r="G110" s="242"/>
      <c r="H110" s="265"/>
      <c r="I110" s="242"/>
      <c r="J110" s="242"/>
      <c r="K110" s="248"/>
      <c r="L110" s="248"/>
      <c r="M110" s="248"/>
      <c r="N110" s="242"/>
    </row>
    <row r="111" spans="2:14" ht="18" customHeight="1" x14ac:dyDescent="0.15">
      <c r="B111" s="248"/>
      <c r="C111" s="248"/>
      <c r="D111" s="242"/>
      <c r="E111" s="242"/>
      <c r="F111" s="242"/>
      <c r="G111" s="242"/>
      <c r="H111" s="265"/>
      <c r="I111" s="242"/>
      <c r="J111" s="242"/>
      <c r="K111" s="248"/>
      <c r="L111" s="248"/>
      <c r="M111" s="248"/>
      <c r="N111" s="242"/>
    </row>
    <row r="112" spans="2:14" ht="18" customHeight="1" x14ac:dyDescent="0.15">
      <c r="B112" s="248"/>
      <c r="C112" s="248"/>
      <c r="D112" s="242"/>
      <c r="E112" s="242"/>
      <c r="F112" s="242"/>
      <c r="G112" s="242"/>
      <c r="H112" s="265"/>
      <c r="I112" s="242"/>
      <c r="J112" s="242"/>
      <c r="K112" s="248"/>
      <c r="L112" s="248"/>
      <c r="M112" s="248"/>
      <c r="N112" s="242"/>
    </row>
    <row r="113" spans="2:14" ht="18" customHeight="1" x14ac:dyDescent="0.15">
      <c r="B113" s="248"/>
      <c r="C113" s="248"/>
      <c r="D113" s="242"/>
      <c r="E113" s="242"/>
      <c r="F113" s="242"/>
      <c r="G113" s="242"/>
      <c r="H113" s="265"/>
      <c r="I113" s="242"/>
      <c r="J113" s="242"/>
      <c r="K113" s="248"/>
      <c r="L113" s="248"/>
      <c r="M113" s="248"/>
      <c r="N113" s="242"/>
    </row>
    <row r="114" spans="2:14" ht="18" customHeight="1" x14ac:dyDescent="0.15">
      <c r="B114" s="248"/>
      <c r="C114" s="248"/>
      <c r="D114" s="242"/>
      <c r="E114" s="242"/>
      <c r="F114" s="242"/>
      <c r="G114" s="242"/>
      <c r="H114" s="265"/>
      <c r="I114" s="242"/>
      <c r="J114" s="242"/>
      <c r="K114" s="248"/>
      <c r="L114" s="248"/>
      <c r="M114" s="248"/>
      <c r="N114" s="242"/>
    </row>
    <row r="115" spans="2:14" ht="18" customHeight="1" x14ac:dyDescent="0.15">
      <c r="B115" s="248"/>
      <c r="C115" s="248"/>
      <c r="D115" s="242"/>
      <c r="E115" s="242"/>
      <c r="F115" s="242"/>
      <c r="G115" s="242"/>
      <c r="H115" s="265"/>
      <c r="I115" s="242"/>
      <c r="J115" s="242"/>
      <c r="K115" s="248"/>
      <c r="L115" s="248"/>
      <c r="M115" s="248"/>
      <c r="N115" s="242"/>
    </row>
    <row r="116" spans="2:14" ht="18" customHeight="1" x14ac:dyDescent="0.15">
      <c r="B116" s="248"/>
      <c r="C116" s="248"/>
      <c r="D116" s="242"/>
      <c r="E116" s="242"/>
      <c r="F116" s="242"/>
      <c r="G116" s="242"/>
      <c r="H116" s="265"/>
      <c r="I116" s="242"/>
      <c r="J116" s="242"/>
      <c r="K116" s="248"/>
      <c r="L116" s="248"/>
      <c r="M116" s="248"/>
      <c r="N116" s="242"/>
    </row>
    <row r="117" spans="2:14" ht="18" customHeight="1" x14ac:dyDescent="0.15">
      <c r="B117" s="248"/>
      <c r="C117" s="248"/>
      <c r="D117" s="242"/>
      <c r="E117" s="242"/>
      <c r="F117" s="242"/>
      <c r="G117" s="242"/>
      <c r="H117" s="265"/>
      <c r="I117" s="242"/>
      <c r="J117" s="242"/>
      <c r="K117" s="248"/>
      <c r="L117" s="248"/>
      <c r="M117" s="248"/>
      <c r="N117" s="242"/>
    </row>
    <row r="118" spans="2:14" ht="18" customHeight="1" x14ac:dyDescent="0.15">
      <c r="B118" s="248"/>
      <c r="C118" s="248"/>
      <c r="D118" s="242"/>
      <c r="E118" s="242"/>
      <c r="F118" s="242"/>
      <c r="G118" s="242"/>
      <c r="H118" s="265"/>
      <c r="I118" s="242"/>
      <c r="J118" s="242"/>
      <c r="K118" s="248"/>
      <c r="L118" s="248"/>
      <c r="M118" s="248"/>
      <c r="N118" s="242"/>
    </row>
    <row r="119" spans="2:14" ht="18" customHeight="1" x14ac:dyDescent="0.15">
      <c r="B119" s="248"/>
      <c r="C119" s="248"/>
      <c r="D119" s="242"/>
      <c r="E119" s="242"/>
      <c r="F119" s="242"/>
      <c r="G119" s="242"/>
      <c r="H119" s="265"/>
      <c r="I119" s="242"/>
      <c r="J119" s="242"/>
      <c r="K119" s="248"/>
      <c r="L119" s="248"/>
      <c r="M119" s="248"/>
      <c r="N119" s="242"/>
    </row>
    <row r="120" spans="2:14" ht="18" customHeight="1" x14ac:dyDescent="0.15">
      <c r="B120" s="248"/>
      <c r="C120" s="248"/>
      <c r="D120" s="242"/>
      <c r="E120" s="242"/>
      <c r="F120" s="242"/>
      <c r="G120" s="242"/>
      <c r="H120" s="265"/>
      <c r="I120" s="242"/>
      <c r="J120" s="242"/>
      <c r="K120" s="248"/>
      <c r="L120" s="248"/>
      <c r="M120" s="248"/>
      <c r="N120" s="242"/>
    </row>
    <row r="121" spans="2:14" ht="18" customHeight="1" x14ac:dyDescent="0.15">
      <c r="B121" s="248"/>
      <c r="C121" s="248"/>
      <c r="D121" s="242"/>
      <c r="E121" s="242"/>
      <c r="F121" s="242"/>
      <c r="G121" s="242"/>
      <c r="H121" s="265"/>
      <c r="I121" s="242"/>
      <c r="J121" s="242"/>
      <c r="K121" s="248"/>
      <c r="L121" s="248"/>
      <c r="M121" s="248"/>
      <c r="N121" s="242"/>
    </row>
    <row r="122" spans="2:14" ht="18" customHeight="1" x14ac:dyDescent="0.15">
      <c r="B122" s="248"/>
      <c r="C122" s="248"/>
      <c r="D122" s="242"/>
      <c r="E122" s="242"/>
      <c r="F122" s="242"/>
      <c r="G122" s="242"/>
      <c r="H122" s="265"/>
      <c r="I122" s="242"/>
      <c r="J122" s="242"/>
      <c r="K122" s="248"/>
      <c r="L122" s="248"/>
      <c r="M122" s="248"/>
      <c r="N122" s="242"/>
    </row>
    <row r="123" spans="2:14" ht="18" customHeight="1" x14ac:dyDescent="0.15">
      <c r="B123" s="248"/>
      <c r="C123" s="248"/>
      <c r="D123" s="242"/>
      <c r="E123" s="242"/>
      <c r="F123" s="242"/>
      <c r="G123" s="242"/>
      <c r="H123" s="265"/>
      <c r="I123" s="242"/>
      <c r="J123" s="242"/>
      <c r="K123" s="248"/>
      <c r="L123" s="248"/>
      <c r="M123" s="248"/>
      <c r="N123" s="242"/>
    </row>
    <row r="124" spans="2:14" ht="18" customHeight="1" x14ac:dyDescent="0.15">
      <c r="B124" s="248"/>
      <c r="C124" s="248"/>
      <c r="D124" s="242"/>
      <c r="E124" s="242"/>
      <c r="F124" s="242"/>
      <c r="G124" s="242"/>
      <c r="H124" s="265"/>
      <c r="I124" s="242"/>
      <c r="J124" s="242"/>
      <c r="K124" s="248"/>
      <c r="L124" s="248"/>
      <c r="M124" s="248"/>
      <c r="N124" s="242"/>
    </row>
    <row r="125" spans="2:14" ht="18" customHeight="1" x14ac:dyDescent="0.15">
      <c r="B125" s="248"/>
      <c r="C125" s="248"/>
      <c r="D125" s="242"/>
      <c r="E125" s="242"/>
      <c r="F125" s="242"/>
      <c r="G125" s="242"/>
      <c r="H125" s="265"/>
      <c r="I125" s="242"/>
      <c r="J125" s="242"/>
      <c r="K125" s="248"/>
      <c r="L125" s="248"/>
      <c r="M125" s="248"/>
      <c r="N125" s="242"/>
    </row>
    <row r="126" spans="2:14" ht="18" customHeight="1" x14ac:dyDescent="0.15">
      <c r="B126" s="248"/>
      <c r="C126" s="248"/>
      <c r="D126" s="242"/>
      <c r="E126" s="242"/>
      <c r="F126" s="242"/>
      <c r="G126" s="242"/>
      <c r="H126" s="265"/>
      <c r="I126" s="242"/>
      <c r="J126" s="242"/>
      <c r="K126" s="248"/>
      <c r="L126" s="248"/>
      <c r="M126" s="248"/>
      <c r="N126" s="242"/>
    </row>
    <row r="127" spans="2:14" ht="18" customHeight="1" x14ac:dyDescent="0.15">
      <c r="B127" s="248"/>
      <c r="C127" s="248"/>
      <c r="D127" s="242"/>
      <c r="E127" s="242"/>
      <c r="F127" s="242"/>
      <c r="G127" s="242"/>
      <c r="H127" s="265"/>
      <c r="I127" s="242"/>
      <c r="J127" s="242"/>
      <c r="K127" s="248"/>
      <c r="L127" s="248"/>
      <c r="M127" s="248"/>
      <c r="N127" s="242"/>
    </row>
    <row r="128" spans="2:14" ht="18" customHeight="1" x14ac:dyDescent="0.15">
      <c r="B128" s="248"/>
      <c r="C128" s="248"/>
      <c r="D128" s="242"/>
      <c r="E128" s="242"/>
      <c r="F128" s="242"/>
      <c r="G128" s="242"/>
      <c r="H128" s="265"/>
      <c r="I128" s="242"/>
      <c r="J128" s="242"/>
      <c r="K128" s="248"/>
      <c r="L128" s="248"/>
      <c r="M128" s="248"/>
      <c r="N128" s="242"/>
    </row>
    <row r="129" spans="2:14" ht="18" customHeight="1" x14ac:dyDescent="0.15">
      <c r="B129" s="248"/>
      <c r="C129" s="248"/>
      <c r="D129" s="242"/>
      <c r="E129" s="242"/>
      <c r="F129" s="242"/>
      <c r="G129" s="242"/>
      <c r="H129" s="265"/>
      <c r="I129" s="242"/>
      <c r="J129" s="242"/>
      <c r="K129" s="248"/>
      <c r="L129" s="248"/>
      <c r="M129" s="248"/>
      <c r="N129" s="242"/>
    </row>
    <row r="130" spans="2:14" ht="18" customHeight="1" x14ac:dyDescent="0.15">
      <c r="B130" s="248"/>
      <c r="C130" s="248"/>
      <c r="D130" s="242"/>
      <c r="E130" s="242"/>
      <c r="F130" s="242"/>
      <c r="G130" s="242"/>
      <c r="H130" s="265"/>
      <c r="I130" s="242"/>
      <c r="J130" s="242"/>
      <c r="K130" s="248"/>
      <c r="L130" s="248"/>
      <c r="M130" s="248"/>
      <c r="N130" s="242"/>
    </row>
    <row r="131" spans="2:14" ht="18" customHeight="1" x14ac:dyDescent="0.15">
      <c r="B131" s="248"/>
      <c r="C131" s="248"/>
      <c r="D131" s="242"/>
      <c r="E131" s="242"/>
      <c r="F131" s="242"/>
      <c r="G131" s="242"/>
      <c r="H131" s="265"/>
      <c r="I131" s="242"/>
      <c r="J131" s="242"/>
      <c r="K131" s="248"/>
      <c r="L131" s="248"/>
      <c r="M131" s="248"/>
      <c r="N131" s="242"/>
    </row>
    <row r="132" spans="2:14" ht="18" customHeight="1" x14ac:dyDescent="0.15">
      <c r="B132" s="248"/>
      <c r="C132" s="248"/>
      <c r="D132" s="242"/>
      <c r="E132" s="242"/>
      <c r="F132" s="242"/>
      <c r="G132" s="242"/>
      <c r="H132" s="265"/>
      <c r="I132" s="242"/>
      <c r="J132" s="242"/>
      <c r="K132" s="248"/>
      <c r="L132" s="248"/>
      <c r="M132" s="248"/>
      <c r="N132" s="242"/>
    </row>
    <row r="133" spans="2:14" ht="18" customHeight="1" x14ac:dyDescent="0.15">
      <c r="B133" s="248"/>
      <c r="C133" s="248"/>
      <c r="D133" s="242"/>
      <c r="E133" s="242"/>
      <c r="F133" s="242"/>
      <c r="G133" s="242"/>
      <c r="H133" s="265"/>
      <c r="I133" s="242"/>
      <c r="J133" s="242"/>
      <c r="K133" s="248"/>
      <c r="L133" s="248"/>
      <c r="M133" s="248"/>
      <c r="N133" s="242"/>
    </row>
    <row r="134" spans="2:14" ht="18" customHeight="1" x14ac:dyDescent="0.15">
      <c r="B134" s="248"/>
      <c r="C134" s="248"/>
      <c r="D134" s="242"/>
      <c r="E134" s="242"/>
      <c r="F134" s="242"/>
      <c r="G134" s="242"/>
      <c r="H134" s="265"/>
      <c r="I134" s="242"/>
      <c r="J134" s="242"/>
      <c r="K134" s="248"/>
      <c r="L134" s="248"/>
      <c r="M134" s="248"/>
      <c r="N134" s="242"/>
    </row>
    <row r="135" spans="2:14" ht="18" customHeight="1" x14ac:dyDescent="0.15">
      <c r="B135" s="248"/>
      <c r="C135" s="248"/>
      <c r="D135" s="242"/>
      <c r="E135" s="242"/>
      <c r="F135" s="242"/>
      <c r="G135" s="242"/>
      <c r="H135" s="265"/>
      <c r="I135" s="242"/>
      <c r="J135" s="242"/>
      <c r="K135" s="248"/>
      <c r="L135" s="248"/>
      <c r="M135" s="248"/>
      <c r="N135" s="242"/>
    </row>
    <row r="136" spans="2:14" ht="18" customHeight="1" x14ac:dyDescent="0.15">
      <c r="B136" s="248"/>
      <c r="C136" s="248"/>
      <c r="D136" s="242"/>
      <c r="E136" s="242"/>
      <c r="F136" s="242"/>
      <c r="G136" s="242"/>
      <c r="H136" s="265"/>
      <c r="I136" s="242"/>
      <c r="J136" s="242"/>
      <c r="K136" s="248"/>
      <c r="L136" s="248"/>
      <c r="M136" s="248"/>
      <c r="N136" s="242"/>
    </row>
    <row r="137" spans="2:14" ht="18" customHeight="1" x14ac:dyDescent="0.15">
      <c r="B137" s="248"/>
      <c r="C137" s="248"/>
      <c r="D137" s="242"/>
      <c r="E137" s="242"/>
      <c r="F137" s="242"/>
      <c r="G137" s="242"/>
      <c r="H137" s="265"/>
      <c r="I137" s="242"/>
      <c r="J137" s="242"/>
      <c r="K137" s="248"/>
      <c r="L137" s="248"/>
      <c r="M137" s="248"/>
      <c r="N137" s="242"/>
    </row>
    <row r="138" spans="2:14" ht="18" customHeight="1" x14ac:dyDescent="0.15">
      <c r="B138" s="248"/>
      <c r="C138" s="248"/>
      <c r="D138" s="242"/>
      <c r="E138" s="242"/>
      <c r="F138" s="242"/>
      <c r="G138" s="242"/>
      <c r="H138" s="265"/>
      <c r="I138" s="242"/>
      <c r="J138" s="242"/>
      <c r="K138" s="248"/>
      <c r="L138" s="248"/>
      <c r="M138" s="248"/>
      <c r="N138" s="242"/>
    </row>
    <row r="139" spans="2:14" ht="18" customHeight="1" x14ac:dyDescent="0.15">
      <c r="B139" s="248"/>
      <c r="C139" s="248"/>
      <c r="D139" s="242"/>
      <c r="E139" s="242"/>
      <c r="F139" s="242"/>
      <c r="G139" s="242"/>
      <c r="H139" s="265"/>
      <c r="I139" s="242"/>
      <c r="J139" s="242"/>
      <c r="K139" s="248"/>
      <c r="L139" s="248"/>
      <c r="M139" s="248"/>
      <c r="N139" s="242"/>
    </row>
    <row r="140" spans="2:14" ht="18" customHeight="1" x14ac:dyDescent="0.15">
      <c r="B140" s="248"/>
      <c r="C140" s="248"/>
      <c r="D140" s="242"/>
      <c r="E140" s="242"/>
      <c r="F140" s="242"/>
      <c r="G140" s="242"/>
      <c r="H140" s="265"/>
      <c r="I140" s="242"/>
      <c r="J140" s="242"/>
      <c r="K140" s="248"/>
      <c r="L140" s="248"/>
      <c r="M140" s="248"/>
      <c r="N140" s="242"/>
    </row>
    <row r="141" spans="2:14" ht="18" customHeight="1" x14ac:dyDescent="0.15">
      <c r="B141" s="248"/>
      <c r="C141" s="248"/>
      <c r="D141" s="242"/>
      <c r="E141" s="242"/>
      <c r="F141" s="242"/>
      <c r="G141" s="242"/>
      <c r="H141" s="265"/>
      <c r="I141" s="242"/>
      <c r="J141" s="242"/>
      <c r="K141" s="248"/>
      <c r="L141" s="248"/>
      <c r="M141" s="248"/>
      <c r="N141" s="242"/>
    </row>
    <row r="142" spans="2:14" ht="18" customHeight="1" x14ac:dyDescent="0.15">
      <c r="B142" s="248"/>
      <c r="C142" s="248"/>
      <c r="D142" s="242"/>
      <c r="E142" s="242"/>
      <c r="F142" s="242"/>
      <c r="G142" s="242"/>
      <c r="H142" s="265"/>
      <c r="I142" s="242"/>
      <c r="J142" s="242"/>
      <c r="K142" s="248"/>
      <c r="L142" s="248"/>
      <c r="M142" s="248"/>
      <c r="N142" s="242"/>
    </row>
    <row r="143" spans="2:14" ht="18" customHeight="1" x14ac:dyDescent="0.15">
      <c r="B143" s="248"/>
      <c r="C143" s="248"/>
      <c r="D143" s="242"/>
      <c r="E143" s="242"/>
      <c r="F143" s="242"/>
      <c r="G143" s="242"/>
      <c r="H143" s="265"/>
      <c r="I143" s="242"/>
      <c r="J143" s="242"/>
      <c r="K143" s="248"/>
      <c r="L143" s="248"/>
      <c r="M143" s="248"/>
      <c r="N143" s="242"/>
    </row>
    <row r="144" spans="2:14" ht="18" customHeight="1" x14ac:dyDescent="0.15">
      <c r="B144" s="248"/>
      <c r="C144" s="248"/>
      <c r="D144" s="242"/>
      <c r="E144" s="242"/>
      <c r="F144" s="242"/>
      <c r="G144" s="242"/>
      <c r="H144" s="265"/>
      <c r="I144" s="242"/>
      <c r="J144" s="242"/>
      <c r="K144" s="248"/>
      <c r="L144" s="248"/>
      <c r="M144" s="248"/>
      <c r="N144" s="242"/>
    </row>
    <row r="145" spans="2:14" ht="18" customHeight="1" x14ac:dyDescent="0.15">
      <c r="B145" s="248"/>
      <c r="C145" s="248"/>
      <c r="D145" s="242"/>
      <c r="E145" s="242"/>
      <c r="F145" s="242"/>
      <c r="G145" s="242"/>
      <c r="H145" s="265"/>
      <c r="I145" s="242"/>
      <c r="J145" s="242"/>
      <c r="K145" s="248"/>
      <c r="L145" s="248"/>
      <c r="M145" s="248"/>
      <c r="N145" s="242"/>
    </row>
    <row r="146" spans="2:14" ht="18" customHeight="1" x14ac:dyDescent="0.15">
      <c r="B146" s="248"/>
      <c r="C146" s="248"/>
      <c r="D146" s="242"/>
      <c r="E146" s="242"/>
      <c r="F146" s="242"/>
      <c r="G146" s="242"/>
      <c r="H146" s="265"/>
      <c r="I146" s="242"/>
      <c r="J146" s="242"/>
      <c r="K146" s="248"/>
      <c r="L146" s="248"/>
      <c r="M146" s="248"/>
      <c r="N146" s="242"/>
    </row>
    <row r="147" spans="2:14" ht="18" customHeight="1" x14ac:dyDescent="0.15">
      <c r="B147" s="248"/>
      <c r="C147" s="248"/>
      <c r="D147" s="242"/>
      <c r="E147" s="242"/>
      <c r="F147" s="242"/>
      <c r="G147" s="242"/>
      <c r="H147" s="265"/>
      <c r="I147" s="242"/>
      <c r="J147" s="242"/>
      <c r="K147" s="248"/>
      <c r="L147" s="248"/>
      <c r="M147" s="248"/>
      <c r="N147" s="242"/>
    </row>
    <row r="148" spans="2:14" ht="18" customHeight="1" x14ac:dyDescent="0.15">
      <c r="B148" s="248"/>
      <c r="C148" s="248"/>
      <c r="D148" s="242"/>
      <c r="E148" s="242"/>
      <c r="F148" s="242"/>
      <c r="G148" s="242"/>
      <c r="H148" s="265"/>
      <c r="I148" s="242"/>
      <c r="J148" s="242"/>
      <c r="K148" s="248"/>
      <c r="L148" s="248"/>
      <c r="M148" s="248"/>
      <c r="N148" s="242"/>
    </row>
    <row r="149" spans="2:14" ht="18" customHeight="1" x14ac:dyDescent="0.15">
      <c r="B149" s="248"/>
      <c r="C149" s="248"/>
      <c r="D149" s="242"/>
      <c r="E149" s="242"/>
      <c r="F149" s="242"/>
      <c r="G149" s="242"/>
      <c r="H149" s="265"/>
      <c r="I149" s="242"/>
      <c r="J149" s="242"/>
      <c r="K149" s="248"/>
      <c r="L149" s="248"/>
      <c r="M149" s="248"/>
      <c r="N149" s="242"/>
    </row>
    <row r="150" spans="2:14" ht="18" customHeight="1" x14ac:dyDescent="0.15">
      <c r="B150" s="248"/>
      <c r="C150" s="248"/>
      <c r="D150" s="242"/>
      <c r="E150" s="242"/>
      <c r="F150" s="242"/>
      <c r="G150" s="242"/>
      <c r="H150" s="265"/>
      <c r="I150" s="242"/>
      <c r="J150" s="242"/>
      <c r="K150" s="248"/>
      <c r="L150" s="248"/>
      <c r="M150" s="248"/>
      <c r="N150" s="242"/>
    </row>
    <row r="151" spans="2:14" ht="18" customHeight="1" x14ac:dyDescent="0.15">
      <c r="B151" s="248"/>
      <c r="C151" s="248"/>
      <c r="D151" s="242"/>
      <c r="E151" s="242"/>
      <c r="F151" s="242"/>
      <c r="G151" s="242"/>
      <c r="H151" s="265"/>
      <c r="I151" s="242"/>
      <c r="J151" s="242"/>
      <c r="K151" s="248"/>
      <c r="L151" s="248"/>
      <c r="M151" s="248"/>
      <c r="N151" s="242"/>
    </row>
    <row r="152" spans="2:14" ht="18" customHeight="1" x14ac:dyDescent="0.15">
      <c r="B152" s="248"/>
      <c r="C152" s="248"/>
      <c r="D152" s="242"/>
      <c r="E152" s="242"/>
      <c r="F152" s="242"/>
      <c r="G152" s="242"/>
      <c r="H152" s="265"/>
      <c r="I152" s="242"/>
      <c r="J152" s="242"/>
      <c r="K152" s="248"/>
      <c r="L152" s="248"/>
      <c r="M152" s="248"/>
      <c r="N152" s="242"/>
    </row>
    <row r="153" spans="2:14" ht="18" customHeight="1" x14ac:dyDescent="0.15">
      <c r="B153" s="248"/>
      <c r="C153" s="248"/>
      <c r="D153" s="242"/>
      <c r="E153" s="242"/>
      <c r="F153" s="242"/>
      <c r="G153" s="242"/>
      <c r="H153" s="265"/>
      <c r="I153" s="242"/>
      <c r="J153" s="242"/>
      <c r="K153" s="248"/>
      <c r="L153" s="248"/>
      <c r="M153" s="248"/>
      <c r="N153" s="242"/>
    </row>
    <row r="154" spans="2:14" ht="18" customHeight="1" x14ac:dyDescent="0.15">
      <c r="B154" s="248"/>
      <c r="C154" s="248"/>
      <c r="D154" s="242"/>
      <c r="E154" s="242"/>
      <c r="F154" s="242"/>
      <c r="G154" s="242"/>
      <c r="H154" s="265"/>
      <c r="I154" s="242"/>
      <c r="J154" s="242"/>
      <c r="K154" s="248"/>
      <c r="L154" s="248"/>
      <c r="M154" s="248"/>
      <c r="N154" s="242"/>
    </row>
    <row r="155" spans="2:14" ht="18" customHeight="1" x14ac:dyDescent="0.15">
      <c r="B155" s="248"/>
      <c r="C155" s="248"/>
      <c r="D155" s="242"/>
      <c r="E155" s="242"/>
      <c r="F155" s="242"/>
      <c r="G155" s="242"/>
      <c r="H155" s="265"/>
      <c r="I155" s="242"/>
      <c r="J155" s="242"/>
      <c r="K155" s="248"/>
      <c r="L155" s="248"/>
      <c r="M155" s="248"/>
      <c r="N155" s="242"/>
    </row>
    <row r="156" spans="2:14" ht="18" customHeight="1" x14ac:dyDescent="0.15">
      <c r="B156" s="248"/>
      <c r="C156" s="248"/>
      <c r="D156" s="242"/>
      <c r="E156" s="242"/>
      <c r="F156" s="242"/>
      <c r="G156" s="242"/>
      <c r="H156" s="265"/>
      <c r="I156" s="242"/>
      <c r="J156" s="242"/>
      <c r="K156" s="248"/>
      <c r="L156" s="248"/>
      <c r="M156" s="248"/>
      <c r="N156" s="242"/>
    </row>
    <row r="157" spans="2:14" ht="18" customHeight="1" x14ac:dyDescent="0.15">
      <c r="B157" s="248"/>
      <c r="C157" s="248"/>
      <c r="D157" s="242"/>
      <c r="E157" s="242"/>
      <c r="F157" s="242"/>
      <c r="G157" s="242"/>
      <c r="H157" s="265"/>
      <c r="I157" s="242"/>
      <c r="J157" s="242"/>
      <c r="K157" s="248"/>
      <c r="L157" s="248"/>
      <c r="M157" s="248"/>
      <c r="N157" s="242"/>
    </row>
    <row r="158" spans="2:14" ht="18" customHeight="1" x14ac:dyDescent="0.15">
      <c r="B158" s="248"/>
      <c r="C158" s="248"/>
      <c r="D158" s="242"/>
      <c r="E158" s="242"/>
      <c r="F158" s="242"/>
      <c r="G158" s="242"/>
      <c r="H158" s="265"/>
      <c r="I158" s="242"/>
      <c r="J158" s="242"/>
      <c r="K158" s="248"/>
      <c r="L158" s="248"/>
      <c r="M158" s="248"/>
      <c r="N158" s="242"/>
    </row>
    <row r="159" spans="2:14" ht="18" customHeight="1" x14ac:dyDescent="0.15">
      <c r="B159" s="248"/>
      <c r="C159" s="248"/>
      <c r="D159" s="242"/>
      <c r="E159" s="242"/>
      <c r="F159" s="242"/>
      <c r="G159" s="242"/>
      <c r="H159" s="265"/>
      <c r="I159" s="242"/>
      <c r="J159" s="242"/>
      <c r="K159" s="248"/>
      <c r="L159" s="248"/>
      <c r="M159" s="248"/>
      <c r="N159" s="242"/>
    </row>
    <row r="160" spans="2:14" ht="18" customHeight="1" x14ac:dyDescent="0.15">
      <c r="B160" s="248"/>
      <c r="C160" s="248"/>
      <c r="D160" s="242"/>
      <c r="E160" s="242"/>
      <c r="F160" s="242"/>
      <c r="G160" s="242"/>
      <c r="H160" s="265"/>
      <c r="I160" s="242"/>
      <c r="J160" s="242"/>
      <c r="K160" s="248"/>
      <c r="L160" s="248"/>
      <c r="M160" s="248"/>
      <c r="N160" s="242"/>
    </row>
    <row r="161" spans="2:14" ht="18" customHeight="1" x14ac:dyDescent="0.15">
      <c r="B161" s="248"/>
      <c r="C161" s="248"/>
      <c r="D161" s="242"/>
      <c r="E161" s="242"/>
      <c r="F161" s="242"/>
      <c r="G161" s="242"/>
      <c r="H161" s="265"/>
      <c r="I161" s="242"/>
      <c r="J161" s="242"/>
      <c r="K161" s="248"/>
      <c r="L161" s="248"/>
      <c r="M161" s="248"/>
      <c r="N161" s="242"/>
    </row>
    <row r="162" spans="2:14" ht="18" customHeight="1" x14ac:dyDescent="0.15">
      <c r="B162" s="248"/>
      <c r="C162" s="248"/>
      <c r="D162" s="242"/>
      <c r="E162" s="242"/>
      <c r="F162" s="242"/>
      <c r="G162" s="242"/>
      <c r="H162" s="265"/>
      <c r="I162" s="242"/>
      <c r="J162" s="242"/>
      <c r="K162" s="248"/>
      <c r="L162" s="248"/>
      <c r="M162" s="248"/>
      <c r="N162" s="242"/>
    </row>
    <row r="163" spans="2:14" ht="18" customHeight="1" x14ac:dyDescent="0.15">
      <c r="B163" s="248"/>
      <c r="C163" s="248"/>
      <c r="D163" s="242"/>
      <c r="E163" s="242"/>
      <c r="F163" s="242"/>
      <c r="G163" s="242"/>
      <c r="H163" s="265"/>
      <c r="I163" s="242"/>
      <c r="J163" s="242"/>
      <c r="K163" s="248"/>
      <c r="L163" s="248"/>
      <c r="M163" s="248"/>
      <c r="N163" s="242"/>
    </row>
    <row r="164" spans="2:14" ht="18" customHeight="1" x14ac:dyDescent="0.15">
      <c r="B164" s="248"/>
      <c r="C164" s="248"/>
      <c r="D164" s="242"/>
      <c r="E164" s="242"/>
      <c r="F164" s="242"/>
      <c r="G164" s="242"/>
      <c r="H164" s="265"/>
      <c r="I164" s="242"/>
      <c r="J164" s="242"/>
      <c r="K164" s="248"/>
      <c r="L164" s="248"/>
      <c r="M164" s="248"/>
      <c r="N164" s="242"/>
    </row>
    <row r="165" spans="2:14" ht="18" customHeight="1" x14ac:dyDescent="0.15">
      <c r="B165" s="248"/>
      <c r="C165" s="248"/>
      <c r="D165" s="242"/>
      <c r="E165" s="242"/>
      <c r="F165" s="242"/>
      <c r="G165" s="242"/>
      <c r="H165" s="265"/>
      <c r="I165" s="242"/>
      <c r="J165" s="242"/>
      <c r="K165" s="248"/>
      <c r="L165" s="248"/>
      <c r="M165" s="248"/>
      <c r="N165" s="242"/>
    </row>
    <row r="166" spans="2:14" ht="18" customHeight="1" x14ac:dyDescent="0.15">
      <c r="B166" s="248"/>
      <c r="C166" s="248"/>
      <c r="D166" s="242"/>
      <c r="E166" s="242"/>
      <c r="F166" s="242"/>
      <c r="G166" s="242"/>
      <c r="H166" s="265"/>
      <c r="I166" s="242"/>
      <c r="J166" s="242"/>
      <c r="K166" s="248"/>
      <c r="L166" s="248"/>
      <c r="M166" s="248"/>
      <c r="N166" s="242"/>
    </row>
    <row r="167" spans="2:14" ht="18" customHeight="1" x14ac:dyDescent="0.15">
      <c r="B167" s="248"/>
      <c r="C167" s="248"/>
      <c r="D167" s="242"/>
      <c r="E167" s="242"/>
      <c r="F167" s="242"/>
      <c r="G167" s="242"/>
      <c r="H167" s="265"/>
      <c r="I167" s="242"/>
      <c r="J167" s="242"/>
      <c r="K167" s="248"/>
      <c r="L167" s="248"/>
      <c r="M167" s="248"/>
      <c r="N167" s="242"/>
    </row>
    <row r="168" spans="2:14" ht="18" customHeight="1" x14ac:dyDescent="0.15">
      <c r="B168" s="248"/>
      <c r="C168" s="248"/>
      <c r="D168" s="242"/>
      <c r="E168" s="242"/>
      <c r="F168" s="242"/>
      <c r="G168" s="242"/>
      <c r="H168" s="265"/>
      <c r="I168" s="242"/>
      <c r="J168" s="242"/>
      <c r="K168" s="248"/>
      <c r="L168" s="248"/>
      <c r="M168" s="248"/>
      <c r="N168" s="242"/>
    </row>
    <row r="169" spans="2:14" ht="18" customHeight="1" x14ac:dyDescent="0.15">
      <c r="B169" s="248"/>
      <c r="C169" s="248"/>
      <c r="D169" s="242"/>
      <c r="E169" s="242"/>
      <c r="F169" s="242"/>
      <c r="G169" s="242"/>
      <c r="H169" s="265"/>
      <c r="I169" s="242"/>
      <c r="J169" s="242"/>
      <c r="K169" s="248"/>
      <c r="L169" s="248"/>
      <c r="M169" s="248"/>
      <c r="N169" s="242"/>
    </row>
    <row r="170" spans="2:14" ht="18" customHeight="1" x14ac:dyDescent="0.15">
      <c r="B170" s="248"/>
      <c r="C170" s="248"/>
      <c r="D170" s="242"/>
      <c r="E170" s="242"/>
      <c r="F170" s="242"/>
      <c r="G170" s="242"/>
      <c r="H170" s="265"/>
      <c r="I170" s="242"/>
      <c r="J170" s="242"/>
      <c r="K170" s="248"/>
      <c r="L170" s="248"/>
      <c r="M170" s="248"/>
      <c r="N170" s="242"/>
    </row>
    <row r="171" spans="2:14" ht="18" customHeight="1" x14ac:dyDescent="0.15">
      <c r="B171" s="248"/>
      <c r="C171" s="248"/>
      <c r="D171" s="242"/>
      <c r="E171" s="242"/>
      <c r="F171" s="242"/>
      <c r="G171" s="242"/>
      <c r="H171" s="265"/>
      <c r="I171" s="242"/>
      <c r="J171" s="242"/>
      <c r="K171" s="248"/>
      <c r="L171" s="248"/>
      <c r="M171" s="248"/>
      <c r="N171" s="242"/>
    </row>
    <row r="172" spans="2:14" ht="18" customHeight="1" x14ac:dyDescent="0.15">
      <c r="B172" s="248"/>
      <c r="C172" s="248"/>
      <c r="D172" s="242"/>
      <c r="E172" s="242"/>
      <c r="F172" s="242"/>
      <c r="G172" s="242"/>
      <c r="H172" s="265"/>
      <c r="I172" s="242"/>
      <c r="J172" s="242"/>
      <c r="K172" s="248"/>
      <c r="L172" s="248"/>
      <c r="M172" s="248"/>
      <c r="N172" s="242"/>
    </row>
    <row r="173" spans="2:14" ht="18" customHeight="1" x14ac:dyDescent="0.15">
      <c r="B173" s="248"/>
      <c r="C173" s="248"/>
      <c r="D173" s="242"/>
      <c r="E173" s="242"/>
      <c r="F173" s="242"/>
      <c r="G173" s="242"/>
      <c r="H173" s="265"/>
      <c r="I173" s="242"/>
      <c r="J173" s="242"/>
      <c r="K173" s="248"/>
      <c r="L173" s="248"/>
      <c r="M173" s="248"/>
      <c r="N173" s="242"/>
    </row>
    <row r="174" spans="2:14" ht="18" customHeight="1" x14ac:dyDescent="0.15">
      <c r="B174" s="248"/>
      <c r="C174" s="248"/>
      <c r="D174" s="242"/>
      <c r="E174" s="242"/>
      <c r="F174" s="242"/>
      <c r="G174" s="242"/>
      <c r="H174" s="265"/>
      <c r="I174" s="242"/>
      <c r="J174" s="242"/>
      <c r="K174" s="248"/>
      <c r="L174" s="248"/>
      <c r="M174" s="248"/>
      <c r="N174" s="242"/>
    </row>
    <row r="175" spans="2:14" ht="18" customHeight="1" x14ac:dyDescent="0.15">
      <c r="B175" s="248"/>
      <c r="C175" s="248"/>
      <c r="D175" s="242"/>
      <c r="E175" s="242"/>
      <c r="F175" s="242"/>
      <c r="G175" s="242"/>
      <c r="H175" s="265"/>
      <c r="I175" s="242"/>
      <c r="J175" s="242"/>
      <c r="K175" s="248"/>
      <c r="L175" s="248"/>
      <c r="M175" s="248"/>
      <c r="N175" s="242"/>
    </row>
    <row r="176" spans="2:14" ht="18" customHeight="1" x14ac:dyDescent="0.15">
      <c r="B176" s="248"/>
      <c r="C176" s="248"/>
      <c r="D176" s="242"/>
      <c r="E176" s="242"/>
      <c r="F176" s="242"/>
      <c r="G176" s="242"/>
      <c r="H176" s="265"/>
      <c r="I176" s="242"/>
      <c r="J176" s="242"/>
      <c r="K176" s="248"/>
      <c r="L176" s="248"/>
      <c r="M176" s="248"/>
      <c r="N176" s="242"/>
    </row>
    <row r="177" spans="2:14" ht="18" customHeight="1" x14ac:dyDescent="0.15">
      <c r="B177" s="248"/>
      <c r="C177" s="248"/>
      <c r="D177" s="242"/>
      <c r="E177" s="242"/>
      <c r="F177" s="242"/>
      <c r="G177" s="242"/>
      <c r="H177" s="265"/>
      <c r="I177" s="242"/>
      <c r="J177" s="242"/>
      <c r="K177" s="248"/>
      <c r="L177" s="248"/>
      <c r="M177" s="248"/>
      <c r="N177" s="242"/>
    </row>
    <row r="178" spans="2:14" ht="18" customHeight="1" x14ac:dyDescent="0.15">
      <c r="B178" s="248"/>
      <c r="C178" s="248"/>
      <c r="D178" s="242"/>
      <c r="E178" s="242"/>
      <c r="F178" s="242"/>
      <c r="G178" s="242"/>
      <c r="H178" s="265"/>
      <c r="I178" s="242"/>
      <c r="J178" s="242"/>
      <c r="K178" s="248"/>
      <c r="L178" s="248"/>
      <c r="M178" s="248"/>
      <c r="N178" s="242"/>
    </row>
    <row r="179" spans="2:14" ht="18" customHeight="1" x14ac:dyDescent="0.15">
      <c r="B179" s="248"/>
      <c r="C179" s="248"/>
      <c r="D179" s="242"/>
      <c r="E179" s="242"/>
      <c r="F179" s="242"/>
      <c r="G179" s="242"/>
      <c r="H179" s="265"/>
      <c r="I179" s="242"/>
      <c r="J179" s="242"/>
      <c r="K179" s="248"/>
      <c r="L179" s="248"/>
      <c r="M179" s="248"/>
      <c r="N179" s="242"/>
    </row>
    <row r="180" spans="2:14" ht="18" customHeight="1" x14ac:dyDescent="0.15">
      <c r="B180" s="248"/>
      <c r="C180" s="248"/>
      <c r="D180" s="242"/>
      <c r="E180" s="242"/>
      <c r="F180" s="242"/>
      <c r="G180" s="242"/>
      <c r="H180" s="265"/>
      <c r="I180" s="242"/>
      <c r="J180" s="242"/>
      <c r="K180" s="248"/>
      <c r="L180" s="248"/>
      <c r="M180" s="248"/>
      <c r="N180" s="242"/>
    </row>
    <row r="181" spans="2:14" ht="18" customHeight="1" x14ac:dyDescent="0.15">
      <c r="B181" s="248"/>
      <c r="C181" s="248"/>
      <c r="D181" s="242"/>
      <c r="E181" s="242"/>
      <c r="F181" s="242"/>
      <c r="G181" s="242"/>
      <c r="H181" s="265"/>
      <c r="I181" s="242"/>
      <c r="J181" s="242"/>
      <c r="K181" s="248"/>
      <c r="L181" s="248"/>
      <c r="M181" s="248"/>
      <c r="N181" s="242"/>
    </row>
    <row r="182" spans="2:14" ht="18" customHeight="1" x14ac:dyDescent="0.15">
      <c r="B182" s="248"/>
      <c r="C182" s="248"/>
      <c r="D182" s="242"/>
      <c r="E182" s="242"/>
      <c r="F182" s="242"/>
      <c r="G182" s="242"/>
      <c r="H182" s="265"/>
      <c r="I182" s="242"/>
      <c r="J182" s="242"/>
      <c r="K182" s="248"/>
      <c r="L182" s="248"/>
      <c r="M182" s="248"/>
      <c r="N182" s="242"/>
    </row>
    <row r="183" spans="2:14" ht="18" customHeight="1" x14ac:dyDescent="0.15">
      <c r="B183" s="248"/>
      <c r="C183" s="248"/>
      <c r="D183" s="242"/>
      <c r="E183" s="242"/>
      <c r="F183" s="242"/>
      <c r="G183" s="242"/>
      <c r="H183" s="265"/>
      <c r="I183" s="242"/>
      <c r="J183" s="242"/>
      <c r="K183" s="248"/>
      <c r="L183" s="248"/>
      <c r="M183" s="248"/>
      <c r="N183" s="242"/>
    </row>
    <row r="184" spans="2:14" ht="18" customHeight="1" x14ac:dyDescent="0.15">
      <c r="B184" s="248"/>
      <c r="C184" s="248"/>
      <c r="D184" s="242"/>
      <c r="E184" s="242"/>
      <c r="F184" s="242"/>
      <c r="G184" s="242"/>
      <c r="H184" s="265"/>
      <c r="I184" s="242"/>
      <c r="J184" s="242"/>
      <c r="K184" s="248"/>
      <c r="L184" s="248"/>
      <c r="M184" s="248"/>
      <c r="N184" s="242"/>
    </row>
    <row r="185" spans="2:14" ht="18" customHeight="1" x14ac:dyDescent="0.15">
      <c r="B185" s="248"/>
      <c r="C185" s="248"/>
      <c r="D185" s="242"/>
      <c r="E185" s="242"/>
      <c r="F185" s="242"/>
      <c r="G185" s="242"/>
      <c r="H185" s="265"/>
      <c r="I185" s="242"/>
      <c r="J185" s="242"/>
      <c r="K185" s="248"/>
      <c r="L185" s="248"/>
      <c r="M185" s="248"/>
      <c r="N185" s="242"/>
    </row>
    <row r="186" spans="2:14" ht="18" customHeight="1" x14ac:dyDescent="0.15">
      <c r="B186" s="248"/>
      <c r="C186" s="248"/>
      <c r="D186" s="242"/>
      <c r="E186" s="242"/>
      <c r="F186" s="242"/>
      <c r="G186" s="242"/>
      <c r="H186" s="265"/>
      <c r="I186" s="242"/>
      <c r="J186" s="242"/>
      <c r="K186" s="248"/>
      <c r="L186" s="248"/>
      <c r="M186" s="248"/>
      <c r="N186" s="242"/>
    </row>
    <row r="187" spans="2:14" ht="18" customHeight="1" x14ac:dyDescent="0.15">
      <c r="B187" s="248"/>
      <c r="C187" s="248"/>
      <c r="D187" s="242"/>
      <c r="E187" s="242"/>
      <c r="F187" s="242"/>
      <c r="G187" s="242"/>
      <c r="H187" s="265"/>
      <c r="I187" s="242"/>
      <c r="J187" s="242"/>
      <c r="K187" s="248"/>
      <c r="L187" s="248"/>
      <c r="M187" s="248"/>
      <c r="N187" s="242"/>
    </row>
    <row r="188" spans="2:14" ht="18" customHeight="1" x14ac:dyDescent="0.15">
      <c r="B188" s="248"/>
      <c r="C188" s="248"/>
      <c r="D188" s="242"/>
      <c r="E188" s="242"/>
      <c r="F188" s="242"/>
      <c r="G188" s="242"/>
      <c r="H188" s="265"/>
      <c r="I188" s="242"/>
      <c r="J188" s="242"/>
      <c r="K188" s="248"/>
      <c r="L188" s="248"/>
      <c r="M188" s="248"/>
      <c r="N188" s="242"/>
    </row>
    <row r="189" spans="2:14" ht="18" customHeight="1" x14ac:dyDescent="0.15">
      <c r="B189" s="248"/>
      <c r="C189" s="248"/>
      <c r="D189" s="242"/>
      <c r="E189" s="242"/>
      <c r="F189" s="242"/>
      <c r="G189" s="242"/>
      <c r="H189" s="265"/>
      <c r="I189" s="242"/>
      <c r="J189" s="242"/>
      <c r="K189" s="248"/>
      <c r="L189" s="248"/>
      <c r="M189" s="248"/>
      <c r="N189" s="242"/>
    </row>
    <row r="190" spans="2:14" ht="18" customHeight="1" x14ac:dyDescent="0.15">
      <c r="B190" s="248"/>
      <c r="C190" s="248"/>
      <c r="D190" s="242"/>
      <c r="E190" s="242"/>
      <c r="F190" s="242"/>
      <c r="G190" s="242"/>
      <c r="H190" s="265"/>
      <c r="I190" s="242"/>
      <c r="J190" s="242"/>
      <c r="K190" s="248"/>
      <c r="L190" s="248"/>
      <c r="M190" s="248"/>
      <c r="N190" s="242"/>
    </row>
    <row r="191" spans="2:14" ht="18" customHeight="1" x14ac:dyDescent="0.15">
      <c r="B191" s="248"/>
      <c r="C191" s="248"/>
      <c r="D191" s="242"/>
      <c r="E191" s="242"/>
      <c r="F191" s="242"/>
      <c r="G191" s="242"/>
      <c r="H191" s="265"/>
      <c r="I191" s="242"/>
      <c r="J191" s="242"/>
      <c r="K191" s="248"/>
      <c r="L191" s="248"/>
      <c r="M191" s="248"/>
      <c r="N191" s="242"/>
    </row>
    <row r="192" spans="2:14" ht="18" customHeight="1" x14ac:dyDescent="0.15">
      <c r="B192" s="248"/>
      <c r="C192" s="248"/>
      <c r="D192" s="242"/>
      <c r="E192" s="242"/>
      <c r="F192" s="242"/>
      <c r="G192" s="242"/>
      <c r="H192" s="265"/>
      <c r="I192" s="242"/>
      <c r="J192" s="242"/>
      <c r="K192" s="248"/>
      <c r="L192" s="248"/>
      <c r="M192" s="248"/>
      <c r="N192" s="242"/>
    </row>
    <row r="193" spans="2:14" ht="18" customHeight="1" x14ac:dyDescent="0.15">
      <c r="B193" s="248"/>
      <c r="C193" s="248"/>
      <c r="D193" s="242"/>
      <c r="E193" s="242"/>
      <c r="F193" s="242"/>
      <c r="G193" s="242"/>
      <c r="H193" s="265"/>
      <c r="I193" s="242"/>
      <c r="J193" s="242"/>
      <c r="K193" s="248"/>
      <c r="L193" s="248"/>
      <c r="M193" s="248"/>
      <c r="N193" s="242"/>
    </row>
    <row r="194" spans="2:14" ht="18" customHeight="1" x14ac:dyDescent="0.15">
      <c r="B194" s="248"/>
      <c r="C194" s="248"/>
      <c r="D194" s="242"/>
      <c r="E194" s="242"/>
      <c r="F194" s="242"/>
      <c r="G194" s="242"/>
      <c r="H194" s="265"/>
      <c r="I194" s="242"/>
      <c r="J194" s="242"/>
      <c r="K194" s="248"/>
      <c r="L194" s="248"/>
      <c r="M194" s="248"/>
      <c r="N194" s="242"/>
    </row>
    <row r="195" spans="2:14" ht="18" customHeight="1" x14ac:dyDescent="0.15">
      <c r="B195" s="248"/>
      <c r="C195" s="248"/>
      <c r="D195" s="242"/>
      <c r="E195" s="242"/>
      <c r="F195" s="242"/>
      <c r="G195" s="242"/>
      <c r="H195" s="265"/>
      <c r="I195" s="242"/>
      <c r="J195" s="242"/>
      <c r="K195" s="248"/>
      <c r="L195" s="248"/>
      <c r="M195" s="248"/>
      <c r="N195" s="242"/>
    </row>
    <row r="196" spans="2:14" ht="18" customHeight="1" x14ac:dyDescent="0.15">
      <c r="B196" s="248"/>
      <c r="C196" s="248"/>
      <c r="D196" s="242"/>
      <c r="E196" s="242"/>
      <c r="F196" s="242"/>
      <c r="G196" s="242"/>
      <c r="H196" s="265"/>
      <c r="I196" s="242"/>
      <c r="J196" s="242"/>
      <c r="K196" s="248"/>
      <c r="L196" s="248"/>
      <c r="M196" s="248"/>
      <c r="N196" s="242"/>
    </row>
    <row r="197" spans="2:14" ht="18" customHeight="1" x14ac:dyDescent="0.15">
      <c r="B197" s="248"/>
      <c r="C197" s="248"/>
      <c r="D197" s="242"/>
      <c r="E197" s="242"/>
      <c r="F197" s="242"/>
      <c r="G197" s="242"/>
      <c r="H197" s="265"/>
      <c r="I197" s="242"/>
      <c r="J197" s="242"/>
      <c r="K197" s="248"/>
      <c r="L197" s="248"/>
      <c r="M197" s="248"/>
      <c r="N197" s="242"/>
    </row>
    <row r="198" spans="2:14" ht="18" customHeight="1" x14ac:dyDescent="0.15">
      <c r="B198" s="248"/>
      <c r="C198" s="248"/>
      <c r="D198" s="242"/>
      <c r="E198" s="242"/>
      <c r="F198" s="242"/>
      <c r="G198" s="242"/>
      <c r="H198" s="265"/>
      <c r="I198" s="242"/>
      <c r="J198" s="242"/>
      <c r="K198" s="248"/>
      <c r="L198" s="248"/>
      <c r="M198" s="248"/>
      <c r="N198" s="242"/>
    </row>
    <row r="199" spans="2:14" ht="18" customHeight="1" x14ac:dyDescent="0.15">
      <c r="B199" s="248"/>
      <c r="C199" s="248"/>
      <c r="D199" s="242"/>
      <c r="E199" s="242"/>
      <c r="F199" s="242"/>
      <c r="G199" s="242"/>
      <c r="H199" s="265"/>
      <c r="I199" s="242"/>
      <c r="J199" s="242"/>
      <c r="K199" s="248"/>
      <c r="L199" s="248"/>
      <c r="M199" s="248"/>
      <c r="N199" s="242"/>
    </row>
    <row r="200" spans="2:14" ht="18" customHeight="1" x14ac:dyDescent="0.15">
      <c r="B200" s="248"/>
      <c r="C200" s="248"/>
      <c r="D200" s="242"/>
      <c r="E200" s="242"/>
      <c r="F200" s="242"/>
      <c r="G200" s="242"/>
      <c r="H200" s="265"/>
      <c r="I200" s="242"/>
      <c r="J200" s="242"/>
      <c r="K200" s="248"/>
      <c r="L200" s="248"/>
      <c r="M200" s="248"/>
      <c r="N200" s="242"/>
    </row>
    <row r="201" spans="2:14" ht="18" customHeight="1" x14ac:dyDescent="0.15">
      <c r="B201" s="248"/>
      <c r="C201" s="248"/>
      <c r="D201" s="242"/>
      <c r="E201" s="242"/>
      <c r="F201" s="242"/>
      <c r="G201" s="242"/>
      <c r="H201" s="265"/>
      <c r="I201" s="242"/>
      <c r="J201" s="242"/>
      <c r="K201" s="248"/>
      <c r="L201" s="248"/>
      <c r="M201" s="248"/>
      <c r="N201" s="242"/>
    </row>
    <row r="202" spans="2:14" ht="18" customHeight="1" x14ac:dyDescent="0.15">
      <c r="B202" s="248"/>
      <c r="C202" s="248"/>
      <c r="D202" s="242"/>
      <c r="E202" s="242"/>
      <c r="F202" s="242"/>
      <c r="G202" s="242"/>
      <c r="H202" s="265"/>
      <c r="I202" s="242"/>
      <c r="J202" s="242"/>
      <c r="K202" s="248"/>
      <c r="L202" s="248"/>
      <c r="M202" s="248"/>
      <c r="N202" s="242"/>
    </row>
    <row r="203" spans="2:14" ht="18" customHeight="1" x14ac:dyDescent="0.15">
      <c r="B203" s="248"/>
      <c r="C203" s="248"/>
      <c r="D203" s="242"/>
      <c r="E203" s="242"/>
      <c r="F203" s="242"/>
      <c r="G203" s="242"/>
      <c r="H203" s="265"/>
      <c r="I203" s="242"/>
      <c r="J203" s="242"/>
      <c r="K203" s="248"/>
      <c r="L203" s="248"/>
      <c r="M203" s="248"/>
      <c r="N203" s="242"/>
    </row>
    <row r="204" spans="2:14" ht="18" customHeight="1" x14ac:dyDescent="0.15">
      <c r="B204" s="248"/>
      <c r="C204" s="248"/>
      <c r="D204" s="242"/>
      <c r="E204" s="242"/>
      <c r="F204" s="242"/>
      <c r="G204" s="242"/>
      <c r="H204" s="265"/>
      <c r="I204" s="242"/>
      <c r="J204" s="242"/>
      <c r="K204" s="248"/>
      <c r="L204" s="248"/>
      <c r="M204" s="248"/>
      <c r="N204" s="242"/>
    </row>
    <row r="205" spans="2:14" ht="18" customHeight="1" x14ac:dyDescent="0.15">
      <c r="B205" s="248"/>
      <c r="C205" s="248"/>
      <c r="D205" s="242"/>
      <c r="E205" s="242"/>
      <c r="F205" s="242"/>
      <c r="G205" s="242"/>
      <c r="H205" s="265"/>
      <c r="I205" s="242"/>
      <c r="J205" s="242"/>
      <c r="K205" s="248"/>
      <c r="L205" s="248"/>
      <c r="M205" s="248"/>
      <c r="N205" s="242"/>
    </row>
    <row r="206" spans="2:14" ht="18" customHeight="1" x14ac:dyDescent="0.15">
      <c r="B206" s="248"/>
      <c r="C206" s="248"/>
      <c r="D206" s="242"/>
      <c r="E206" s="242"/>
      <c r="F206" s="242"/>
      <c r="G206" s="242"/>
      <c r="H206" s="265"/>
      <c r="I206" s="242"/>
      <c r="J206" s="242"/>
      <c r="K206" s="248"/>
      <c r="L206" s="248"/>
      <c r="M206" s="248"/>
      <c r="N206" s="242"/>
    </row>
    <row r="207" spans="2:14" ht="18" customHeight="1" x14ac:dyDescent="0.15">
      <c r="B207" s="248"/>
      <c r="C207" s="248"/>
      <c r="D207" s="242"/>
      <c r="E207" s="242"/>
      <c r="F207" s="242"/>
      <c r="G207" s="242"/>
      <c r="H207" s="265"/>
      <c r="I207" s="242"/>
      <c r="J207" s="242"/>
      <c r="K207" s="248"/>
      <c r="L207" s="248"/>
      <c r="M207" s="248"/>
      <c r="N207" s="242"/>
    </row>
    <row r="208" spans="2:14" ht="18" customHeight="1" x14ac:dyDescent="0.15">
      <c r="B208" s="248"/>
      <c r="C208" s="248"/>
      <c r="D208" s="242"/>
      <c r="E208" s="242"/>
      <c r="F208" s="242"/>
      <c r="G208" s="242"/>
      <c r="H208" s="265"/>
      <c r="I208" s="242"/>
      <c r="J208" s="242"/>
      <c r="K208" s="248"/>
      <c r="L208" s="248"/>
      <c r="M208" s="248"/>
      <c r="N208" s="242"/>
    </row>
    <row r="209" spans="2:14" ht="18" customHeight="1" x14ac:dyDescent="0.15">
      <c r="B209" s="248"/>
      <c r="C209" s="248"/>
      <c r="D209" s="242"/>
      <c r="E209" s="242"/>
      <c r="F209" s="242"/>
      <c r="G209" s="242"/>
      <c r="H209" s="265"/>
      <c r="I209" s="242"/>
      <c r="J209" s="242"/>
      <c r="K209" s="248"/>
      <c r="L209" s="248"/>
      <c r="M209" s="248"/>
      <c r="N209" s="242"/>
    </row>
    <row r="210" spans="2:14" ht="18" customHeight="1" x14ac:dyDescent="0.15">
      <c r="B210" s="248"/>
      <c r="C210" s="248"/>
      <c r="D210" s="242"/>
      <c r="E210" s="242"/>
      <c r="F210" s="242"/>
      <c r="G210" s="242"/>
      <c r="H210" s="265"/>
      <c r="I210" s="242"/>
      <c r="J210" s="242"/>
      <c r="K210" s="248"/>
      <c r="L210" s="248"/>
      <c r="M210" s="248"/>
      <c r="N210" s="242"/>
    </row>
    <row r="211" spans="2:14" ht="18" customHeight="1" x14ac:dyDescent="0.15">
      <c r="B211" s="248"/>
      <c r="C211" s="248"/>
      <c r="D211" s="242"/>
      <c r="E211" s="242"/>
      <c r="F211" s="242"/>
      <c r="G211" s="242"/>
      <c r="H211" s="265"/>
      <c r="I211" s="242"/>
      <c r="J211" s="242"/>
      <c r="K211" s="248"/>
      <c r="L211" s="248"/>
      <c r="M211" s="248"/>
      <c r="N211" s="242"/>
    </row>
    <row r="212" spans="2:14" ht="18" customHeight="1" x14ac:dyDescent="0.15">
      <c r="B212" s="248"/>
      <c r="C212" s="248"/>
      <c r="D212" s="242"/>
      <c r="E212" s="242"/>
      <c r="F212" s="242"/>
      <c r="G212" s="242"/>
      <c r="H212" s="265"/>
      <c r="I212" s="242"/>
      <c r="J212" s="242"/>
      <c r="K212" s="248"/>
      <c r="L212" s="248"/>
      <c r="M212" s="248"/>
      <c r="N212" s="242"/>
    </row>
    <row r="213" spans="2:14" ht="18" customHeight="1" x14ac:dyDescent="0.15">
      <c r="B213" s="248"/>
      <c r="C213" s="248"/>
      <c r="D213" s="242"/>
      <c r="E213" s="242"/>
      <c r="F213" s="242"/>
      <c r="G213" s="242"/>
      <c r="H213" s="265"/>
      <c r="I213" s="242"/>
      <c r="J213" s="242"/>
      <c r="K213" s="248"/>
      <c r="L213" s="248"/>
      <c r="M213" s="248"/>
      <c r="N213" s="242"/>
    </row>
    <row r="214" spans="2:14" ht="18" customHeight="1" x14ac:dyDescent="0.15">
      <c r="B214" s="248"/>
      <c r="C214" s="248"/>
      <c r="D214" s="242"/>
      <c r="E214" s="242"/>
      <c r="F214" s="242"/>
      <c r="G214" s="242"/>
      <c r="H214" s="265"/>
      <c r="I214" s="242"/>
      <c r="J214" s="242"/>
      <c r="K214" s="248"/>
      <c r="L214" s="248"/>
      <c r="M214" s="248"/>
      <c r="N214" s="242"/>
    </row>
    <row r="215" spans="2:14" ht="18" customHeight="1" x14ac:dyDescent="0.15">
      <c r="B215" s="248"/>
      <c r="C215" s="248"/>
      <c r="D215" s="242"/>
      <c r="E215" s="242"/>
      <c r="F215" s="242"/>
      <c r="G215" s="242"/>
      <c r="H215" s="265"/>
      <c r="I215" s="242"/>
      <c r="J215" s="242"/>
      <c r="K215" s="248"/>
      <c r="L215" s="248"/>
      <c r="M215" s="248"/>
      <c r="N215" s="242"/>
    </row>
    <row r="216" spans="2:14" ht="18" customHeight="1" x14ac:dyDescent="0.15">
      <c r="B216" s="248"/>
      <c r="C216" s="248"/>
      <c r="D216" s="242"/>
      <c r="E216" s="242"/>
      <c r="F216" s="242"/>
      <c r="G216" s="242"/>
      <c r="H216" s="265"/>
      <c r="I216" s="242"/>
      <c r="J216" s="242"/>
      <c r="K216" s="248"/>
      <c r="L216" s="248"/>
      <c r="M216" s="248"/>
      <c r="N216" s="242"/>
    </row>
    <row r="217" spans="2:14" ht="18" customHeight="1" x14ac:dyDescent="0.15">
      <c r="B217" s="248"/>
      <c r="C217" s="248"/>
      <c r="D217" s="242"/>
      <c r="E217" s="242"/>
      <c r="F217" s="242"/>
      <c r="G217" s="242"/>
      <c r="H217" s="265"/>
      <c r="I217" s="242"/>
      <c r="J217" s="242"/>
      <c r="K217" s="248"/>
      <c r="L217" s="248"/>
      <c r="M217" s="248"/>
      <c r="N217" s="242"/>
    </row>
    <row r="218" spans="2:14" ht="18" customHeight="1" x14ac:dyDescent="0.15">
      <c r="B218" s="248"/>
      <c r="C218" s="248"/>
      <c r="D218" s="242"/>
      <c r="E218" s="242"/>
      <c r="F218" s="242"/>
      <c r="G218" s="242"/>
      <c r="H218" s="265"/>
      <c r="I218" s="242"/>
      <c r="J218" s="242"/>
      <c r="K218" s="248"/>
      <c r="L218" s="248"/>
      <c r="M218" s="248"/>
      <c r="N218" s="242"/>
    </row>
    <row r="219" spans="2:14" ht="18" customHeight="1" x14ac:dyDescent="0.15">
      <c r="B219" s="248"/>
      <c r="C219" s="248"/>
      <c r="D219" s="242"/>
      <c r="E219" s="242"/>
      <c r="F219" s="242"/>
      <c r="G219" s="242"/>
      <c r="H219" s="265"/>
      <c r="I219" s="242"/>
      <c r="J219" s="242"/>
      <c r="K219" s="248"/>
      <c r="L219" s="248"/>
      <c r="M219" s="248"/>
      <c r="N219" s="242"/>
    </row>
    <row r="220" spans="2:14" ht="18" customHeight="1" x14ac:dyDescent="0.15">
      <c r="B220" s="248"/>
      <c r="C220" s="248"/>
      <c r="D220" s="242"/>
      <c r="E220" s="242"/>
      <c r="F220" s="242"/>
      <c r="G220" s="242"/>
      <c r="H220" s="265"/>
      <c r="I220" s="242"/>
      <c r="J220" s="242"/>
      <c r="K220" s="248"/>
      <c r="L220" s="248"/>
      <c r="M220" s="248"/>
      <c r="N220" s="242"/>
    </row>
    <row r="221" spans="2:14" ht="18" customHeight="1" x14ac:dyDescent="0.15">
      <c r="B221" s="248"/>
      <c r="C221" s="248"/>
      <c r="D221" s="242"/>
      <c r="E221" s="242"/>
      <c r="F221" s="242"/>
      <c r="G221" s="242"/>
      <c r="H221" s="265"/>
      <c r="I221" s="242"/>
      <c r="J221" s="242"/>
      <c r="K221" s="248"/>
      <c r="L221" s="248"/>
      <c r="M221" s="248"/>
      <c r="N221" s="242"/>
    </row>
    <row r="222" spans="2:14" ht="18" customHeight="1" x14ac:dyDescent="0.15">
      <c r="B222" s="248"/>
      <c r="C222" s="248"/>
      <c r="D222" s="242"/>
      <c r="E222" s="242"/>
      <c r="F222" s="242"/>
      <c r="G222" s="242"/>
      <c r="H222" s="265"/>
      <c r="I222" s="242"/>
      <c r="J222" s="242"/>
      <c r="K222" s="248"/>
      <c r="L222" s="248"/>
      <c r="M222" s="248"/>
      <c r="N222" s="242"/>
    </row>
    <row r="223" spans="2:14" ht="18" customHeight="1" x14ac:dyDescent="0.15">
      <c r="B223" s="248"/>
      <c r="C223" s="248"/>
      <c r="D223" s="242"/>
      <c r="E223" s="242"/>
      <c r="F223" s="242"/>
      <c r="G223" s="242"/>
      <c r="H223" s="265"/>
      <c r="I223" s="242"/>
      <c r="J223" s="242"/>
      <c r="K223" s="248"/>
      <c r="L223" s="248"/>
      <c r="M223" s="248"/>
      <c r="N223" s="242"/>
    </row>
    <row r="224" spans="2:14" ht="18" customHeight="1" x14ac:dyDescent="0.15">
      <c r="B224" s="248"/>
      <c r="C224" s="248"/>
      <c r="D224" s="242"/>
      <c r="E224" s="242"/>
      <c r="F224" s="242"/>
      <c r="G224" s="242"/>
      <c r="H224" s="265"/>
      <c r="I224" s="242"/>
      <c r="J224" s="242"/>
      <c r="K224" s="248"/>
      <c r="L224" s="248"/>
      <c r="M224" s="248"/>
      <c r="N224" s="242"/>
    </row>
    <row r="225" spans="2:14" ht="18" customHeight="1" x14ac:dyDescent="0.15">
      <c r="B225" s="248"/>
      <c r="C225" s="248"/>
      <c r="D225" s="242"/>
      <c r="E225" s="242"/>
      <c r="F225" s="242"/>
      <c r="G225" s="242"/>
      <c r="H225" s="265"/>
      <c r="I225" s="242"/>
      <c r="J225" s="242"/>
      <c r="K225" s="248"/>
      <c r="L225" s="248"/>
      <c r="M225" s="248"/>
      <c r="N225" s="242"/>
    </row>
    <row r="226" spans="2:14" ht="18" customHeight="1" x14ac:dyDescent="0.15">
      <c r="B226" s="248"/>
      <c r="C226" s="248"/>
      <c r="D226" s="242"/>
      <c r="E226" s="242"/>
      <c r="F226" s="242"/>
      <c r="G226" s="242"/>
      <c r="H226" s="265"/>
      <c r="I226" s="242"/>
      <c r="J226" s="242"/>
      <c r="K226" s="248"/>
      <c r="L226" s="248"/>
      <c r="M226" s="248"/>
      <c r="N226" s="242"/>
    </row>
    <row r="227" spans="2:14" ht="18" customHeight="1" x14ac:dyDescent="0.15">
      <c r="B227" s="248"/>
      <c r="C227" s="248"/>
      <c r="D227" s="242"/>
      <c r="E227" s="242"/>
      <c r="F227" s="242"/>
      <c r="G227" s="242"/>
      <c r="H227" s="265"/>
      <c r="I227" s="242"/>
      <c r="J227" s="242"/>
      <c r="K227" s="248"/>
      <c r="L227" s="248"/>
      <c r="M227" s="248"/>
      <c r="N227" s="242"/>
    </row>
    <row r="228" spans="2:14" ht="18" customHeight="1" x14ac:dyDescent="0.15">
      <c r="B228" s="248"/>
      <c r="C228" s="248"/>
      <c r="D228" s="242"/>
      <c r="E228" s="242"/>
      <c r="F228" s="242"/>
      <c r="G228" s="242"/>
      <c r="H228" s="265"/>
      <c r="I228" s="242"/>
      <c r="J228" s="242"/>
      <c r="K228" s="248"/>
      <c r="L228" s="248"/>
      <c r="M228" s="248"/>
      <c r="N228" s="242"/>
    </row>
    <row r="229" spans="2:14" ht="18" customHeight="1" x14ac:dyDescent="0.15">
      <c r="B229" s="248"/>
      <c r="C229" s="248"/>
      <c r="D229" s="242"/>
      <c r="E229" s="242"/>
      <c r="F229" s="242"/>
      <c r="G229" s="242"/>
      <c r="H229" s="265"/>
      <c r="I229" s="242"/>
      <c r="J229" s="242"/>
      <c r="K229" s="248"/>
      <c r="L229" s="248"/>
      <c r="M229" s="248"/>
      <c r="N229" s="242"/>
    </row>
    <row r="230" spans="2:14" ht="18" customHeight="1" x14ac:dyDescent="0.15">
      <c r="B230" s="248"/>
      <c r="C230" s="248"/>
      <c r="D230" s="242"/>
      <c r="E230" s="242"/>
      <c r="F230" s="242"/>
      <c r="G230" s="242"/>
      <c r="H230" s="265"/>
      <c r="I230" s="242"/>
      <c r="J230" s="242"/>
      <c r="K230" s="248"/>
      <c r="L230" s="248"/>
      <c r="M230" s="248"/>
      <c r="N230" s="242"/>
    </row>
    <row r="231" spans="2:14" ht="18" customHeight="1" x14ac:dyDescent="0.15">
      <c r="B231" s="248"/>
      <c r="C231" s="248"/>
      <c r="D231" s="242"/>
      <c r="E231" s="242"/>
      <c r="F231" s="242"/>
      <c r="G231" s="242"/>
      <c r="H231" s="265"/>
      <c r="I231" s="242"/>
      <c r="J231" s="242"/>
      <c r="K231" s="248"/>
      <c r="L231" s="248"/>
      <c r="M231" s="248"/>
      <c r="N231" s="242"/>
    </row>
    <row r="232" spans="2:14" ht="18" customHeight="1" x14ac:dyDescent="0.15">
      <c r="B232" s="248"/>
      <c r="C232" s="248"/>
      <c r="D232" s="242"/>
      <c r="E232" s="242"/>
      <c r="F232" s="242"/>
      <c r="G232" s="242"/>
      <c r="H232" s="265"/>
      <c r="I232" s="242"/>
      <c r="J232" s="242"/>
      <c r="K232" s="248"/>
      <c r="L232" s="248"/>
      <c r="M232" s="248"/>
      <c r="N232" s="242"/>
    </row>
    <row r="233" spans="2:14" ht="18" customHeight="1" x14ac:dyDescent="0.15">
      <c r="B233" s="248"/>
      <c r="C233" s="248"/>
      <c r="D233" s="242"/>
      <c r="E233" s="242"/>
      <c r="F233" s="242"/>
      <c r="G233" s="242"/>
      <c r="H233" s="265"/>
      <c r="I233" s="242"/>
      <c r="J233" s="242"/>
      <c r="K233" s="248"/>
      <c r="L233" s="248"/>
      <c r="M233" s="248"/>
      <c r="N233" s="242"/>
    </row>
    <row r="234" spans="2:14" ht="18" customHeight="1" x14ac:dyDescent="0.15">
      <c r="B234" s="248"/>
      <c r="C234" s="248"/>
      <c r="D234" s="242"/>
      <c r="E234" s="242"/>
      <c r="F234" s="242"/>
      <c r="G234" s="242"/>
      <c r="H234" s="265"/>
      <c r="I234" s="242"/>
      <c r="J234" s="242"/>
      <c r="K234" s="248"/>
      <c r="L234" s="248"/>
      <c r="M234" s="248"/>
      <c r="N234" s="242"/>
    </row>
    <row r="235" spans="2:14" ht="18" customHeight="1" x14ac:dyDescent="0.15">
      <c r="B235" s="248"/>
      <c r="C235" s="248"/>
      <c r="D235" s="242"/>
      <c r="E235" s="242"/>
      <c r="F235" s="242"/>
      <c r="G235" s="242"/>
      <c r="H235" s="265"/>
      <c r="I235" s="242"/>
      <c r="J235" s="242"/>
      <c r="K235" s="248"/>
      <c r="L235" s="248"/>
      <c r="M235" s="248"/>
      <c r="N235" s="242"/>
    </row>
    <row r="236" spans="2:14" ht="18" customHeight="1" x14ac:dyDescent="0.15">
      <c r="B236" s="248"/>
      <c r="C236" s="248"/>
      <c r="D236" s="242"/>
      <c r="E236" s="242"/>
      <c r="F236" s="242"/>
      <c r="G236" s="242"/>
      <c r="H236" s="265"/>
      <c r="I236" s="242"/>
      <c r="J236" s="242"/>
      <c r="K236" s="248"/>
      <c r="L236" s="248"/>
      <c r="M236" s="248"/>
      <c r="N236" s="242"/>
    </row>
    <row r="237" spans="2:14" ht="18" customHeight="1" x14ac:dyDescent="0.15">
      <c r="B237" s="248"/>
      <c r="C237" s="248"/>
      <c r="D237" s="242"/>
      <c r="E237" s="242"/>
      <c r="F237" s="242"/>
      <c r="G237" s="242"/>
      <c r="H237" s="265"/>
      <c r="I237" s="242"/>
      <c r="J237" s="242"/>
      <c r="K237" s="248"/>
      <c r="L237" s="248"/>
      <c r="M237" s="248"/>
      <c r="N237" s="242"/>
    </row>
    <row r="238" spans="2:14" ht="18" customHeight="1" x14ac:dyDescent="0.15">
      <c r="B238" s="248"/>
      <c r="C238" s="248"/>
      <c r="D238" s="242"/>
      <c r="E238" s="242"/>
      <c r="F238" s="242"/>
      <c r="G238" s="242"/>
      <c r="H238" s="265"/>
      <c r="I238" s="242"/>
      <c r="J238" s="242"/>
      <c r="K238" s="248"/>
      <c r="L238" s="248"/>
      <c r="M238" s="248"/>
      <c r="N238" s="242"/>
    </row>
    <row r="239" spans="2:14" ht="18" customHeight="1" x14ac:dyDescent="0.15">
      <c r="B239" s="248"/>
      <c r="C239" s="248"/>
      <c r="D239" s="242"/>
      <c r="E239" s="242"/>
      <c r="F239" s="242"/>
      <c r="G239" s="242"/>
      <c r="H239" s="265"/>
      <c r="I239" s="242"/>
      <c r="J239" s="242"/>
      <c r="K239" s="248"/>
      <c r="L239" s="248"/>
      <c r="M239" s="248"/>
      <c r="N239" s="242"/>
    </row>
    <row r="240" spans="2:14" ht="18" customHeight="1" x14ac:dyDescent="0.15">
      <c r="B240" s="248"/>
      <c r="C240" s="248"/>
      <c r="D240" s="242"/>
      <c r="E240" s="242"/>
      <c r="F240" s="242"/>
      <c r="G240" s="242"/>
      <c r="H240" s="265"/>
      <c r="I240" s="242"/>
      <c r="J240" s="242"/>
      <c r="K240" s="248"/>
      <c r="L240" s="248"/>
      <c r="M240" s="248"/>
      <c r="N240" s="242"/>
    </row>
    <row r="241" spans="2:14" ht="18" customHeight="1" x14ac:dyDescent="0.15">
      <c r="B241" s="248"/>
      <c r="C241" s="248"/>
      <c r="D241" s="242"/>
      <c r="E241" s="242"/>
      <c r="F241" s="242"/>
      <c r="G241" s="242"/>
      <c r="H241" s="265"/>
      <c r="I241" s="242"/>
      <c r="J241" s="242"/>
      <c r="K241" s="248"/>
      <c r="L241" s="248"/>
      <c r="M241" s="248"/>
      <c r="N241" s="242"/>
    </row>
    <row r="242" spans="2:14" ht="18" customHeight="1" x14ac:dyDescent="0.15">
      <c r="B242" s="248"/>
      <c r="C242" s="248"/>
      <c r="D242" s="242"/>
      <c r="E242" s="242"/>
      <c r="F242" s="242"/>
      <c r="G242" s="242"/>
      <c r="H242" s="265"/>
      <c r="I242" s="242"/>
      <c r="J242" s="242"/>
      <c r="K242" s="248"/>
      <c r="L242" s="248"/>
      <c r="M242" s="248"/>
      <c r="N242" s="242"/>
    </row>
    <row r="243" spans="2:14" ht="18" customHeight="1" x14ac:dyDescent="0.15">
      <c r="B243" s="248"/>
      <c r="C243" s="248"/>
      <c r="D243" s="242"/>
      <c r="E243" s="242"/>
      <c r="F243" s="242"/>
      <c r="G243" s="242"/>
      <c r="H243" s="265"/>
      <c r="I243" s="242"/>
      <c r="J243" s="242"/>
      <c r="K243" s="248"/>
      <c r="L243" s="248"/>
      <c r="M243" s="248"/>
      <c r="N243" s="242"/>
    </row>
    <row r="244" spans="2:14" ht="18" customHeight="1" x14ac:dyDescent="0.15">
      <c r="B244" s="248"/>
      <c r="C244" s="248"/>
      <c r="D244" s="242"/>
      <c r="E244" s="242"/>
      <c r="F244" s="242"/>
      <c r="G244" s="242"/>
      <c r="H244" s="265"/>
      <c r="I244" s="242"/>
      <c r="J244" s="242"/>
      <c r="K244" s="248"/>
      <c r="L244" s="248"/>
      <c r="M244" s="248"/>
      <c r="N244" s="242"/>
    </row>
    <row r="245" spans="2:14" ht="18" customHeight="1" x14ac:dyDescent="0.15">
      <c r="B245" s="248"/>
      <c r="C245" s="248"/>
      <c r="D245" s="242"/>
      <c r="E245" s="242"/>
      <c r="F245" s="242"/>
      <c r="G245" s="242"/>
      <c r="H245" s="265"/>
      <c r="I245" s="242"/>
      <c r="J245" s="242"/>
      <c r="K245" s="248"/>
      <c r="L245" s="248"/>
      <c r="M245" s="248"/>
      <c r="N245" s="242"/>
    </row>
    <row r="246" spans="2:14" ht="18" customHeight="1" x14ac:dyDescent="0.15">
      <c r="B246" s="248"/>
      <c r="C246" s="248"/>
      <c r="D246" s="242"/>
      <c r="E246" s="242"/>
      <c r="F246" s="242"/>
      <c r="G246" s="242"/>
      <c r="H246" s="265"/>
      <c r="I246" s="242"/>
      <c r="J246" s="242"/>
      <c r="K246" s="248"/>
      <c r="L246" s="248"/>
      <c r="M246" s="248"/>
      <c r="N246" s="242"/>
    </row>
    <row r="247" spans="2:14" ht="18" customHeight="1" x14ac:dyDescent="0.15">
      <c r="B247" s="248"/>
      <c r="C247" s="248"/>
      <c r="D247" s="242"/>
      <c r="E247" s="242"/>
      <c r="F247" s="242"/>
      <c r="G247" s="242"/>
      <c r="H247" s="265"/>
      <c r="I247" s="242"/>
      <c r="J247" s="242"/>
      <c r="K247" s="248"/>
      <c r="L247" s="248"/>
      <c r="M247" s="248"/>
      <c r="N247" s="242"/>
    </row>
    <row r="248" spans="2:14" ht="18" customHeight="1" x14ac:dyDescent="0.15">
      <c r="B248" s="248"/>
      <c r="C248" s="248"/>
      <c r="D248" s="242"/>
      <c r="E248" s="242"/>
      <c r="F248" s="242"/>
      <c r="G248" s="242"/>
      <c r="H248" s="265"/>
      <c r="I248" s="242"/>
      <c r="J248" s="242"/>
      <c r="K248" s="248"/>
      <c r="L248" s="248"/>
      <c r="M248" s="248"/>
      <c r="N248" s="242"/>
    </row>
    <row r="249" spans="2:14" ht="18" customHeight="1" x14ac:dyDescent="0.15">
      <c r="B249" s="248"/>
      <c r="C249" s="248"/>
      <c r="D249" s="242"/>
      <c r="E249" s="242"/>
      <c r="F249" s="242"/>
      <c r="G249" s="242"/>
      <c r="H249" s="265"/>
      <c r="I249" s="242"/>
      <c r="J249" s="242"/>
      <c r="K249" s="248"/>
      <c r="L249" s="248"/>
      <c r="M249" s="248"/>
      <c r="N249" s="242"/>
    </row>
    <row r="250" spans="2:14" ht="18" customHeight="1" x14ac:dyDescent="0.15">
      <c r="B250" s="248"/>
      <c r="C250" s="248"/>
      <c r="D250" s="242"/>
      <c r="E250" s="242"/>
      <c r="F250" s="242"/>
      <c r="G250" s="242"/>
      <c r="H250" s="265"/>
      <c r="I250" s="242"/>
      <c r="J250" s="242"/>
      <c r="K250" s="248"/>
      <c r="L250" s="248"/>
      <c r="M250" s="248"/>
      <c r="N250" s="242"/>
    </row>
    <row r="251" spans="2:14" ht="18" customHeight="1" x14ac:dyDescent="0.15">
      <c r="B251" s="248"/>
      <c r="C251" s="248"/>
      <c r="D251" s="242"/>
      <c r="E251" s="242"/>
      <c r="F251" s="242"/>
      <c r="G251" s="242"/>
      <c r="H251" s="265"/>
      <c r="I251" s="242"/>
      <c r="J251" s="242"/>
      <c r="K251" s="248"/>
      <c r="L251" s="248"/>
      <c r="M251" s="248"/>
      <c r="N251" s="242"/>
    </row>
    <row r="252" spans="2:14" ht="18" customHeight="1" x14ac:dyDescent="0.15">
      <c r="B252" s="248"/>
      <c r="C252" s="248"/>
      <c r="D252" s="242"/>
      <c r="E252" s="242"/>
      <c r="F252" s="242"/>
      <c r="G252" s="242"/>
      <c r="H252" s="265"/>
      <c r="I252" s="242"/>
      <c r="J252" s="242"/>
      <c r="K252" s="248"/>
      <c r="L252" s="248"/>
      <c r="M252" s="248"/>
      <c r="N252" s="242"/>
    </row>
    <row r="253" spans="2:14" ht="18" customHeight="1" x14ac:dyDescent="0.15">
      <c r="B253" s="248"/>
      <c r="C253" s="248"/>
      <c r="D253" s="242"/>
      <c r="E253" s="242"/>
      <c r="F253" s="242"/>
      <c r="G253" s="242"/>
      <c r="H253" s="265"/>
      <c r="I253" s="242"/>
      <c r="J253" s="242"/>
      <c r="K253" s="248"/>
      <c r="L253" s="248"/>
      <c r="M253" s="248"/>
      <c r="N253" s="242"/>
    </row>
    <row r="254" spans="2:14" ht="18" customHeight="1" x14ac:dyDescent="0.15">
      <c r="B254" s="248"/>
      <c r="C254" s="248"/>
      <c r="D254" s="242"/>
      <c r="E254" s="242"/>
      <c r="F254" s="242"/>
      <c r="G254" s="242"/>
      <c r="H254" s="265"/>
      <c r="I254" s="242"/>
      <c r="J254" s="242"/>
      <c r="K254" s="248"/>
      <c r="L254" s="248"/>
      <c r="M254" s="248"/>
      <c r="N254" s="242"/>
    </row>
    <row r="255" spans="2:14" ht="18" customHeight="1" x14ac:dyDescent="0.15">
      <c r="B255" s="248"/>
      <c r="C255" s="248"/>
      <c r="D255" s="242"/>
      <c r="E255" s="242"/>
      <c r="F255" s="242"/>
      <c r="G255" s="242"/>
      <c r="H255" s="265"/>
      <c r="I255" s="242"/>
      <c r="J255" s="242"/>
      <c r="K255" s="248"/>
      <c r="L255" s="248"/>
      <c r="M255" s="248"/>
      <c r="N255" s="242"/>
    </row>
    <row r="256" spans="2:14" ht="18" customHeight="1" x14ac:dyDescent="0.15">
      <c r="B256" s="248"/>
      <c r="C256" s="248"/>
      <c r="D256" s="242"/>
      <c r="E256" s="242"/>
      <c r="F256" s="242"/>
      <c r="G256" s="242"/>
      <c r="H256" s="265"/>
      <c r="I256" s="242"/>
      <c r="J256" s="242"/>
      <c r="K256" s="248"/>
      <c r="L256" s="248"/>
      <c r="M256" s="248"/>
      <c r="N256" s="242"/>
    </row>
    <row r="257" spans="2:14" ht="18" customHeight="1" x14ac:dyDescent="0.15">
      <c r="B257" s="248"/>
      <c r="C257" s="248"/>
      <c r="D257" s="242"/>
      <c r="E257" s="242"/>
      <c r="F257" s="242"/>
      <c r="G257" s="242"/>
      <c r="H257" s="265"/>
      <c r="I257" s="242"/>
      <c r="J257" s="242"/>
      <c r="K257" s="248"/>
      <c r="L257" s="248"/>
      <c r="M257" s="248"/>
      <c r="N257" s="242"/>
    </row>
    <row r="258" spans="2:14" ht="18" customHeight="1" x14ac:dyDescent="0.15">
      <c r="B258" s="248"/>
      <c r="C258" s="248"/>
      <c r="D258" s="242"/>
      <c r="E258" s="242"/>
      <c r="F258" s="242"/>
      <c r="G258" s="242"/>
      <c r="H258" s="265"/>
      <c r="I258" s="242"/>
      <c r="J258" s="242"/>
      <c r="K258" s="248"/>
      <c r="L258" s="248"/>
      <c r="M258" s="248"/>
      <c r="N258" s="242"/>
    </row>
    <row r="259" spans="2:14" ht="18" customHeight="1" x14ac:dyDescent="0.15">
      <c r="B259" s="248"/>
      <c r="C259" s="248"/>
      <c r="D259" s="242"/>
      <c r="E259" s="242"/>
      <c r="F259" s="242"/>
      <c r="G259" s="242"/>
      <c r="H259" s="265"/>
      <c r="I259" s="242"/>
      <c r="J259" s="242"/>
      <c r="K259" s="248"/>
      <c r="L259" s="248"/>
      <c r="M259" s="248"/>
      <c r="N259" s="242"/>
    </row>
    <row r="260" spans="2:14" ht="18" customHeight="1" x14ac:dyDescent="0.15">
      <c r="B260" s="248"/>
      <c r="C260" s="248"/>
      <c r="D260" s="242"/>
      <c r="E260" s="242"/>
      <c r="F260" s="242"/>
      <c r="G260" s="242"/>
      <c r="H260" s="265"/>
      <c r="I260" s="242"/>
      <c r="J260" s="242"/>
      <c r="K260" s="248"/>
      <c r="L260" s="248"/>
      <c r="M260" s="248"/>
      <c r="N260" s="242"/>
    </row>
    <row r="261" spans="2:14" ht="18" customHeight="1" x14ac:dyDescent="0.15">
      <c r="B261" s="248"/>
      <c r="C261" s="248"/>
      <c r="D261" s="242"/>
      <c r="E261" s="242"/>
      <c r="F261" s="242"/>
      <c r="G261" s="242"/>
      <c r="H261" s="265"/>
      <c r="I261" s="242"/>
      <c r="J261" s="242"/>
      <c r="K261" s="248"/>
      <c r="L261" s="248"/>
      <c r="M261" s="248"/>
      <c r="N261" s="242"/>
    </row>
    <row r="262" spans="2:14" ht="18" customHeight="1" x14ac:dyDescent="0.15">
      <c r="B262" s="248"/>
      <c r="C262" s="248"/>
      <c r="D262" s="242"/>
      <c r="E262" s="242"/>
      <c r="F262" s="242"/>
      <c r="G262" s="242"/>
      <c r="H262" s="265"/>
      <c r="I262" s="242"/>
      <c r="J262" s="242"/>
      <c r="K262" s="248"/>
      <c r="L262" s="248"/>
      <c r="M262" s="248"/>
      <c r="N262" s="242"/>
    </row>
    <row r="263" spans="2:14" ht="18" customHeight="1" x14ac:dyDescent="0.15">
      <c r="B263" s="248"/>
      <c r="C263" s="248"/>
      <c r="D263" s="242"/>
      <c r="E263" s="242"/>
      <c r="F263" s="242"/>
      <c r="G263" s="242"/>
      <c r="H263" s="265"/>
      <c r="I263" s="242"/>
      <c r="J263" s="242"/>
      <c r="K263" s="248"/>
      <c r="L263" s="248"/>
      <c r="M263" s="248"/>
      <c r="N263" s="242"/>
    </row>
    <row r="264" spans="2:14" ht="18" customHeight="1" x14ac:dyDescent="0.15">
      <c r="B264" s="248"/>
      <c r="C264" s="248"/>
      <c r="D264" s="242"/>
      <c r="E264" s="242"/>
      <c r="F264" s="242"/>
      <c r="G264" s="242"/>
      <c r="H264" s="265"/>
      <c r="I264" s="242"/>
      <c r="J264" s="242"/>
      <c r="K264" s="248"/>
      <c r="L264" s="248"/>
      <c r="M264" s="248"/>
      <c r="N264" s="242"/>
    </row>
    <row r="265" spans="2:14" ht="18" customHeight="1" x14ac:dyDescent="0.15">
      <c r="B265" s="248"/>
      <c r="C265" s="248"/>
      <c r="D265" s="242"/>
      <c r="E265" s="242"/>
      <c r="F265" s="242"/>
      <c r="G265" s="242"/>
      <c r="H265" s="265"/>
      <c r="I265" s="242"/>
      <c r="J265" s="242"/>
      <c r="K265" s="248"/>
      <c r="L265" s="248"/>
      <c r="M265" s="248"/>
      <c r="N265" s="242"/>
    </row>
    <row r="266" spans="2:14" ht="18" customHeight="1" x14ac:dyDescent="0.15">
      <c r="B266" s="248"/>
      <c r="C266" s="248"/>
      <c r="D266" s="242"/>
      <c r="E266" s="242"/>
      <c r="F266" s="242"/>
      <c r="G266" s="242"/>
      <c r="H266" s="265"/>
      <c r="I266" s="242"/>
      <c r="J266" s="242"/>
      <c r="K266" s="248"/>
      <c r="L266" s="248"/>
      <c r="M266" s="248"/>
      <c r="N266" s="242"/>
    </row>
    <row r="267" spans="2:14" ht="18" customHeight="1" x14ac:dyDescent="0.15">
      <c r="B267" s="248"/>
      <c r="C267" s="248"/>
      <c r="D267" s="242"/>
      <c r="E267" s="242"/>
      <c r="F267" s="242"/>
      <c r="G267" s="242"/>
      <c r="H267" s="265"/>
      <c r="I267" s="242"/>
      <c r="J267" s="242"/>
      <c r="K267" s="248"/>
      <c r="L267" s="248"/>
      <c r="M267" s="248"/>
      <c r="N267" s="242"/>
    </row>
    <row r="268" spans="2:14" ht="18" customHeight="1" x14ac:dyDescent="0.15">
      <c r="B268" s="248"/>
      <c r="C268" s="248"/>
      <c r="D268" s="242"/>
      <c r="E268" s="242"/>
      <c r="F268" s="242"/>
      <c r="G268" s="242"/>
      <c r="H268" s="265"/>
      <c r="I268" s="242"/>
      <c r="J268" s="242"/>
      <c r="K268" s="248"/>
      <c r="L268" s="248"/>
      <c r="M268" s="248"/>
      <c r="N268" s="242"/>
    </row>
    <row r="269" spans="2:14" ht="18" customHeight="1" x14ac:dyDescent="0.15">
      <c r="B269" s="248"/>
      <c r="C269" s="248"/>
      <c r="D269" s="242"/>
      <c r="E269" s="242"/>
      <c r="F269" s="242"/>
      <c r="G269" s="242"/>
      <c r="H269" s="265"/>
      <c r="I269" s="242"/>
      <c r="J269" s="242"/>
      <c r="K269" s="248"/>
      <c r="L269" s="248"/>
      <c r="M269" s="248"/>
      <c r="N269" s="242"/>
    </row>
    <row r="270" spans="2:14" ht="18" customHeight="1" x14ac:dyDescent="0.15">
      <c r="B270" s="248"/>
      <c r="C270" s="248"/>
      <c r="D270" s="242"/>
      <c r="E270" s="242"/>
      <c r="F270" s="242"/>
      <c r="G270" s="242"/>
      <c r="H270" s="265"/>
      <c r="I270" s="242"/>
      <c r="J270" s="242"/>
      <c r="K270" s="248"/>
      <c r="L270" s="248"/>
      <c r="M270" s="248"/>
      <c r="N270" s="242"/>
    </row>
    <row r="271" spans="2:14" ht="18" customHeight="1" x14ac:dyDescent="0.15">
      <c r="B271" s="248"/>
      <c r="C271" s="248"/>
      <c r="D271" s="242"/>
      <c r="E271" s="242"/>
      <c r="F271" s="242"/>
      <c r="G271" s="242"/>
      <c r="H271" s="265"/>
      <c r="I271" s="242"/>
      <c r="J271" s="242"/>
      <c r="K271" s="248"/>
      <c r="L271" s="248"/>
      <c r="M271" s="248"/>
      <c r="N271" s="242"/>
    </row>
    <row r="272" spans="2:14" ht="18" customHeight="1" x14ac:dyDescent="0.15">
      <c r="B272" s="248"/>
      <c r="C272" s="248"/>
      <c r="D272" s="242"/>
      <c r="E272" s="242"/>
      <c r="F272" s="242"/>
      <c r="G272" s="242"/>
      <c r="H272" s="265"/>
      <c r="I272" s="242"/>
      <c r="J272" s="242"/>
      <c r="K272" s="248"/>
      <c r="L272" s="248"/>
      <c r="M272" s="248"/>
      <c r="N272" s="242"/>
    </row>
    <row r="273" spans="2:14" ht="18" customHeight="1" x14ac:dyDescent="0.15">
      <c r="B273" s="248"/>
      <c r="C273" s="248"/>
      <c r="D273" s="242"/>
      <c r="E273" s="242"/>
      <c r="F273" s="242"/>
      <c r="G273" s="242"/>
      <c r="H273" s="265"/>
      <c r="I273" s="242"/>
      <c r="J273" s="242"/>
      <c r="K273" s="248"/>
      <c r="L273" s="248"/>
      <c r="M273" s="248"/>
      <c r="N273" s="242"/>
    </row>
    <row r="274" spans="2:14" ht="18" customHeight="1" x14ac:dyDescent="0.15">
      <c r="B274" s="248"/>
      <c r="C274" s="248"/>
      <c r="D274" s="242"/>
      <c r="E274" s="242"/>
      <c r="F274" s="242"/>
      <c r="G274" s="242"/>
      <c r="H274" s="265"/>
      <c r="I274" s="242"/>
      <c r="J274" s="242"/>
      <c r="K274" s="248"/>
      <c r="L274" s="248"/>
      <c r="M274" s="248"/>
      <c r="N274" s="242"/>
    </row>
    <row r="275" spans="2:14" ht="18" customHeight="1" x14ac:dyDescent="0.15">
      <c r="B275" s="248"/>
      <c r="C275" s="248"/>
      <c r="D275" s="242"/>
      <c r="E275" s="242"/>
      <c r="F275" s="242"/>
      <c r="G275" s="242"/>
      <c r="H275" s="265"/>
      <c r="I275" s="242"/>
      <c r="J275" s="242"/>
      <c r="K275" s="248"/>
      <c r="L275" s="248"/>
      <c r="M275" s="248"/>
      <c r="N275" s="242"/>
    </row>
    <row r="276" spans="2:14" ht="18" customHeight="1" x14ac:dyDescent="0.15">
      <c r="B276" s="248"/>
      <c r="C276" s="248"/>
      <c r="D276" s="242"/>
      <c r="E276" s="242"/>
      <c r="F276" s="242"/>
      <c r="G276" s="242"/>
      <c r="H276" s="265"/>
      <c r="I276" s="242"/>
      <c r="J276" s="242"/>
      <c r="K276" s="248"/>
      <c r="L276" s="248"/>
      <c r="M276" s="248"/>
      <c r="N276" s="242"/>
    </row>
    <row r="277" spans="2:14" ht="18" customHeight="1" x14ac:dyDescent="0.15">
      <c r="B277" s="248"/>
      <c r="C277" s="248"/>
      <c r="D277" s="242"/>
      <c r="E277" s="242"/>
      <c r="F277" s="242"/>
      <c r="G277" s="242"/>
      <c r="H277" s="265"/>
      <c r="I277" s="242"/>
      <c r="J277" s="242"/>
      <c r="K277" s="248"/>
      <c r="L277" s="248"/>
      <c r="M277" s="248"/>
      <c r="N277" s="242"/>
    </row>
    <row r="278" spans="2:14" ht="18" customHeight="1" x14ac:dyDescent="0.15">
      <c r="B278" s="248"/>
      <c r="C278" s="248"/>
      <c r="D278" s="242"/>
      <c r="E278" s="242"/>
      <c r="F278" s="242"/>
      <c r="G278" s="242"/>
      <c r="H278" s="265"/>
      <c r="I278" s="242"/>
      <c r="J278" s="242"/>
      <c r="K278" s="248"/>
      <c r="L278" s="248"/>
      <c r="M278" s="248"/>
      <c r="N278" s="242"/>
    </row>
    <row r="279" spans="2:14" ht="18" customHeight="1" x14ac:dyDescent="0.15">
      <c r="B279" s="248"/>
      <c r="C279" s="248"/>
      <c r="D279" s="242"/>
      <c r="E279" s="242"/>
      <c r="F279" s="242"/>
      <c r="G279" s="242"/>
      <c r="H279" s="265"/>
      <c r="I279" s="242"/>
      <c r="J279" s="242"/>
      <c r="K279" s="248"/>
      <c r="L279" s="248"/>
      <c r="M279" s="248"/>
      <c r="N279" s="242"/>
    </row>
    <row r="280" spans="2:14" ht="18" customHeight="1" x14ac:dyDescent="0.15">
      <c r="B280" s="248"/>
      <c r="C280" s="248"/>
      <c r="D280" s="242"/>
      <c r="E280" s="242"/>
      <c r="F280" s="242"/>
      <c r="G280" s="242"/>
      <c r="H280" s="265"/>
      <c r="I280" s="242"/>
      <c r="J280" s="242"/>
      <c r="K280" s="248"/>
      <c r="L280" s="248"/>
      <c r="M280" s="248"/>
      <c r="N280" s="242"/>
    </row>
    <row r="281" spans="2:14" ht="18" customHeight="1" x14ac:dyDescent="0.15">
      <c r="B281" s="248"/>
      <c r="C281" s="248"/>
      <c r="D281" s="242"/>
      <c r="E281" s="242"/>
      <c r="F281" s="242"/>
      <c r="G281" s="242"/>
      <c r="H281" s="265"/>
      <c r="I281" s="242"/>
      <c r="J281" s="242"/>
      <c r="K281" s="248"/>
      <c r="L281" s="248"/>
      <c r="M281" s="248"/>
      <c r="N281" s="242"/>
    </row>
    <row r="282" spans="2:14" ht="18" customHeight="1" x14ac:dyDescent="0.15">
      <c r="B282" s="248"/>
      <c r="C282" s="248"/>
      <c r="D282" s="242"/>
      <c r="E282" s="242"/>
      <c r="F282" s="242"/>
      <c r="G282" s="242"/>
      <c r="H282" s="265"/>
      <c r="I282" s="242"/>
      <c r="J282" s="242"/>
      <c r="K282" s="248"/>
      <c r="L282" s="248"/>
      <c r="M282" s="248"/>
      <c r="N282" s="242"/>
    </row>
    <row r="283" spans="2:14" ht="18" customHeight="1" x14ac:dyDescent="0.15">
      <c r="B283" s="248"/>
      <c r="C283" s="248"/>
      <c r="D283" s="242"/>
      <c r="E283" s="242"/>
      <c r="F283" s="242"/>
      <c r="G283" s="242"/>
      <c r="H283" s="265"/>
      <c r="I283" s="242"/>
      <c r="J283" s="242"/>
      <c r="K283" s="248"/>
      <c r="L283" s="248"/>
      <c r="M283" s="248"/>
      <c r="N283" s="242"/>
    </row>
    <row r="284" spans="2:14" ht="18" customHeight="1" x14ac:dyDescent="0.15">
      <c r="B284" s="248"/>
      <c r="C284" s="248"/>
      <c r="D284" s="242"/>
      <c r="E284" s="242"/>
      <c r="F284" s="242"/>
      <c r="G284" s="242"/>
      <c r="H284" s="265"/>
      <c r="I284" s="242"/>
      <c r="J284" s="242"/>
      <c r="K284" s="248"/>
      <c r="L284" s="248"/>
      <c r="M284" s="248"/>
      <c r="N284" s="242"/>
    </row>
    <row r="285" spans="2:14" ht="18" customHeight="1" x14ac:dyDescent="0.15">
      <c r="B285" s="248"/>
      <c r="C285" s="248"/>
      <c r="D285" s="242"/>
      <c r="E285" s="242"/>
      <c r="F285" s="242"/>
      <c r="G285" s="242"/>
      <c r="H285" s="265"/>
      <c r="I285" s="242"/>
      <c r="J285" s="242"/>
      <c r="K285" s="248"/>
      <c r="L285" s="248"/>
      <c r="M285" s="248"/>
      <c r="N285" s="242"/>
    </row>
    <row r="286" spans="2:14" ht="18" customHeight="1" x14ac:dyDescent="0.15">
      <c r="B286" s="248"/>
      <c r="C286" s="248"/>
      <c r="D286" s="242"/>
      <c r="E286" s="242"/>
      <c r="F286" s="242"/>
      <c r="G286" s="242"/>
      <c r="H286" s="265"/>
      <c r="I286" s="242"/>
      <c r="J286" s="242"/>
      <c r="K286" s="248"/>
      <c r="L286" s="248"/>
      <c r="M286" s="248"/>
      <c r="N286" s="242"/>
    </row>
    <row r="287" spans="2:14" ht="18" customHeight="1" x14ac:dyDescent="0.15">
      <c r="B287" s="248"/>
      <c r="C287" s="248"/>
      <c r="D287" s="242"/>
      <c r="E287" s="242"/>
      <c r="F287" s="242"/>
      <c r="G287" s="242"/>
      <c r="H287" s="265"/>
      <c r="I287" s="242"/>
      <c r="J287" s="242"/>
      <c r="K287" s="248"/>
      <c r="L287" s="248"/>
      <c r="M287" s="248"/>
      <c r="N287" s="242"/>
    </row>
    <row r="288" spans="2:14" ht="18" customHeight="1" x14ac:dyDescent="0.15">
      <c r="B288" s="248"/>
      <c r="C288" s="248"/>
      <c r="D288" s="242"/>
      <c r="E288" s="242"/>
      <c r="F288" s="242"/>
      <c r="G288" s="242"/>
      <c r="H288" s="265"/>
      <c r="I288" s="242"/>
      <c r="J288" s="242"/>
      <c r="K288" s="248"/>
      <c r="L288" s="248"/>
      <c r="M288" s="248"/>
      <c r="N288" s="242"/>
    </row>
    <row r="289" spans="2:14" ht="18" customHeight="1" x14ac:dyDescent="0.15">
      <c r="B289" s="248"/>
      <c r="C289" s="248"/>
      <c r="D289" s="242"/>
      <c r="E289" s="242"/>
      <c r="F289" s="242"/>
      <c r="G289" s="242"/>
      <c r="H289" s="265"/>
      <c r="I289" s="242"/>
      <c r="J289" s="242"/>
      <c r="K289" s="248"/>
      <c r="L289" s="248"/>
      <c r="M289" s="248"/>
      <c r="N289" s="242"/>
    </row>
    <row r="290" spans="2:14" ht="18" customHeight="1" x14ac:dyDescent="0.15">
      <c r="B290" s="248"/>
      <c r="C290" s="248"/>
      <c r="D290" s="242"/>
      <c r="E290" s="242"/>
      <c r="F290" s="242"/>
      <c r="G290" s="242"/>
      <c r="H290" s="265"/>
      <c r="I290" s="242"/>
      <c r="J290" s="242"/>
      <c r="K290" s="248"/>
      <c r="L290" s="248"/>
      <c r="M290" s="248"/>
      <c r="N290" s="242"/>
    </row>
    <row r="291" spans="2:14" ht="18" customHeight="1" x14ac:dyDescent="0.15">
      <c r="B291" s="248"/>
      <c r="C291" s="248"/>
      <c r="D291" s="242"/>
      <c r="E291" s="242"/>
      <c r="F291" s="242"/>
      <c r="G291" s="242"/>
      <c r="H291" s="265"/>
      <c r="I291" s="242"/>
      <c r="J291" s="242"/>
      <c r="K291" s="248"/>
      <c r="L291" s="248"/>
      <c r="M291" s="248"/>
      <c r="N291" s="242"/>
    </row>
    <row r="292" spans="2:14" ht="18" customHeight="1" x14ac:dyDescent="0.15">
      <c r="B292" s="248"/>
      <c r="C292" s="248"/>
      <c r="D292" s="242"/>
      <c r="E292" s="242"/>
      <c r="F292" s="242"/>
      <c r="G292" s="242"/>
      <c r="H292" s="265"/>
      <c r="I292" s="242"/>
      <c r="J292" s="242"/>
      <c r="K292" s="248"/>
      <c r="L292" s="248"/>
      <c r="M292" s="248"/>
      <c r="N292" s="242"/>
    </row>
    <row r="293" spans="2:14" ht="18" customHeight="1" x14ac:dyDescent="0.15">
      <c r="B293" s="248"/>
      <c r="C293" s="248"/>
      <c r="D293" s="242"/>
      <c r="E293" s="242"/>
      <c r="F293" s="242"/>
      <c r="G293" s="242"/>
      <c r="H293" s="265"/>
      <c r="I293" s="242"/>
      <c r="J293" s="242"/>
      <c r="K293" s="248"/>
      <c r="L293" s="248"/>
      <c r="M293" s="248"/>
      <c r="N293" s="242"/>
    </row>
    <row r="294" spans="2:14" ht="18" customHeight="1" x14ac:dyDescent="0.15">
      <c r="B294" s="248"/>
      <c r="C294" s="248"/>
      <c r="D294" s="242"/>
      <c r="E294" s="242"/>
      <c r="F294" s="242"/>
      <c r="G294" s="242"/>
      <c r="H294" s="265"/>
      <c r="I294" s="242"/>
      <c r="J294" s="242"/>
      <c r="K294" s="248"/>
      <c r="L294" s="248"/>
      <c r="M294" s="248"/>
      <c r="N294" s="242"/>
    </row>
    <row r="295" spans="2:14" ht="18" customHeight="1" x14ac:dyDescent="0.15">
      <c r="B295" s="248"/>
      <c r="C295" s="248"/>
      <c r="D295" s="242"/>
      <c r="E295" s="242"/>
      <c r="F295" s="242"/>
      <c r="G295" s="242"/>
      <c r="H295" s="265"/>
      <c r="I295" s="242"/>
      <c r="J295" s="242"/>
      <c r="K295" s="248"/>
      <c r="L295" s="248"/>
      <c r="M295" s="248"/>
      <c r="N295" s="242"/>
    </row>
    <row r="296" spans="2:14" ht="18" customHeight="1" x14ac:dyDescent="0.15">
      <c r="B296" s="248"/>
      <c r="C296" s="248"/>
      <c r="D296" s="242"/>
      <c r="E296" s="242"/>
      <c r="F296" s="242"/>
      <c r="G296" s="242"/>
      <c r="H296" s="265"/>
      <c r="I296" s="242"/>
      <c r="J296" s="242"/>
      <c r="K296" s="248"/>
      <c r="L296" s="248"/>
      <c r="M296" s="248"/>
      <c r="N296" s="242"/>
    </row>
    <row r="297" spans="2:14" ht="18" customHeight="1" x14ac:dyDescent="0.15">
      <c r="B297" s="248"/>
      <c r="C297" s="248"/>
      <c r="D297" s="242"/>
      <c r="E297" s="242"/>
      <c r="F297" s="242"/>
      <c r="G297" s="242"/>
      <c r="H297" s="265"/>
      <c r="I297" s="242"/>
      <c r="J297" s="242"/>
      <c r="K297" s="248"/>
      <c r="L297" s="248"/>
      <c r="M297" s="248"/>
      <c r="N297" s="242"/>
    </row>
    <row r="298" spans="2:14" ht="18" customHeight="1" x14ac:dyDescent="0.15">
      <c r="B298" s="248"/>
      <c r="C298" s="248"/>
      <c r="D298" s="242"/>
      <c r="E298" s="242"/>
      <c r="F298" s="242"/>
      <c r="G298" s="242"/>
      <c r="H298" s="265"/>
      <c r="I298" s="242"/>
      <c r="J298" s="242"/>
      <c r="K298" s="248"/>
      <c r="L298" s="248"/>
      <c r="M298" s="248"/>
      <c r="N298" s="242"/>
    </row>
    <row r="299" spans="2:14" ht="18" customHeight="1" x14ac:dyDescent="0.15">
      <c r="B299" s="248"/>
      <c r="C299" s="248"/>
      <c r="D299" s="242"/>
      <c r="E299" s="242"/>
      <c r="F299" s="242"/>
      <c r="G299" s="242"/>
      <c r="H299" s="265"/>
      <c r="I299" s="242"/>
      <c r="J299" s="242"/>
      <c r="K299" s="248"/>
      <c r="L299" s="248"/>
      <c r="M299" s="248"/>
      <c r="N299" s="242"/>
    </row>
    <row r="300" spans="2:14" ht="18" customHeight="1" x14ac:dyDescent="0.15">
      <c r="B300" s="248"/>
      <c r="C300" s="248"/>
      <c r="D300" s="242"/>
      <c r="E300" s="242"/>
      <c r="F300" s="242"/>
      <c r="G300" s="242"/>
      <c r="H300" s="265"/>
      <c r="I300" s="242"/>
      <c r="J300" s="242"/>
      <c r="K300" s="248"/>
      <c r="L300" s="248"/>
      <c r="M300" s="248"/>
      <c r="N300" s="242"/>
    </row>
    <row r="301" spans="2:14" ht="18" customHeight="1" x14ac:dyDescent="0.15">
      <c r="B301" s="248"/>
      <c r="C301" s="248"/>
      <c r="D301" s="242"/>
      <c r="E301" s="242"/>
      <c r="F301" s="242"/>
      <c r="G301" s="242"/>
      <c r="H301" s="265"/>
      <c r="I301" s="242"/>
      <c r="J301" s="242"/>
      <c r="K301" s="248"/>
      <c r="L301" s="248"/>
      <c r="M301" s="248"/>
      <c r="N301" s="242"/>
    </row>
    <row r="302" spans="2:14" ht="18" customHeight="1" x14ac:dyDescent="0.15">
      <c r="B302" s="248"/>
      <c r="C302" s="248"/>
      <c r="D302" s="242"/>
      <c r="E302" s="242"/>
      <c r="F302" s="242"/>
      <c r="G302" s="242"/>
      <c r="H302" s="265"/>
      <c r="I302" s="242"/>
      <c r="J302" s="242"/>
      <c r="K302" s="248"/>
      <c r="L302" s="248"/>
      <c r="M302" s="248"/>
      <c r="N302" s="242"/>
    </row>
    <row r="303" spans="2:14" ht="18" customHeight="1" x14ac:dyDescent="0.15">
      <c r="B303" s="248"/>
      <c r="C303" s="248"/>
      <c r="D303" s="242"/>
      <c r="E303" s="242"/>
      <c r="F303" s="242"/>
      <c r="G303" s="242"/>
      <c r="H303" s="265"/>
      <c r="I303" s="242"/>
      <c r="J303" s="242"/>
      <c r="K303" s="248"/>
      <c r="L303" s="248"/>
      <c r="M303" s="248"/>
      <c r="N303" s="242"/>
    </row>
    <row r="304" spans="2:14" ht="18" customHeight="1" x14ac:dyDescent="0.15">
      <c r="B304" s="248"/>
      <c r="C304" s="248"/>
      <c r="D304" s="242"/>
      <c r="E304" s="242"/>
      <c r="F304" s="242"/>
      <c r="G304" s="242"/>
      <c r="H304" s="265"/>
      <c r="I304" s="242"/>
      <c r="J304" s="242"/>
      <c r="K304" s="248"/>
      <c r="L304" s="248"/>
      <c r="M304" s="248"/>
      <c r="N304" s="242"/>
    </row>
    <row r="305" spans="2:14" ht="18" customHeight="1" x14ac:dyDescent="0.15">
      <c r="B305" s="248"/>
      <c r="C305" s="248"/>
      <c r="D305" s="242"/>
      <c r="E305" s="242"/>
      <c r="F305" s="242"/>
      <c r="G305" s="242"/>
      <c r="H305" s="265"/>
      <c r="I305" s="242"/>
      <c r="J305" s="242"/>
      <c r="K305" s="248"/>
      <c r="L305" s="248"/>
      <c r="M305" s="248"/>
      <c r="N305" s="242"/>
    </row>
    <row r="306" spans="2:14" ht="18" customHeight="1" x14ac:dyDescent="0.15">
      <c r="B306" s="248"/>
      <c r="C306" s="248"/>
      <c r="D306" s="242"/>
      <c r="E306" s="242"/>
      <c r="F306" s="242"/>
      <c r="G306" s="242"/>
      <c r="H306" s="265"/>
      <c r="I306" s="242"/>
      <c r="J306" s="242"/>
      <c r="K306" s="248"/>
      <c r="L306" s="248"/>
      <c r="M306" s="248"/>
      <c r="N306" s="242"/>
    </row>
    <row r="307" spans="2:14" ht="18" customHeight="1" x14ac:dyDescent="0.15">
      <c r="B307" s="248"/>
      <c r="C307" s="248"/>
      <c r="D307" s="242"/>
      <c r="E307" s="242"/>
      <c r="F307" s="242"/>
      <c r="G307" s="242"/>
      <c r="H307" s="265"/>
      <c r="I307" s="242"/>
      <c r="J307" s="242"/>
      <c r="K307" s="248"/>
      <c r="L307" s="248"/>
      <c r="M307" s="248"/>
      <c r="N307" s="242"/>
    </row>
    <row r="308" spans="2:14" ht="18" customHeight="1" x14ac:dyDescent="0.15">
      <c r="B308" s="248"/>
      <c r="C308" s="248"/>
      <c r="D308" s="242"/>
      <c r="E308" s="242"/>
      <c r="F308" s="242"/>
      <c r="G308" s="242"/>
      <c r="H308" s="265"/>
      <c r="I308" s="242"/>
      <c r="J308" s="242"/>
      <c r="K308" s="248"/>
      <c r="L308" s="248"/>
      <c r="M308" s="248"/>
      <c r="N308" s="242"/>
    </row>
    <row r="309" spans="2:14" ht="18" customHeight="1" x14ac:dyDescent="0.15">
      <c r="B309" s="248"/>
      <c r="C309" s="248"/>
      <c r="D309" s="242"/>
      <c r="E309" s="242"/>
      <c r="F309" s="242"/>
      <c r="G309" s="242"/>
      <c r="H309" s="265"/>
      <c r="I309" s="242"/>
      <c r="J309" s="242"/>
      <c r="K309" s="248"/>
      <c r="L309" s="248"/>
      <c r="M309" s="248"/>
      <c r="N309" s="242"/>
    </row>
    <row r="310" spans="2:14" ht="18" customHeight="1" x14ac:dyDescent="0.15">
      <c r="B310" s="248"/>
      <c r="C310" s="248"/>
      <c r="D310" s="242"/>
      <c r="E310" s="242"/>
      <c r="F310" s="242"/>
      <c r="G310" s="242"/>
      <c r="H310" s="265"/>
      <c r="I310" s="242"/>
      <c r="J310" s="242"/>
      <c r="K310" s="248"/>
      <c r="L310" s="248"/>
      <c r="M310" s="248"/>
      <c r="N310" s="242"/>
    </row>
    <row r="311" spans="2:14" ht="18" customHeight="1" x14ac:dyDescent="0.15">
      <c r="B311" s="248"/>
      <c r="C311" s="248"/>
      <c r="D311" s="242"/>
      <c r="E311" s="242"/>
      <c r="F311" s="242"/>
      <c r="G311" s="242"/>
      <c r="H311" s="265"/>
      <c r="I311" s="242"/>
      <c r="J311" s="242"/>
      <c r="K311" s="248"/>
      <c r="L311" s="248"/>
      <c r="M311" s="248"/>
      <c r="N311" s="242"/>
    </row>
    <row r="312" spans="2:14" ht="18" customHeight="1" x14ac:dyDescent="0.15">
      <c r="B312" s="248"/>
      <c r="C312" s="248"/>
      <c r="D312" s="242"/>
      <c r="E312" s="242"/>
      <c r="F312" s="242"/>
      <c r="G312" s="242"/>
      <c r="H312" s="265"/>
      <c r="I312" s="242"/>
      <c r="J312" s="242"/>
      <c r="K312" s="248"/>
      <c r="L312" s="248"/>
      <c r="M312" s="248"/>
      <c r="N312" s="242"/>
    </row>
    <row r="313" spans="2:14" ht="18" customHeight="1" x14ac:dyDescent="0.15">
      <c r="B313" s="248"/>
      <c r="C313" s="248"/>
      <c r="D313" s="242"/>
      <c r="E313" s="242"/>
      <c r="F313" s="242"/>
      <c r="G313" s="242"/>
      <c r="H313" s="265"/>
      <c r="I313" s="242"/>
      <c r="J313" s="242"/>
      <c r="K313" s="248"/>
      <c r="L313" s="248"/>
      <c r="M313" s="248"/>
      <c r="N313" s="242"/>
    </row>
    <row r="314" spans="2:14" ht="18" customHeight="1" x14ac:dyDescent="0.15">
      <c r="B314" s="248"/>
      <c r="C314" s="248"/>
      <c r="D314" s="242"/>
      <c r="E314" s="242"/>
      <c r="F314" s="242"/>
      <c r="G314" s="242"/>
      <c r="H314" s="265"/>
      <c r="I314" s="242"/>
      <c r="J314" s="242"/>
      <c r="K314" s="248"/>
      <c r="L314" s="248"/>
      <c r="M314" s="248"/>
      <c r="N314" s="242"/>
    </row>
    <row r="315" spans="2:14" ht="18" customHeight="1" x14ac:dyDescent="0.15">
      <c r="B315" s="248"/>
      <c r="C315" s="248"/>
      <c r="D315" s="242"/>
      <c r="E315" s="242"/>
      <c r="F315" s="242"/>
      <c r="G315" s="242"/>
      <c r="H315" s="265"/>
      <c r="I315" s="242"/>
      <c r="J315" s="242"/>
      <c r="K315" s="248"/>
      <c r="L315" s="248"/>
      <c r="M315" s="248"/>
      <c r="N315" s="242"/>
    </row>
    <row r="316" spans="2:14" ht="18" customHeight="1" x14ac:dyDescent="0.15">
      <c r="B316" s="248"/>
      <c r="C316" s="248"/>
      <c r="D316" s="242"/>
      <c r="E316" s="242"/>
      <c r="F316" s="242"/>
      <c r="G316" s="242"/>
      <c r="H316" s="265"/>
      <c r="I316" s="242"/>
      <c r="J316" s="242"/>
      <c r="K316" s="248"/>
      <c r="L316" s="248"/>
      <c r="M316" s="248"/>
      <c r="N316" s="242"/>
    </row>
    <row r="317" spans="2:14" ht="18" customHeight="1" x14ac:dyDescent="0.15">
      <c r="B317" s="248"/>
      <c r="C317" s="248"/>
      <c r="D317" s="242"/>
      <c r="E317" s="242"/>
      <c r="F317" s="242"/>
      <c r="G317" s="242"/>
      <c r="H317" s="265"/>
      <c r="I317" s="242"/>
      <c r="J317" s="242"/>
      <c r="K317" s="248"/>
      <c r="L317" s="248"/>
      <c r="M317" s="248"/>
      <c r="N317" s="242"/>
    </row>
    <row r="318" spans="2:14" ht="18" customHeight="1" x14ac:dyDescent="0.15">
      <c r="B318" s="248"/>
      <c r="C318" s="248"/>
      <c r="D318" s="242"/>
      <c r="E318" s="242"/>
      <c r="F318" s="242"/>
      <c r="G318" s="242"/>
      <c r="H318" s="265"/>
      <c r="I318" s="242"/>
      <c r="J318" s="242"/>
      <c r="K318" s="248"/>
      <c r="L318" s="248"/>
      <c r="M318" s="248"/>
      <c r="N318" s="242"/>
    </row>
    <row r="319" spans="2:14" ht="18" customHeight="1" x14ac:dyDescent="0.15">
      <c r="B319" s="248"/>
      <c r="C319" s="248"/>
      <c r="D319" s="242"/>
      <c r="E319" s="242"/>
      <c r="F319" s="242"/>
      <c r="G319" s="242"/>
      <c r="H319" s="265"/>
      <c r="I319" s="242"/>
      <c r="J319" s="242"/>
      <c r="K319" s="248"/>
      <c r="L319" s="248"/>
      <c r="M319" s="248"/>
      <c r="N319" s="242"/>
    </row>
    <row r="320" spans="2:14" ht="18" customHeight="1" x14ac:dyDescent="0.15">
      <c r="B320" s="248"/>
      <c r="C320" s="248"/>
      <c r="D320" s="242"/>
      <c r="E320" s="242"/>
      <c r="F320" s="242"/>
      <c r="G320" s="242"/>
      <c r="H320" s="265"/>
      <c r="I320" s="242"/>
      <c r="J320" s="242"/>
      <c r="K320" s="248"/>
      <c r="L320" s="248"/>
      <c r="M320" s="248"/>
      <c r="N320" s="242"/>
    </row>
    <row r="321" spans="2:14" ht="18" customHeight="1" x14ac:dyDescent="0.15">
      <c r="B321" s="248"/>
      <c r="C321" s="248"/>
      <c r="D321" s="242"/>
      <c r="E321" s="242"/>
      <c r="F321" s="242"/>
      <c r="G321" s="242"/>
      <c r="H321" s="265"/>
      <c r="I321" s="242"/>
      <c r="J321" s="242"/>
      <c r="K321" s="248"/>
      <c r="L321" s="248"/>
      <c r="M321" s="248"/>
      <c r="N321" s="242"/>
    </row>
    <row r="322" spans="2:14" ht="18" customHeight="1" x14ac:dyDescent="0.15">
      <c r="B322" s="248"/>
      <c r="C322" s="248"/>
      <c r="D322" s="242"/>
      <c r="E322" s="242"/>
      <c r="F322" s="242"/>
      <c r="G322" s="242"/>
      <c r="H322" s="265"/>
      <c r="I322" s="242"/>
      <c r="J322" s="242"/>
      <c r="K322" s="248"/>
      <c r="L322" s="248"/>
      <c r="M322" s="248"/>
      <c r="N322" s="242"/>
    </row>
    <row r="323" spans="2:14" ht="18" customHeight="1" x14ac:dyDescent="0.15">
      <c r="B323" s="248"/>
      <c r="C323" s="248"/>
      <c r="D323" s="242"/>
      <c r="E323" s="242"/>
      <c r="F323" s="242"/>
      <c r="G323" s="242"/>
      <c r="H323" s="265"/>
      <c r="I323" s="242"/>
      <c r="J323" s="242"/>
      <c r="K323" s="248"/>
      <c r="L323" s="248"/>
      <c r="M323" s="248"/>
      <c r="N323" s="242"/>
    </row>
    <row r="324" spans="2:14" ht="18" customHeight="1" x14ac:dyDescent="0.15">
      <c r="B324" s="248"/>
      <c r="C324" s="248"/>
      <c r="D324" s="242"/>
      <c r="E324" s="242"/>
      <c r="F324" s="242"/>
      <c r="G324" s="242"/>
      <c r="H324" s="265"/>
      <c r="I324" s="242"/>
      <c r="J324" s="242"/>
      <c r="K324" s="248"/>
      <c r="L324" s="248"/>
      <c r="M324" s="248"/>
      <c r="N324" s="242"/>
    </row>
    <row r="325" spans="2:14" ht="18" customHeight="1" x14ac:dyDescent="0.15">
      <c r="B325" s="248"/>
      <c r="C325" s="248"/>
      <c r="D325" s="242"/>
      <c r="E325" s="242"/>
      <c r="F325" s="242"/>
      <c r="G325" s="242"/>
      <c r="H325" s="265"/>
      <c r="I325" s="242"/>
      <c r="J325" s="242"/>
      <c r="K325" s="248"/>
      <c r="L325" s="248"/>
      <c r="M325" s="248"/>
      <c r="N325" s="242"/>
    </row>
    <row r="326" spans="2:14" ht="18" customHeight="1" x14ac:dyDescent="0.15">
      <c r="B326" s="248"/>
      <c r="C326" s="248"/>
      <c r="D326" s="242"/>
      <c r="E326" s="242"/>
      <c r="F326" s="242"/>
      <c r="G326" s="242"/>
      <c r="H326" s="265"/>
      <c r="I326" s="242"/>
      <c r="J326" s="242"/>
      <c r="K326" s="248"/>
      <c r="L326" s="248"/>
      <c r="M326" s="248"/>
      <c r="N326" s="242"/>
    </row>
    <row r="327" spans="2:14" ht="18" customHeight="1" x14ac:dyDescent="0.15">
      <c r="B327" s="248"/>
      <c r="C327" s="248"/>
      <c r="D327" s="242"/>
      <c r="E327" s="242"/>
      <c r="F327" s="242"/>
      <c r="G327" s="242"/>
      <c r="H327" s="265"/>
      <c r="I327" s="242"/>
      <c r="J327" s="242"/>
      <c r="K327" s="248"/>
      <c r="L327" s="248"/>
      <c r="M327" s="248"/>
      <c r="N327" s="242"/>
    </row>
    <row r="328" spans="2:14" ht="18" customHeight="1" x14ac:dyDescent="0.15">
      <c r="B328" s="248"/>
      <c r="C328" s="248"/>
      <c r="D328" s="242"/>
      <c r="E328" s="242"/>
      <c r="F328" s="242"/>
      <c r="G328" s="242"/>
      <c r="H328" s="265"/>
      <c r="I328" s="242"/>
      <c r="J328" s="242"/>
      <c r="K328" s="248"/>
      <c r="L328" s="248"/>
      <c r="M328" s="248"/>
      <c r="N328" s="242"/>
    </row>
    <row r="329" spans="2:14" ht="18" customHeight="1" x14ac:dyDescent="0.15">
      <c r="B329" s="248"/>
      <c r="C329" s="248"/>
      <c r="D329" s="242"/>
      <c r="E329" s="242"/>
      <c r="F329" s="242"/>
      <c r="G329" s="242"/>
      <c r="H329" s="265"/>
      <c r="I329" s="242"/>
      <c r="J329" s="242"/>
      <c r="K329" s="248"/>
      <c r="L329" s="248"/>
      <c r="M329" s="248"/>
      <c r="N329" s="242"/>
    </row>
    <row r="330" spans="2:14" ht="18" customHeight="1" x14ac:dyDescent="0.15">
      <c r="B330" s="248"/>
      <c r="C330" s="248"/>
      <c r="D330" s="242"/>
      <c r="E330" s="242"/>
      <c r="F330" s="242"/>
      <c r="G330" s="242"/>
      <c r="H330" s="265"/>
      <c r="I330" s="242"/>
      <c r="J330" s="242"/>
      <c r="K330" s="248"/>
      <c r="L330" s="248"/>
      <c r="M330" s="248"/>
      <c r="N330" s="242"/>
    </row>
    <row r="331" spans="2:14" ht="18" customHeight="1" x14ac:dyDescent="0.15">
      <c r="B331" s="248"/>
      <c r="C331" s="248"/>
      <c r="D331" s="242"/>
      <c r="E331" s="242"/>
      <c r="F331" s="242"/>
      <c r="G331" s="242"/>
      <c r="H331" s="265"/>
      <c r="I331" s="242"/>
      <c r="J331" s="242"/>
      <c r="K331" s="248"/>
      <c r="L331" s="248"/>
      <c r="M331" s="248"/>
      <c r="N331" s="242"/>
    </row>
    <row r="332" spans="2:14" ht="18" customHeight="1" x14ac:dyDescent="0.15">
      <c r="B332" s="248"/>
      <c r="C332" s="248"/>
      <c r="D332" s="242"/>
      <c r="E332" s="242"/>
      <c r="F332" s="242"/>
      <c r="G332" s="242"/>
      <c r="H332" s="265"/>
      <c r="I332" s="242"/>
      <c r="J332" s="242"/>
      <c r="K332" s="248"/>
      <c r="L332" s="248"/>
      <c r="M332" s="248"/>
      <c r="N332" s="242"/>
    </row>
    <row r="333" spans="2:14" ht="18" customHeight="1" x14ac:dyDescent="0.15">
      <c r="B333" s="248"/>
      <c r="C333" s="248"/>
      <c r="D333" s="242"/>
      <c r="E333" s="242"/>
      <c r="F333" s="242"/>
      <c r="G333" s="242"/>
      <c r="H333" s="265"/>
      <c r="I333" s="242"/>
      <c r="J333" s="242"/>
      <c r="K333" s="248"/>
      <c r="L333" s="248"/>
      <c r="M333" s="248"/>
      <c r="N333" s="242"/>
    </row>
    <row r="334" spans="2:14" ht="18" customHeight="1" x14ac:dyDescent="0.15">
      <c r="B334" s="248"/>
      <c r="C334" s="248"/>
      <c r="D334" s="242"/>
      <c r="E334" s="242"/>
      <c r="F334" s="242"/>
      <c r="G334" s="242"/>
      <c r="H334" s="265"/>
      <c r="I334" s="242"/>
      <c r="J334" s="242"/>
      <c r="K334" s="248"/>
      <c r="L334" s="248"/>
      <c r="M334" s="248"/>
      <c r="N334" s="242"/>
    </row>
    <row r="335" spans="2:14" ht="18" customHeight="1" x14ac:dyDescent="0.15">
      <c r="B335" s="248"/>
      <c r="C335" s="248"/>
      <c r="D335" s="242"/>
      <c r="E335" s="242"/>
      <c r="F335" s="242"/>
      <c r="G335" s="242"/>
      <c r="H335" s="265"/>
      <c r="I335" s="242"/>
      <c r="J335" s="242"/>
      <c r="K335" s="248"/>
      <c r="L335" s="248"/>
      <c r="M335" s="248"/>
      <c r="N335" s="242"/>
    </row>
    <row r="336" spans="2:14" ht="18" customHeight="1" x14ac:dyDescent="0.15">
      <c r="B336" s="248"/>
      <c r="C336" s="248"/>
      <c r="D336" s="242"/>
      <c r="E336" s="242"/>
      <c r="F336" s="242"/>
      <c r="G336" s="242"/>
      <c r="H336" s="265"/>
      <c r="I336" s="242"/>
      <c r="J336" s="242"/>
      <c r="K336" s="248"/>
      <c r="L336" s="248"/>
      <c r="M336" s="248"/>
      <c r="N336" s="242"/>
    </row>
    <row r="337" spans="2:14" ht="18" customHeight="1" x14ac:dyDescent="0.15">
      <c r="B337" s="248"/>
      <c r="C337" s="248"/>
      <c r="D337" s="242"/>
      <c r="E337" s="242"/>
      <c r="F337" s="242"/>
      <c r="G337" s="242"/>
      <c r="H337" s="265"/>
      <c r="I337" s="242"/>
      <c r="J337" s="242"/>
      <c r="K337" s="248"/>
      <c r="L337" s="248"/>
      <c r="M337" s="248"/>
      <c r="N337" s="242"/>
    </row>
    <row r="338" spans="2:14" ht="18" customHeight="1" x14ac:dyDescent="0.15">
      <c r="B338" s="248"/>
      <c r="C338" s="248"/>
      <c r="D338" s="242"/>
      <c r="E338" s="242"/>
      <c r="F338" s="242"/>
      <c r="G338" s="242"/>
      <c r="H338" s="265"/>
      <c r="I338" s="242"/>
      <c r="J338" s="242"/>
      <c r="K338" s="248"/>
      <c r="L338" s="248"/>
      <c r="M338" s="248"/>
      <c r="N338" s="242"/>
    </row>
    <row r="339" spans="2:14" ht="18" customHeight="1" x14ac:dyDescent="0.15">
      <c r="B339" s="248"/>
      <c r="C339" s="248"/>
      <c r="D339" s="242"/>
      <c r="E339" s="242"/>
      <c r="F339" s="242"/>
      <c r="G339" s="242"/>
      <c r="H339" s="265"/>
      <c r="I339" s="242"/>
      <c r="J339" s="242"/>
      <c r="K339" s="248"/>
      <c r="L339" s="248"/>
      <c r="M339" s="248"/>
      <c r="N339" s="242"/>
    </row>
    <row r="340" spans="2:14" ht="18" customHeight="1" x14ac:dyDescent="0.15">
      <c r="B340" s="248"/>
      <c r="C340" s="248"/>
      <c r="D340" s="242"/>
      <c r="E340" s="242"/>
      <c r="F340" s="242"/>
      <c r="G340" s="242"/>
      <c r="H340" s="265"/>
      <c r="I340" s="242"/>
      <c r="J340" s="242"/>
      <c r="K340" s="248"/>
      <c r="L340" s="248"/>
      <c r="M340" s="248"/>
      <c r="N340" s="242"/>
    </row>
    <row r="341" spans="2:14" ht="18" customHeight="1" x14ac:dyDescent="0.15">
      <c r="B341" s="248"/>
      <c r="C341" s="248"/>
      <c r="D341" s="242"/>
      <c r="E341" s="242"/>
      <c r="F341" s="242"/>
      <c r="G341" s="242"/>
      <c r="H341" s="265"/>
      <c r="I341" s="242"/>
      <c r="J341" s="242"/>
      <c r="K341" s="248"/>
      <c r="L341" s="248"/>
      <c r="M341" s="248"/>
      <c r="N341" s="242"/>
    </row>
    <row r="342" spans="2:14" ht="18" customHeight="1" x14ac:dyDescent="0.15">
      <c r="B342" s="248"/>
      <c r="C342" s="248"/>
      <c r="D342" s="242"/>
      <c r="E342" s="242"/>
      <c r="F342" s="242"/>
      <c r="G342" s="242"/>
      <c r="H342" s="265"/>
      <c r="I342" s="242"/>
      <c r="J342" s="242"/>
      <c r="K342" s="248"/>
      <c r="L342" s="248"/>
      <c r="M342" s="248"/>
      <c r="N342" s="242"/>
    </row>
    <row r="343" spans="2:14" ht="18" customHeight="1" x14ac:dyDescent="0.15">
      <c r="B343" s="248"/>
      <c r="C343" s="248"/>
      <c r="D343" s="242"/>
      <c r="E343" s="242"/>
      <c r="F343" s="242"/>
      <c r="G343" s="242"/>
      <c r="H343" s="265"/>
      <c r="I343" s="242"/>
      <c r="J343" s="242"/>
      <c r="K343" s="248"/>
      <c r="L343" s="248"/>
      <c r="M343" s="248"/>
      <c r="N343" s="242"/>
    </row>
    <row r="344" spans="2:14" ht="18" customHeight="1" x14ac:dyDescent="0.15">
      <c r="B344" s="248"/>
      <c r="C344" s="248"/>
      <c r="D344" s="242"/>
      <c r="E344" s="242"/>
      <c r="F344" s="242"/>
      <c r="G344" s="242"/>
      <c r="H344" s="265"/>
      <c r="I344" s="242"/>
      <c r="J344" s="242"/>
      <c r="K344" s="248"/>
      <c r="L344" s="248"/>
      <c r="M344" s="248"/>
      <c r="N344" s="242"/>
    </row>
    <row r="345" spans="2:14" ht="18" customHeight="1" x14ac:dyDescent="0.15">
      <c r="B345" s="248"/>
      <c r="C345" s="248"/>
      <c r="D345" s="242"/>
      <c r="E345" s="242"/>
      <c r="F345" s="242"/>
      <c r="G345" s="242"/>
      <c r="H345" s="265"/>
      <c r="I345" s="242"/>
      <c r="J345" s="242"/>
      <c r="K345" s="248"/>
      <c r="L345" s="248"/>
      <c r="M345" s="248"/>
      <c r="N345" s="242"/>
    </row>
    <row r="346" spans="2:14" ht="18" customHeight="1" x14ac:dyDescent="0.15">
      <c r="B346" s="248"/>
      <c r="C346" s="248"/>
      <c r="D346" s="242"/>
      <c r="E346" s="242"/>
      <c r="F346" s="242"/>
      <c r="G346" s="242"/>
      <c r="H346" s="265"/>
      <c r="I346" s="242"/>
      <c r="J346" s="242"/>
      <c r="K346" s="248"/>
      <c r="L346" s="248"/>
      <c r="M346" s="248"/>
      <c r="N346" s="242"/>
    </row>
    <row r="347" spans="2:14" ht="18" customHeight="1" x14ac:dyDescent="0.15">
      <c r="B347" s="248"/>
      <c r="C347" s="248"/>
      <c r="D347" s="242"/>
      <c r="E347" s="242"/>
      <c r="F347" s="242"/>
      <c r="G347" s="242"/>
      <c r="H347" s="265"/>
      <c r="I347" s="242"/>
      <c r="J347" s="242"/>
      <c r="K347" s="248"/>
      <c r="L347" s="248"/>
      <c r="M347" s="248"/>
      <c r="N347" s="242"/>
    </row>
    <row r="348" spans="2:14" ht="18" customHeight="1" x14ac:dyDescent="0.15">
      <c r="B348" s="248"/>
      <c r="C348" s="248"/>
      <c r="D348" s="242"/>
      <c r="E348" s="242"/>
      <c r="F348" s="242"/>
      <c r="G348" s="242"/>
      <c r="H348" s="265"/>
      <c r="I348" s="242"/>
      <c r="J348" s="242"/>
      <c r="K348" s="248"/>
      <c r="L348" s="248"/>
      <c r="M348" s="248"/>
      <c r="N348" s="242"/>
    </row>
    <row r="349" spans="2:14" ht="18" customHeight="1" x14ac:dyDescent="0.15">
      <c r="B349" s="248"/>
      <c r="C349" s="248"/>
      <c r="D349" s="242"/>
      <c r="E349" s="242"/>
      <c r="F349" s="242"/>
      <c r="G349" s="242"/>
      <c r="H349" s="265"/>
      <c r="I349" s="242"/>
      <c r="J349" s="242"/>
      <c r="K349" s="248"/>
      <c r="L349" s="248"/>
      <c r="M349" s="248"/>
      <c r="N349" s="242"/>
    </row>
    <row r="350" spans="2:14" ht="18" customHeight="1" x14ac:dyDescent="0.15">
      <c r="B350" s="248"/>
      <c r="C350" s="248"/>
      <c r="D350" s="242"/>
      <c r="E350" s="242"/>
      <c r="F350" s="242"/>
      <c r="G350" s="242"/>
      <c r="H350" s="265"/>
      <c r="I350" s="242"/>
      <c r="J350" s="242"/>
      <c r="K350" s="248"/>
      <c r="L350" s="248"/>
      <c r="M350" s="248"/>
      <c r="N350" s="242"/>
    </row>
    <row r="351" spans="2:14" ht="18" customHeight="1" x14ac:dyDescent="0.15">
      <c r="B351" s="248"/>
      <c r="C351" s="248"/>
      <c r="D351" s="242"/>
      <c r="E351" s="242"/>
      <c r="F351" s="242"/>
      <c r="G351" s="242"/>
      <c r="H351" s="265"/>
      <c r="I351" s="242"/>
      <c r="J351" s="242"/>
      <c r="K351" s="248"/>
      <c r="L351" s="248"/>
      <c r="M351" s="248"/>
      <c r="N351" s="242"/>
    </row>
    <row r="352" spans="2:14" ht="18" customHeight="1" x14ac:dyDescent="0.15">
      <c r="B352" s="248"/>
      <c r="C352" s="248"/>
      <c r="D352" s="242"/>
      <c r="E352" s="242"/>
      <c r="F352" s="242"/>
      <c r="G352" s="242"/>
      <c r="H352" s="265"/>
      <c r="I352" s="242"/>
      <c r="J352" s="242"/>
      <c r="K352" s="248"/>
      <c r="L352" s="248"/>
      <c r="M352" s="248"/>
      <c r="N352" s="242"/>
    </row>
    <row r="353" spans="2:14" ht="18" customHeight="1" x14ac:dyDescent="0.15">
      <c r="B353" s="248"/>
      <c r="C353" s="248"/>
      <c r="D353" s="242"/>
      <c r="E353" s="242"/>
      <c r="F353" s="242"/>
      <c r="G353" s="242"/>
      <c r="H353" s="265"/>
      <c r="I353" s="242"/>
      <c r="J353" s="242"/>
      <c r="K353" s="248"/>
      <c r="L353" s="248"/>
      <c r="M353" s="248"/>
      <c r="N353" s="242"/>
    </row>
    <row r="354" spans="2:14" ht="18" customHeight="1" x14ac:dyDescent="0.15">
      <c r="B354" s="248"/>
      <c r="C354" s="248"/>
      <c r="D354" s="242"/>
      <c r="E354" s="242"/>
      <c r="F354" s="242"/>
      <c r="G354" s="242"/>
      <c r="H354" s="265"/>
      <c r="I354" s="242"/>
      <c r="J354" s="242"/>
      <c r="K354" s="248"/>
      <c r="L354" s="248"/>
      <c r="M354" s="248"/>
      <c r="N354" s="242"/>
    </row>
    <row r="355" spans="2:14" ht="18" customHeight="1" x14ac:dyDescent="0.15">
      <c r="B355" s="248"/>
      <c r="C355" s="248"/>
      <c r="D355" s="242"/>
      <c r="E355" s="242"/>
      <c r="F355" s="242"/>
      <c r="G355" s="242"/>
      <c r="H355" s="265"/>
      <c r="I355" s="242"/>
      <c r="J355" s="242"/>
      <c r="K355" s="248"/>
      <c r="L355" s="248"/>
      <c r="M355" s="248"/>
      <c r="N355" s="242"/>
    </row>
    <row r="356" spans="2:14" ht="18" customHeight="1" x14ac:dyDescent="0.15">
      <c r="B356" s="248"/>
      <c r="C356" s="248"/>
      <c r="D356" s="242"/>
      <c r="E356" s="242"/>
      <c r="F356" s="242"/>
      <c r="G356" s="242"/>
      <c r="H356" s="265"/>
      <c r="I356" s="242"/>
      <c r="J356" s="242"/>
      <c r="K356" s="248"/>
      <c r="L356" s="248"/>
      <c r="M356" s="248"/>
      <c r="N356" s="242"/>
    </row>
    <row r="357" spans="2:14" ht="18" customHeight="1" x14ac:dyDescent="0.15">
      <c r="B357" s="248"/>
      <c r="C357" s="248"/>
      <c r="D357" s="242"/>
      <c r="E357" s="242"/>
      <c r="F357" s="242"/>
      <c r="G357" s="242"/>
      <c r="H357" s="265"/>
      <c r="I357" s="242"/>
      <c r="J357" s="242"/>
      <c r="K357" s="248"/>
      <c r="L357" s="248"/>
      <c r="M357" s="248"/>
      <c r="N357" s="242"/>
    </row>
    <row r="358" spans="2:14" ht="18" customHeight="1" x14ac:dyDescent="0.15">
      <c r="B358" s="248"/>
      <c r="C358" s="248"/>
      <c r="D358" s="242"/>
      <c r="E358" s="242"/>
      <c r="F358" s="242"/>
      <c r="G358" s="242"/>
      <c r="H358" s="265"/>
      <c r="I358" s="242"/>
      <c r="J358" s="242"/>
      <c r="K358" s="248"/>
      <c r="L358" s="248"/>
      <c r="M358" s="248"/>
      <c r="N358" s="242"/>
    </row>
    <row r="359" spans="2:14" ht="18" customHeight="1" x14ac:dyDescent="0.15">
      <c r="B359" s="248"/>
      <c r="C359" s="248"/>
      <c r="D359" s="242"/>
      <c r="E359" s="242"/>
      <c r="F359" s="242"/>
      <c r="G359" s="242"/>
      <c r="H359" s="265"/>
      <c r="I359" s="242"/>
      <c r="J359" s="242"/>
      <c r="K359" s="248"/>
      <c r="L359" s="248"/>
      <c r="M359" s="248"/>
      <c r="N359" s="242"/>
    </row>
    <row r="360" spans="2:14" ht="18" customHeight="1" x14ac:dyDescent="0.15">
      <c r="B360" s="248"/>
      <c r="C360" s="248"/>
      <c r="D360" s="242"/>
      <c r="E360" s="242"/>
      <c r="F360" s="242"/>
      <c r="G360" s="242"/>
      <c r="H360" s="265"/>
      <c r="I360" s="242"/>
      <c r="J360" s="242"/>
      <c r="K360" s="248"/>
      <c r="L360" s="248"/>
      <c r="M360" s="248"/>
      <c r="N360" s="242"/>
    </row>
    <row r="361" spans="2:14" ht="18" customHeight="1" x14ac:dyDescent="0.15">
      <c r="B361" s="248"/>
      <c r="C361" s="248"/>
      <c r="D361" s="242"/>
      <c r="E361" s="242"/>
      <c r="F361" s="242"/>
      <c r="G361" s="242"/>
      <c r="H361" s="265"/>
      <c r="I361" s="242"/>
      <c r="J361" s="242"/>
      <c r="K361" s="248"/>
      <c r="L361" s="248"/>
      <c r="M361" s="248"/>
      <c r="N361" s="242"/>
    </row>
    <row r="362" spans="2:14" ht="18" customHeight="1" x14ac:dyDescent="0.15">
      <c r="B362" s="248"/>
      <c r="C362" s="248"/>
      <c r="D362" s="242"/>
      <c r="E362" s="242"/>
      <c r="F362" s="242"/>
      <c r="G362" s="242"/>
      <c r="H362" s="265"/>
      <c r="I362" s="242"/>
      <c r="J362" s="242"/>
      <c r="K362" s="248"/>
      <c r="L362" s="248"/>
      <c r="M362" s="248"/>
      <c r="N362" s="242"/>
    </row>
    <row r="363" spans="2:14" ht="18" customHeight="1" x14ac:dyDescent="0.15">
      <c r="B363" s="248"/>
      <c r="C363" s="248"/>
      <c r="D363" s="242"/>
      <c r="E363" s="242"/>
      <c r="F363" s="242"/>
      <c r="G363" s="242"/>
      <c r="H363" s="265"/>
      <c r="I363" s="242"/>
      <c r="J363" s="242"/>
      <c r="K363" s="248"/>
      <c r="L363" s="248"/>
      <c r="M363" s="248"/>
      <c r="N363" s="242"/>
    </row>
    <row r="364" spans="2:14" ht="18" customHeight="1" x14ac:dyDescent="0.15">
      <c r="B364" s="248"/>
      <c r="C364" s="248"/>
      <c r="D364" s="242"/>
      <c r="E364" s="242"/>
      <c r="F364" s="242"/>
      <c r="G364" s="242"/>
      <c r="H364" s="265"/>
      <c r="I364" s="242"/>
      <c r="J364" s="242"/>
      <c r="K364" s="248"/>
      <c r="L364" s="248"/>
      <c r="M364" s="248"/>
      <c r="N364" s="242"/>
    </row>
    <row r="365" spans="2:14" ht="18" customHeight="1" x14ac:dyDescent="0.15">
      <c r="B365" s="248"/>
      <c r="C365" s="248"/>
      <c r="D365" s="242"/>
      <c r="E365" s="242"/>
      <c r="F365" s="242"/>
      <c r="G365" s="242"/>
      <c r="H365" s="265"/>
      <c r="I365" s="242"/>
      <c r="J365" s="242"/>
      <c r="K365" s="248"/>
      <c r="L365" s="248"/>
      <c r="M365" s="248"/>
      <c r="N365" s="242"/>
    </row>
    <row r="366" spans="2:14" ht="18" customHeight="1" x14ac:dyDescent="0.15">
      <c r="B366" s="248"/>
      <c r="C366" s="248"/>
      <c r="D366" s="242"/>
      <c r="E366" s="242"/>
      <c r="F366" s="242"/>
      <c r="G366" s="242"/>
      <c r="H366" s="265"/>
      <c r="I366" s="242"/>
      <c r="J366" s="242"/>
      <c r="K366" s="248"/>
      <c r="L366" s="248"/>
      <c r="M366" s="248"/>
      <c r="N366" s="242"/>
    </row>
    <row r="367" spans="2:14" ht="18" customHeight="1" x14ac:dyDescent="0.15">
      <c r="B367" s="248"/>
      <c r="C367" s="248"/>
      <c r="D367" s="242"/>
      <c r="E367" s="242"/>
      <c r="F367" s="242"/>
      <c r="G367" s="242"/>
      <c r="H367" s="265"/>
      <c r="I367" s="242"/>
      <c r="J367" s="242"/>
      <c r="K367" s="248"/>
      <c r="L367" s="248"/>
      <c r="M367" s="248"/>
      <c r="N367" s="242"/>
    </row>
    <row r="368" spans="2:14" ht="18" customHeight="1" x14ac:dyDescent="0.15">
      <c r="B368" s="248"/>
      <c r="C368" s="248"/>
      <c r="D368" s="242"/>
      <c r="E368" s="242"/>
      <c r="F368" s="242"/>
      <c r="G368" s="242"/>
      <c r="H368" s="265"/>
      <c r="I368" s="242"/>
      <c r="J368" s="242"/>
      <c r="K368" s="248"/>
      <c r="L368" s="248"/>
      <c r="M368" s="248"/>
      <c r="N368" s="242"/>
    </row>
    <row r="369" spans="2:14" ht="18" customHeight="1" x14ac:dyDescent="0.15">
      <c r="B369" s="248"/>
      <c r="C369" s="248"/>
      <c r="D369" s="242"/>
      <c r="E369" s="242"/>
      <c r="F369" s="242"/>
      <c r="G369" s="242"/>
      <c r="H369" s="265"/>
      <c r="I369" s="242"/>
      <c r="J369" s="242"/>
      <c r="K369" s="248"/>
      <c r="L369" s="248"/>
      <c r="M369" s="248"/>
      <c r="N369" s="242"/>
    </row>
    <row r="370" spans="2:14" ht="18" customHeight="1" x14ac:dyDescent="0.15">
      <c r="B370" s="248"/>
      <c r="C370" s="248"/>
      <c r="D370" s="242"/>
      <c r="E370" s="242"/>
      <c r="F370" s="242"/>
      <c r="G370" s="242"/>
      <c r="H370" s="265"/>
      <c r="I370" s="242"/>
      <c r="J370" s="242"/>
      <c r="K370" s="248"/>
      <c r="L370" s="248"/>
      <c r="M370" s="248"/>
      <c r="N370" s="242"/>
    </row>
    <row r="371" spans="2:14" ht="18" customHeight="1" x14ac:dyDescent="0.15">
      <c r="B371" s="248"/>
      <c r="C371" s="248"/>
      <c r="D371" s="242"/>
      <c r="E371" s="242"/>
      <c r="F371" s="242"/>
      <c r="G371" s="242"/>
      <c r="H371" s="265"/>
      <c r="I371" s="242"/>
      <c r="J371" s="242"/>
      <c r="K371" s="248"/>
      <c r="L371" s="248"/>
      <c r="M371" s="248"/>
      <c r="N371" s="242"/>
    </row>
    <row r="372" spans="2:14" ht="18" customHeight="1" x14ac:dyDescent="0.15">
      <c r="B372" s="248"/>
      <c r="C372" s="248"/>
      <c r="D372" s="242"/>
      <c r="E372" s="242"/>
      <c r="F372" s="242"/>
      <c r="G372" s="242"/>
      <c r="H372" s="265"/>
      <c r="I372" s="242"/>
      <c r="J372" s="242"/>
      <c r="K372" s="248"/>
      <c r="L372" s="248"/>
      <c r="M372" s="248"/>
      <c r="N372" s="242"/>
    </row>
    <row r="373" spans="2:14" ht="18" customHeight="1" x14ac:dyDescent="0.15">
      <c r="B373" s="248"/>
      <c r="C373" s="248"/>
      <c r="D373" s="242"/>
      <c r="E373" s="242"/>
      <c r="F373" s="242"/>
      <c r="G373" s="242"/>
      <c r="H373" s="265"/>
      <c r="I373" s="242"/>
      <c r="J373" s="242"/>
      <c r="K373" s="248"/>
      <c r="L373" s="248"/>
      <c r="M373" s="248"/>
      <c r="N373" s="242"/>
    </row>
    <row r="374" spans="2:14" ht="18" customHeight="1" x14ac:dyDescent="0.15">
      <c r="B374" s="248"/>
      <c r="C374" s="248"/>
      <c r="D374" s="242"/>
      <c r="E374" s="242"/>
      <c r="F374" s="242"/>
      <c r="G374" s="242"/>
      <c r="H374" s="265"/>
      <c r="I374" s="242"/>
      <c r="J374" s="242"/>
      <c r="K374" s="248"/>
      <c r="L374" s="248"/>
      <c r="M374" s="248"/>
      <c r="N374" s="242"/>
    </row>
    <row r="375" spans="2:14" ht="18" customHeight="1" x14ac:dyDescent="0.15">
      <c r="B375" s="248"/>
      <c r="C375" s="248"/>
      <c r="D375" s="242"/>
      <c r="E375" s="242"/>
      <c r="F375" s="242"/>
      <c r="G375" s="242"/>
      <c r="H375" s="265"/>
      <c r="I375" s="242"/>
      <c r="J375" s="242"/>
      <c r="K375" s="248"/>
      <c r="L375" s="248"/>
      <c r="M375" s="248"/>
      <c r="N375" s="242"/>
    </row>
    <row r="376" spans="2:14" ht="18" customHeight="1" x14ac:dyDescent="0.15">
      <c r="B376" s="248"/>
      <c r="C376" s="248"/>
      <c r="D376" s="242"/>
      <c r="E376" s="242"/>
      <c r="F376" s="242"/>
      <c r="G376" s="242"/>
      <c r="H376" s="265"/>
      <c r="I376" s="242"/>
      <c r="J376" s="242"/>
      <c r="K376" s="248"/>
      <c r="L376" s="248"/>
      <c r="M376" s="248"/>
      <c r="N376" s="242"/>
    </row>
    <row r="377" spans="2:14" ht="18" customHeight="1" x14ac:dyDescent="0.15">
      <c r="B377" s="248"/>
      <c r="C377" s="248"/>
      <c r="D377" s="242"/>
      <c r="E377" s="242"/>
      <c r="F377" s="242"/>
      <c r="G377" s="242"/>
      <c r="H377" s="265"/>
      <c r="I377" s="242"/>
      <c r="J377" s="242"/>
      <c r="K377" s="248"/>
      <c r="L377" s="248"/>
      <c r="M377" s="248"/>
      <c r="N377" s="242"/>
    </row>
    <row r="378" spans="2:14" ht="18" customHeight="1" x14ac:dyDescent="0.15">
      <c r="B378" s="248"/>
      <c r="C378" s="248"/>
      <c r="D378" s="242"/>
      <c r="E378" s="242"/>
      <c r="F378" s="242"/>
      <c r="G378" s="242"/>
      <c r="H378" s="265"/>
      <c r="I378" s="242"/>
      <c r="J378" s="242"/>
      <c r="K378" s="248"/>
      <c r="L378" s="248"/>
      <c r="M378" s="248"/>
      <c r="N378" s="242"/>
    </row>
    <row r="379" spans="2:14" ht="18" customHeight="1" x14ac:dyDescent="0.15">
      <c r="B379" s="248"/>
      <c r="C379" s="248"/>
      <c r="D379" s="242"/>
      <c r="E379" s="242"/>
      <c r="F379" s="242"/>
      <c r="G379" s="242"/>
      <c r="H379" s="265"/>
      <c r="I379" s="242"/>
      <c r="J379" s="242"/>
      <c r="K379" s="248"/>
      <c r="L379" s="248"/>
      <c r="M379" s="248"/>
      <c r="N379" s="242"/>
    </row>
    <row r="380" spans="2:14" ht="18" customHeight="1" x14ac:dyDescent="0.15">
      <c r="B380" s="248"/>
      <c r="C380" s="248"/>
      <c r="D380" s="242"/>
      <c r="E380" s="242"/>
      <c r="F380" s="242"/>
      <c r="G380" s="242"/>
      <c r="H380" s="265"/>
      <c r="I380" s="242"/>
      <c r="J380" s="242"/>
      <c r="K380" s="248"/>
      <c r="L380" s="248"/>
      <c r="M380" s="248"/>
      <c r="N380" s="242"/>
    </row>
    <row r="381" spans="2:14" ht="18" customHeight="1" x14ac:dyDescent="0.15">
      <c r="B381" s="248"/>
      <c r="C381" s="248"/>
      <c r="D381" s="242"/>
      <c r="E381" s="242"/>
      <c r="F381" s="242"/>
      <c r="G381" s="242"/>
      <c r="H381" s="265"/>
      <c r="I381" s="242"/>
      <c r="J381" s="242"/>
      <c r="K381" s="248"/>
      <c r="L381" s="248"/>
      <c r="M381" s="248"/>
      <c r="N381" s="242"/>
    </row>
    <row r="382" spans="2:14" ht="18" customHeight="1" x14ac:dyDescent="0.15">
      <c r="B382" s="248"/>
      <c r="C382" s="248"/>
      <c r="D382" s="242"/>
      <c r="E382" s="242"/>
      <c r="F382" s="242"/>
      <c r="G382" s="242"/>
      <c r="H382" s="265"/>
      <c r="I382" s="242"/>
      <c r="J382" s="242"/>
      <c r="K382" s="248"/>
      <c r="L382" s="248"/>
      <c r="M382" s="248"/>
      <c r="N382" s="242"/>
    </row>
    <row r="383" spans="2:14" ht="18" customHeight="1" x14ac:dyDescent="0.15">
      <c r="B383" s="248"/>
      <c r="C383" s="248"/>
      <c r="D383" s="242"/>
      <c r="E383" s="242"/>
      <c r="F383" s="242"/>
      <c r="G383" s="242"/>
      <c r="H383" s="265"/>
      <c r="I383" s="242"/>
      <c r="J383" s="242"/>
      <c r="K383" s="248"/>
      <c r="L383" s="248"/>
      <c r="M383" s="248"/>
      <c r="N383" s="242"/>
    </row>
    <row r="384" spans="2:14" ht="18" customHeight="1" x14ac:dyDescent="0.15">
      <c r="B384" s="248"/>
      <c r="C384" s="248"/>
      <c r="D384" s="242"/>
      <c r="E384" s="242"/>
      <c r="F384" s="242"/>
      <c r="G384" s="242"/>
      <c r="H384" s="265"/>
      <c r="I384" s="242"/>
      <c r="J384" s="242"/>
      <c r="K384" s="248"/>
      <c r="L384" s="248"/>
      <c r="M384" s="248"/>
      <c r="N384" s="242"/>
    </row>
    <row r="385" spans="2:14" ht="18" customHeight="1" x14ac:dyDescent="0.15">
      <c r="B385" s="248"/>
      <c r="C385" s="248"/>
      <c r="D385" s="242"/>
      <c r="E385" s="242"/>
      <c r="F385" s="242"/>
      <c r="G385" s="242"/>
      <c r="H385" s="265"/>
      <c r="I385" s="242"/>
      <c r="J385" s="242"/>
      <c r="K385" s="248"/>
      <c r="L385" s="248"/>
      <c r="M385" s="248"/>
      <c r="N385" s="242"/>
    </row>
    <row r="386" spans="2:14" ht="18" customHeight="1" x14ac:dyDescent="0.15">
      <c r="B386" s="248"/>
      <c r="C386" s="248"/>
      <c r="D386" s="242"/>
      <c r="E386" s="242"/>
      <c r="F386" s="242"/>
      <c r="G386" s="242"/>
      <c r="H386" s="265"/>
      <c r="I386" s="242"/>
      <c r="J386" s="242"/>
      <c r="K386" s="248"/>
      <c r="L386" s="248"/>
      <c r="M386" s="248"/>
      <c r="N386" s="242"/>
    </row>
    <row r="387" spans="2:14" ht="18" customHeight="1" x14ac:dyDescent="0.15">
      <c r="B387" s="248"/>
      <c r="C387" s="248"/>
      <c r="D387" s="242"/>
      <c r="E387" s="242"/>
      <c r="F387" s="242"/>
      <c r="G387" s="242"/>
      <c r="H387" s="265"/>
      <c r="I387" s="242"/>
      <c r="J387" s="242"/>
      <c r="K387" s="248"/>
      <c r="L387" s="248"/>
      <c r="M387" s="248"/>
      <c r="N387" s="242"/>
    </row>
    <row r="388" spans="2:14" ht="18" customHeight="1" x14ac:dyDescent="0.15">
      <c r="B388" s="248"/>
      <c r="C388" s="248"/>
      <c r="D388" s="242"/>
      <c r="E388" s="242"/>
      <c r="F388" s="242"/>
      <c r="G388" s="242"/>
      <c r="H388" s="265"/>
      <c r="I388" s="242"/>
      <c r="J388" s="242"/>
      <c r="K388" s="248"/>
      <c r="L388" s="248"/>
      <c r="M388" s="248"/>
      <c r="N388" s="242"/>
    </row>
    <row r="389" spans="2:14" ht="18" customHeight="1" x14ac:dyDescent="0.15">
      <c r="B389" s="248"/>
      <c r="C389" s="248"/>
      <c r="D389" s="242"/>
      <c r="E389" s="242"/>
      <c r="F389" s="242"/>
      <c r="G389" s="242"/>
      <c r="H389" s="265"/>
      <c r="I389" s="242"/>
      <c r="J389" s="242"/>
      <c r="K389" s="248"/>
      <c r="L389" s="248"/>
      <c r="M389" s="248"/>
      <c r="N389" s="242"/>
    </row>
    <row r="390" spans="2:14" ht="18" customHeight="1" x14ac:dyDescent="0.15">
      <c r="B390" s="248"/>
      <c r="C390" s="248"/>
      <c r="D390" s="242"/>
      <c r="E390" s="242"/>
      <c r="F390" s="242"/>
      <c r="G390" s="242"/>
      <c r="H390" s="265"/>
      <c r="I390" s="242"/>
      <c r="J390" s="242"/>
      <c r="K390" s="248"/>
      <c r="L390" s="248"/>
      <c r="M390" s="248"/>
      <c r="N390" s="242"/>
    </row>
    <row r="391" spans="2:14" ht="18" customHeight="1" x14ac:dyDescent="0.15">
      <c r="B391" s="248"/>
      <c r="C391" s="248"/>
      <c r="D391" s="242"/>
      <c r="E391" s="242"/>
      <c r="F391" s="242"/>
      <c r="G391" s="242"/>
      <c r="H391" s="265"/>
      <c r="I391" s="242"/>
      <c r="J391" s="242"/>
      <c r="K391" s="248"/>
      <c r="L391" s="248"/>
      <c r="M391" s="248"/>
      <c r="N391" s="242"/>
    </row>
    <row r="392" spans="2:14" ht="18" customHeight="1" x14ac:dyDescent="0.15">
      <c r="B392" s="248"/>
      <c r="C392" s="248"/>
      <c r="D392" s="242"/>
      <c r="E392" s="242"/>
      <c r="F392" s="242"/>
      <c r="G392" s="242"/>
      <c r="H392" s="265"/>
      <c r="I392" s="242"/>
      <c r="J392" s="242"/>
      <c r="K392" s="248"/>
      <c r="L392" s="248"/>
      <c r="M392" s="248"/>
      <c r="N392" s="242"/>
    </row>
    <row r="393" spans="2:14" ht="18" customHeight="1" x14ac:dyDescent="0.15">
      <c r="B393" s="248"/>
      <c r="C393" s="248"/>
      <c r="D393" s="242"/>
      <c r="E393" s="242"/>
      <c r="F393" s="242"/>
      <c r="G393" s="242"/>
      <c r="H393" s="265"/>
      <c r="I393" s="242"/>
      <c r="J393" s="242"/>
      <c r="K393" s="248"/>
      <c r="L393" s="248"/>
      <c r="M393" s="248"/>
      <c r="N393" s="242"/>
    </row>
    <row r="394" spans="2:14" ht="18" customHeight="1" x14ac:dyDescent="0.15">
      <c r="B394" s="248"/>
      <c r="C394" s="248"/>
      <c r="D394" s="242"/>
      <c r="E394" s="242"/>
      <c r="F394" s="242"/>
      <c r="G394" s="242"/>
      <c r="H394" s="265"/>
      <c r="I394" s="242"/>
      <c r="J394" s="242"/>
      <c r="K394" s="248"/>
      <c r="L394" s="248"/>
      <c r="M394" s="248"/>
      <c r="N394" s="242"/>
    </row>
    <row r="395" spans="2:14" ht="18" customHeight="1" x14ac:dyDescent="0.15">
      <c r="B395" s="248"/>
      <c r="C395" s="248"/>
      <c r="D395" s="242"/>
      <c r="E395" s="242"/>
      <c r="F395" s="242"/>
      <c r="G395" s="242"/>
      <c r="H395" s="265"/>
      <c r="I395" s="242"/>
      <c r="J395" s="242"/>
      <c r="K395" s="248"/>
      <c r="L395" s="248"/>
      <c r="M395" s="248"/>
      <c r="N395" s="242"/>
    </row>
    <row r="396" spans="2:14" ht="18" customHeight="1" x14ac:dyDescent="0.15">
      <c r="B396" s="248"/>
      <c r="C396" s="248"/>
      <c r="D396" s="242"/>
      <c r="E396" s="242"/>
      <c r="F396" s="242"/>
      <c r="G396" s="242"/>
      <c r="H396" s="265"/>
      <c r="I396" s="242"/>
      <c r="J396" s="242"/>
      <c r="K396" s="248"/>
      <c r="L396" s="248"/>
      <c r="M396" s="248"/>
      <c r="N396" s="242"/>
    </row>
    <row r="397" spans="2:14" ht="18" customHeight="1" x14ac:dyDescent="0.15">
      <c r="B397" s="248"/>
      <c r="C397" s="248"/>
      <c r="D397" s="242"/>
      <c r="E397" s="242"/>
      <c r="F397" s="242"/>
      <c r="G397" s="242"/>
      <c r="H397" s="265"/>
      <c r="I397" s="242"/>
      <c r="J397" s="242"/>
      <c r="K397" s="248"/>
      <c r="L397" s="248"/>
      <c r="M397" s="248"/>
      <c r="N397" s="242"/>
    </row>
    <row r="398" spans="2:14" ht="18" customHeight="1" x14ac:dyDescent="0.15">
      <c r="B398" s="248"/>
      <c r="C398" s="248"/>
      <c r="D398" s="242"/>
      <c r="E398" s="242"/>
      <c r="F398" s="242"/>
      <c r="G398" s="242"/>
      <c r="H398" s="265"/>
      <c r="I398" s="242"/>
      <c r="J398" s="242"/>
      <c r="K398" s="248"/>
      <c r="L398" s="248"/>
      <c r="M398" s="248"/>
      <c r="N398" s="242"/>
    </row>
    <row r="399" spans="2:14" ht="18" customHeight="1" x14ac:dyDescent="0.15">
      <c r="B399" s="248"/>
      <c r="C399" s="248"/>
      <c r="D399" s="242"/>
      <c r="E399" s="242"/>
      <c r="F399" s="242"/>
      <c r="G399" s="242"/>
      <c r="H399" s="265"/>
      <c r="I399" s="242"/>
      <c r="J399" s="242"/>
      <c r="K399" s="248"/>
      <c r="L399" s="248"/>
      <c r="M399" s="248"/>
      <c r="N399" s="242"/>
    </row>
    <row r="400" spans="2:14" ht="18" customHeight="1" x14ac:dyDescent="0.15">
      <c r="B400" s="248"/>
      <c r="C400" s="248"/>
      <c r="D400" s="242"/>
      <c r="E400" s="242"/>
      <c r="F400" s="242"/>
      <c r="G400" s="242"/>
      <c r="H400" s="265"/>
      <c r="I400" s="242"/>
      <c r="J400" s="242"/>
      <c r="K400" s="248"/>
      <c r="L400" s="248"/>
      <c r="M400" s="248"/>
      <c r="N400" s="242"/>
    </row>
    <row r="401" spans="2:14" ht="18" customHeight="1" x14ac:dyDescent="0.15">
      <c r="B401" s="248"/>
      <c r="C401" s="248"/>
      <c r="D401" s="242"/>
      <c r="E401" s="242"/>
      <c r="F401" s="242"/>
      <c r="G401" s="242"/>
      <c r="H401" s="265"/>
      <c r="I401" s="242"/>
      <c r="J401" s="242"/>
      <c r="K401" s="248"/>
      <c r="L401" s="248"/>
      <c r="M401" s="248"/>
      <c r="N401" s="242"/>
    </row>
    <row r="402" spans="2:14" ht="18" customHeight="1" x14ac:dyDescent="0.15">
      <c r="B402" s="248"/>
      <c r="C402" s="248"/>
      <c r="D402" s="242"/>
      <c r="E402" s="242"/>
      <c r="F402" s="242"/>
      <c r="G402" s="242"/>
      <c r="H402" s="265"/>
      <c r="I402" s="242"/>
      <c r="J402" s="242"/>
      <c r="K402" s="248"/>
      <c r="L402" s="248"/>
      <c r="M402" s="248"/>
      <c r="N402" s="242"/>
    </row>
    <row r="403" spans="2:14" ht="18" customHeight="1" x14ac:dyDescent="0.15">
      <c r="B403" s="248"/>
      <c r="C403" s="248"/>
      <c r="D403" s="242"/>
      <c r="E403" s="242"/>
      <c r="F403" s="242"/>
      <c r="G403" s="242"/>
      <c r="H403" s="265"/>
      <c r="I403" s="242"/>
      <c r="J403" s="242"/>
      <c r="K403" s="248"/>
      <c r="L403" s="248"/>
      <c r="M403" s="248"/>
      <c r="N403" s="242"/>
    </row>
    <row r="404" spans="2:14" ht="18" customHeight="1" x14ac:dyDescent="0.15">
      <c r="B404" s="248"/>
      <c r="C404" s="248"/>
      <c r="D404" s="242"/>
      <c r="E404" s="242"/>
      <c r="F404" s="242"/>
      <c r="G404" s="242"/>
      <c r="H404" s="265"/>
      <c r="I404" s="242"/>
      <c r="J404" s="242"/>
      <c r="K404" s="248"/>
      <c r="L404" s="248"/>
      <c r="M404" s="248"/>
      <c r="N404" s="242"/>
    </row>
    <row r="405" spans="2:14" ht="18" customHeight="1" x14ac:dyDescent="0.15">
      <c r="B405" s="248"/>
      <c r="C405" s="248"/>
      <c r="D405" s="242"/>
      <c r="E405" s="242"/>
      <c r="F405" s="242"/>
      <c r="G405" s="242"/>
      <c r="H405" s="265"/>
      <c r="I405" s="242"/>
      <c r="J405" s="242"/>
      <c r="K405" s="248"/>
      <c r="L405" s="248"/>
      <c r="M405" s="248"/>
      <c r="N405" s="242"/>
    </row>
    <row r="406" spans="2:14" ht="18" customHeight="1" x14ac:dyDescent="0.15">
      <c r="B406" s="248"/>
      <c r="C406" s="248"/>
      <c r="D406" s="242"/>
      <c r="E406" s="242"/>
      <c r="F406" s="242"/>
      <c r="G406" s="242"/>
      <c r="H406" s="265"/>
      <c r="I406" s="242"/>
      <c r="J406" s="242"/>
      <c r="K406" s="248"/>
      <c r="L406" s="248"/>
      <c r="M406" s="248"/>
      <c r="N406" s="242"/>
    </row>
    <row r="407" spans="2:14" ht="18" customHeight="1" x14ac:dyDescent="0.15">
      <c r="B407" s="248"/>
      <c r="C407" s="248"/>
      <c r="D407" s="242"/>
      <c r="E407" s="242"/>
      <c r="F407" s="242"/>
      <c r="G407" s="242"/>
      <c r="H407" s="265"/>
      <c r="I407" s="242"/>
      <c r="J407" s="242"/>
      <c r="K407" s="248"/>
      <c r="L407" s="248"/>
      <c r="M407" s="248"/>
      <c r="N407" s="242"/>
    </row>
    <row r="408" spans="2:14" ht="18" customHeight="1" x14ac:dyDescent="0.15">
      <c r="B408" s="248"/>
      <c r="C408" s="248"/>
      <c r="D408" s="242"/>
      <c r="E408" s="242"/>
      <c r="F408" s="242"/>
      <c r="G408" s="242"/>
      <c r="H408" s="265"/>
      <c r="I408" s="242"/>
      <c r="J408" s="242"/>
      <c r="K408" s="248"/>
      <c r="L408" s="248"/>
      <c r="M408" s="248"/>
      <c r="N408" s="242"/>
    </row>
    <row r="409" spans="2:14" ht="18" customHeight="1" x14ac:dyDescent="0.15">
      <c r="B409" s="248"/>
      <c r="C409" s="248"/>
      <c r="D409" s="242"/>
      <c r="E409" s="242"/>
      <c r="F409" s="242"/>
      <c r="G409" s="242"/>
      <c r="H409" s="265"/>
      <c r="I409" s="242"/>
      <c r="J409" s="242"/>
      <c r="K409" s="248"/>
      <c r="L409" s="248"/>
      <c r="M409" s="248"/>
      <c r="N409" s="242"/>
    </row>
    <row r="410" spans="2:14" ht="18" customHeight="1" x14ac:dyDescent="0.15">
      <c r="B410" s="248"/>
      <c r="C410" s="248"/>
      <c r="D410" s="242"/>
      <c r="E410" s="242"/>
      <c r="F410" s="242"/>
      <c r="G410" s="242"/>
      <c r="H410" s="265"/>
      <c r="I410" s="242"/>
      <c r="J410" s="242"/>
      <c r="K410" s="248"/>
      <c r="L410" s="248"/>
      <c r="M410" s="248"/>
      <c r="N410" s="242"/>
    </row>
    <row r="411" spans="2:14" ht="18" customHeight="1" x14ac:dyDescent="0.15">
      <c r="B411" s="248"/>
      <c r="C411" s="248"/>
      <c r="D411" s="242"/>
      <c r="E411" s="242"/>
      <c r="F411" s="242"/>
      <c r="G411" s="242"/>
      <c r="H411" s="265"/>
      <c r="I411" s="242"/>
      <c r="J411" s="242"/>
      <c r="K411" s="248"/>
      <c r="L411" s="248"/>
      <c r="M411" s="248"/>
      <c r="N411" s="242"/>
    </row>
    <row r="412" spans="2:14" ht="18" customHeight="1" x14ac:dyDescent="0.15">
      <c r="B412" s="248"/>
      <c r="C412" s="248"/>
      <c r="D412" s="242"/>
      <c r="E412" s="242"/>
      <c r="F412" s="242"/>
      <c r="G412" s="242"/>
      <c r="H412" s="265"/>
      <c r="I412" s="242"/>
      <c r="J412" s="242"/>
      <c r="K412" s="248"/>
      <c r="L412" s="248"/>
      <c r="M412" s="248"/>
      <c r="N412" s="242"/>
    </row>
    <row r="413" spans="2:14" ht="18" customHeight="1" x14ac:dyDescent="0.15">
      <c r="B413" s="248"/>
      <c r="C413" s="248"/>
      <c r="D413" s="242"/>
      <c r="E413" s="242"/>
      <c r="F413" s="242"/>
      <c r="G413" s="242"/>
      <c r="H413" s="265"/>
      <c r="I413" s="242"/>
      <c r="J413" s="242"/>
      <c r="K413" s="248"/>
      <c r="L413" s="248"/>
      <c r="M413" s="248"/>
      <c r="N413" s="242"/>
    </row>
    <row r="414" spans="2:14" ht="18" customHeight="1" x14ac:dyDescent="0.15">
      <c r="B414" s="248"/>
      <c r="C414" s="248"/>
      <c r="D414" s="242"/>
      <c r="E414" s="242"/>
      <c r="F414" s="242"/>
      <c r="G414" s="242"/>
      <c r="H414" s="265"/>
      <c r="I414" s="242"/>
      <c r="J414" s="242"/>
      <c r="K414" s="248"/>
      <c r="L414" s="248"/>
      <c r="M414" s="248"/>
      <c r="N414" s="242"/>
    </row>
    <row r="415" spans="2:14" ht="18" customHeight="1" x14ac:dyDescent="0.15">
      <c r="B415" s="248"/>
      <c r="C415" s="248"/>
      <c r="D415" s="242"/>
      <c r="E415" s="242"/>
      <c r="F415" s="242"/>
      <c r="G415" s="242"/>
      <c r="H415" s="265"/>
      <c r="I415" s="242"/>
      <c r="J415" s="242"/>
      <c r="K415" s="248"/>
      <c r="L415" s="248"/>
      <c r="M415" s="248"/>
      <c r="N415" s="242"/>
    </row>
    <row r="416" spans="2:14" ht="18" customHeight="1" x14ac:dyDescent="0.15">
      <c r="B416" s="248"/>
      <c r="C416" s="248"/>
      <c r="D416" s="242"/>
      <c r="E416" s="242"/>
      <c r="F416" s="242"/>
      <c r="G416" s="242"/>
      <c r="H416" s="265"/>
      <c r="I416" s="242"/>
      <c r="J416" s="242"/>
      <c r="K416" s="248"/>
      <c r="L416" s="248"/>
      <c r="M416" s="248"/>
      <c r="N416" s="242"/>
    </row>
    <row r="417" spans="2:14" ht="18" customHeight="1" x14ac:dyDescent="0.15">
      <c r="B417" s="248"/>
      <c r="C417" s="248"/>
      <c r="D417" s="242"/>
      <c r="E417" s="242"/>
      <c r="F417" s="242"/>
      <c r="G417" s="242"/>
      <c r="H417" s="265"/>
      <c r="I417" s="242"/>
      <c r="J417" s="242"/>
      <c r="K417" s="248"/>
      <c r="L417" s="248"/>
      <c r="M417" s="248"/>
      <c r="N417" s="242"/>
    </row>
    <row r="418" spans="2:14" ht="18" customHeight="1" x14ac:dyDescent="0.15">
      <c r="B418" s="248"/>
      <c r="C418" s="248"/>
      <c r="D418" s="242"/>
      <c r="E418" s="242"/>
      <c r="F418" s="242"/>
      <c r="G418" s="242"/>
      <c r="H418" s="265"/>
      <c r="I418" s="242"/>
      <c r="J418" s="242"/>
      <c r="K418" s="248"/>
      <c r="L418" s="248"/>
      <c r="M418" s="248"/>
      <c r="N418" s="242"/>
    </row>
    <row r="419" spans="2:14" ht="18" customHeight="1" x14ac:dyDescent="0.15">
      <c r="B419" s="248"/>
      <c r="C419" s="248"/>
      <c r="D419" s="242"/>
      <c r="E419" s="242"/>
      <c r="F419" s="242"/>
      <c r="G419" s="242"/>
      <c r="H419" s="265"/>
      <c r="I419" s="242"/>
      <c r="J419" s="242"/>
      <c r="K419" s="248"/>
      <c r="L419" s="248"/>
      <c r="M419" s="248"/>
      <c r="N419" s="242"/>
    </row>
    <row r="420" spans="2:14" ht="18" customHeight="1" x14ac:dyDescent="0.15">
      <c r="B420" s="248"/>
      <c r="C420" s="248"/>
      <c r="D420" s="242"/>
      <c r="E420" s="242"/>
      <c r="F420" s="242"/>
      <c r="G420" s="242"/>
      <c r="H420" s="265"/>
      <c r="I420" s="242"/>
      <c r="J420" s="242"/>
      <c r="K420" s="248"/>
      <c r="L420" s="248"/>
      <c r="M420" s="248"/>
      <c r="N420" s="242"/>
    </row>
    <row r="421" spans="2:14" ht="18" customHeight="1" x14ac:dyDescent="0.15">
      <c r="B421" s="248"/>
      <c r="C421" s="248"/>
      <c r="D421" s="242"/>
      <c r="E421" s="242"/>
      <c r="F421" s="242"/>
      <c r="G421" s="242"/>
      <c r="H421" s="265"/>
      <c r="I421" s="242"/>
      <c r="J421" s="242"/>
      <c r="K421" s="248"/>
      <c r="L421" s="248"/>
      <c r="M421" s="248"/>
      <c r="N421" s="242"/>
    </row>
    <row r="422" spans="2:14" ht="18" customHeight="1" x14ac:dyDescent="0.15">
      <c r="B422" s="248"/>
      <c r="C422" s="248"/>
      <c r="D422" s="242"/>
      <c r="E422" s="242"/>
      <c r="F422" s="242"/>
      <c r="G422" s="242"/>
      <c r="H422" s="265"/>
      <c r="I422" s="242"/>
      <c r="J422" s="242"/>
      <c r="K422" s="248"/>
      <c r="L422" s="248"/>
      <c r="M422" s="248"/>
      <c r="N422" s="242"/>
    </row>
    <row r="423" spans="2:14" ht="18" customHeight="1" x14ac:dyDescent="0.15">
      <c r="B423" s="248"/>
      <c r="C423" s="248"/>
      <c r="D423" s="242"/>
      <c r="E423" s="242"/>
      <c r="F423" s="242"/>
      <c r="G423" s="242"/>
      <c r="H423" s="265"/>
      <c r="I423" s="242"/>
      <c r="J423" s="242"/>
      <c r="K423" s="248"/>
      <c r="L423" s="248"/>
      <c r="M423" s="248"/>
      <c r="N423" s="242"/>
    </row>
    <row r="424" spans="2:14" ht="18" customHeight="1" x14ac:dyDescent="0.15">
      <c r="B424" s="248"/>
      <c r="C424" s="248"/>
      <c r="D424" s="242"/>
      <c r="E424" s="242"/>
      <c r="F424" s="242"/>
      <c r="G424" s="242"/>
      <c r="H424" s="265"/>
      <c r="I424" s="242"/>
      <c r="J424" s="242"/>
      <c r="K424" s="248"/>
      <c r="L424" s="248"/>
      <c r="M424" s="248"/>
      <c r="N424" s="242"/>
    </row>
    <row r="425" spans="2:14" ht="18" customHeight="1" x14ac:dyDescent="0.15">
      <c r="B425" s="248"/>
      <c r="C425" s="248"/>
      <c r="D425" s="242"/>
      <c r="E425" s="242"/>
      <c r="F425" s="242"/>
      <c r="G425" s="242"/>
      <c r="H425" s="265"/>
      <c r="I425" s="242"/>
      <c r="J425" s="242"/>
      <c r="K425" s="248"/>
      <c r="L425" s="248"/>
      <c r="M425" s="248"/>
      <c r="N425" s="242"/>
    </row>
    <row r="426" spans="2:14" ht="18" customHeight="1" x14ac:dyDescent="0.15">
      <c r="B426" s="248"/>
      <c r="C426" s="248"/>
      <c r="D426" s="242"/>
      <c r="E426" s="242"/>
      <c r="F426" s="242"/>
      <c r="G426" s="242"/>
      <c r="H426" s="265"/>
      <c r="I426" s="242"/>
      <c r="J426" s="242"/>
      <c r="K426" s="248"/>
      <c r="L426" s="248"/>
      <c r="M426" s="248"/>
      <c r="N426" s="242"/>
    </row>
    <row r="427" spans="2:14" ht="18" customHeight="1" x14ac:dyDescent="0.15">
      <c r="B427" s="248"/>
      <c r="C427" s="248"/>
      <c r="D427" s="242"/>
      <c r="E427" s="242"/>
      <c r="F427" s="242"/>
      <c r="G427" s="242"/>
      <c r="H427" s="265"/>
      <c r="I427" s="242"/>
      <c r="J427" s="242"/>
      <c r="K427" s="248"/>
      <c r="L427" s="248"/>
      <c r="M427" s="248"/>
      <c r="N427" s="242"/>
    </row>
    <row r="428" spans="2:14" ht="18" customHeight="1" x14ac:dyDescent="0.15">
      <c r="B428" s="248"/>
      <c r="C428" s="248"/>
      <c r="D428" s="242"/>
      <c r="E428" s="242"/>
      <c r="F428" s="242"/>
      <c r="G428" s="242"/>
      <c r="H428" s="265"/>
      <c r="I428" s="242"/>
      <c r="J428" s="242"/>
      <c r="K428" s="248"/>
      <c r="L428" s="248"/>
      <c r="M428" s="248"/>
      <c r="N428" s="242"/>
    </row>
    <row r="429" spans="2:14" ht="18" customHeight="1" x14ac:dyDescent="0.15">
      <c r="B429" s="248"/>
      <c r="C429" s="248"/>
      <c r="D429" s="242"/>
      <c r="E429" s="242"/>
      <c r="F429" s="242"/>
      <c r="G429" s="242"/>
      <c r="H429" s="265"/>
      <c r="I429" s="242"/>
      <c r="J429" s="242"/>
      <c r="K429" s="248"/>
      <c r="L429" s="248"/>
      <c r="M429" s="248"/>
      <c r="N429" s="242"/>
    </row>
    <row r="430" spans="2:14" ht="18" customHeight="1" x14ac:dyDescent="0.15">
      <c r="B430" s="248"/>
      <c r="C430" s="248"/>
      <c r="D430" s="242"/>
      <c r="E430" s="242"/>
      <c r="F430" s="242"/>
      <c r="G430" s="242"/>
      <c r="H430" s="265"/>
      <c r="I430" s="242"/>
      <c r="J430" s="242"/>
      <c r="K430" s="248"/>
      <c r="L430" s="248"/>
      <c r="M430" s="248"/>
      <c r="N430" s="242"/>
    </row>
    <row r="431" spans="2:14" ht="18" customHeight="1" x14ac:dyDescent="0.15">
      <c r="B431" s="248"/>
      <c r="C431" s="248"/>
      <c r="D431" s="242"/>
      <c r="E431" s="242"/>
      <c r="F431" s="242"/>
      <c r="G431" s="242"/>
      <c r="H431" s="265"/>
      <c r="I431" s="242"/>
      <c r="J431" s="242"/>
      <c r="K431" s="248"/>
      <c r="L431" s="248"/>
      <c r="M431" s="248"/>
      <c r="N431" s="242"/>
    </row>
    <row r="432" spans="2:14" ht="18" customHeight="1" x14ac:dyDescent="0.15">
      <c r="B432" s="248"/>
      <c r="C432" s="248"/>
      <c r="D432" s="242"/>
      <c r="E432" s="242"/>
      <c r="F432" s="242"/>
      <c r="G432" s="242"/>
      <c r="H432" s="265"/>
      <c r="I432" s="242"/>
      <c r="J432" s="242"/>
      <c r="K432" s="248"/>
      <c r="L432" s="248"/>
      <c r="M432" s="248"/>
      <c r="N432" s="242"/>
    </row>
    <row r="433" spans="2:14" ht="18" customHeight="1" x14ac:dyDescent="0.15">
      <c r="B433" s="248"/>
      <c r="C433" s="248"/>
      <c r="D433" s="242"/>
      <c r="E433" s="242"/>
      <c r="F433" s="242"/>
      <c r="G433" s="242"/>
      <c r="H433" s="265"/>
      <c r="I433" s="242"/>
      <c r="J433" s="242"/>
      <c r="K433" s="248"/>
      <c r="L433" s="248"/>
      <c r="M433" s="248"/>
      <c r="N433" s="242"/>
    </row>
    <row r="434" spans="2:14" ht="18" customHeight="1" x14ac:dyDescent="0.15">
      <c r="B434" s="248"/>
      <c r="C434" s="248"/>
      <c r="D434" s="242"/>
      <c r="E434" s="242"/>
      <c r="F434" s="242"/>
      <c r="G434" s="242"/>
      <c r="H434" s="265"/>
      <c r="I434" s="242"/>
      <c r="J434" s="242"/>
      <c r="K434" s="248"/>
      <c r="L434" s="248"/>
      <c r="M434" s="248"/>
      <c r="N434" s="242"/>
    </row>
    <row r="435" spans="2:14" ht="18" customHeight="1" x14ac:dyDescent="0.15">
      <c r="B435" s="248"/>
      <c r="C435" s="248"/>
      <c r="D435" s="242"/>
      <c r="E435" s="242"/>
      <c r="F435" s="242"/>
      <c r="G435" s="242"/>
      <c r="H435" s="265"/>
      <c r="I435" s="242"/>
      <c r="J435" s="242"/>
      <c r="K435" s="248"/>
      <c r="L435" s="248"/>
      <c r="M435" s="248"/>
      <c r="N435" s="242"/>
    </row>
    <row r="436" spans="2:14" ht="18" customHeight="1" x14ac:dyDescent="0.15">
      <c r="B436" s="248"/>
      <c r="C436" s="248"/>
      <c r="D436" s="242"/>
      <c r="E436" s="242"/>
      <c r="F436" s="242"/>
      <c r="G436" s="242"/>
      <c r="H436" s="265"/>
      <c r="I436" s="242"/>
      <c r="J436" s="242"/>
      <c r="K436" s="248"/>
      <c r="L436" s="248"/>
      <c r="M436" s="248"/>
      <c r="N436" s="242"/>
    </row>
    <row r="437" spans="2:14" ht="18" customHeight="1" x14ac:dyDescent="0.15">
      <c r="B437" s="248"/>
      <c r="C437" s="248"/>
      <c r="D437" s="242"/>
      <c r="E437" s="242"/>
      <c r="F437" s="242"/>
      <c r="G437" s="242"/>
      <c r="H437" s="265"/>
      <c r="I437" s="242"/>
      <c r="J437" s="242"/>
      <c r="K437" s="248"/>
      <c r="L437" s="248"/>
      <c r="M437" s="248"/>
      <c r="N437" s="242"/>
    </row>
    <row r="438" spans="2:14" ht="18" customHeight="1" x14ac:dyDescent="0.15">
      <c r="B438" s="248"/>
      <c r="C438" s="248"/>
      <c r="D438" s="242"/>
      <c r="E438" s="242"/>
      <c r="F438" s="242"/>
      <c r="G438" s="242"/>
      <c r="H438" s="265"/>
      <c r="I438" s="242"/>
      <c r="J438" s="242"/>
      <c r="K438" s="248"/>
      <c r="L438" s="248"/>
      <c r="M438" s="248"/>
      <c r="N438" s="242"/>
    </row>
    <row r="439" spans="2:14" ht="18" customHeight="1" x14ac:dyDescent="0.15">
      <c r="B439" s="248"/>
      <c r="C439" s="248"/>
      <c r="D439" s="242"/>
      <c r="E439" s="242"/>
      <c r="F439" s="242"/>
      <c r="G439" s="242"/>
      <c r="H439" s="265"/>
      <c r="I439" s="242"/>
      <c r="J439" s="242"/>
      <c r="K439" s="248"/>
      <c r="L439" s="248"/>
      <c r="M439" s="248"/>
      <c r="N439" s="242"/>
    </row>
    <row r="440" spans="2:14" ht="18" customHeight="1" x14ac:dyDescent="0.15">
      <c r="B440" s="248"/>
      <c r="C440" s="248"/>
      <c r="D440" s="242"/>
      <c r="E440" s="242"/>
      <c r="F440" s="242"/>
      <c r="G440" s="242"/>
      <c r="H440" s="265"/>
      <c r="I440" s="242"/>
      <c r="J440" s="242"/>
      <c r="K440" s="248"/>
      <c r="L440" s="248"/>
      <c r="M440" s="248"/>
      <c r="N440" s="242"/>
    </row>
    <row r="441" spans="2:14" ht="18" customHeight="1" x14ac:dyDescent="0.15">
      <c r="B441" s="248"/>
      <c r="C441" s="248"/>
      <c r="D441" s="242"/>
      <c r="E441" s="242"/>
      <c r="F441" s="242"/>
      <c r="G441" s="242"/>
      <c r="H441" s="265"/>
      <c r="I441" s="242"/>
      <c r="J441" s="242"/>
      <c r="K441" s="248"/>
      <c r="L441" s="248"/>
      <c r="M441" s="248"/>
      <c r="N441" s="242"/>
    </row>
    <row r="442" spans="2:14" ht="18" customHeight="1" x14ac:dyDescent="0.15">
      <c r="B442" s="248"/>
      <c r="C442" s="248"/>
      <c r="D442" s="242"/>
      <c r="E442" s="242"/>
      <c r="F442" s="242"/>
      <c r="G442" s="242"/>
      <c r="H442" s="265"/>
      <c r="I442" s="242"/>
      <c r="J442" s="242"/>
      <c r="K442" s="248"/>
      <c r="L442" s="248"/>
      <c r="M442" s="248"/>
      <c r="N442" s="242"/>
    </row>
    <row r="443" spans="2:14" ht="18" customHeight="1" x14ac:dyDescent="0.15">
      <c r="B443" s="248"/>
      <c r="C443" s="248"/>
      <c r="D443" s="242"/>
      <c r="E443" s="242"/>
      <c r="F443" s="242"/>
      <c r="G443" s="242"/>
      <c r="H443" s="265"/>
      <c r="I443" s="242"/>
      <c r="J443" s="242"/>
      <c r="K443" s="248"/>
      <c r="L443" s="248"/>
      <c r="M443" s="248"/>
      <c r="N443" s="242"/>
    </row>
    <row r="444" spans="2:14" ht="18" customHeight="1" x14ac:dyDescent="0.15">
      <c r="B444" s="248"/>
      <c r="C444" s="248"/>
      <c r="D444" s="242"/>
      <c r="E444" s="242"/>
      <c r="F444" s="242"/>
      <c r="G444" s="242"/>
      <c r="H444" s="265"/>
      <c r="I444" s="242"/>
      <c r="J444" s="242"/>
      <c r="K444" s="248"/>
      <c r="L444" s="248"/>
      <c r="M444" s="248"/>
      <c r="N444" s="242"/>
    </row>
    <row r="445" spans="2:14" ht="18" customHeight="1" x14ac:dyDescent="0.15">
      <c r="B445" s="248"/>
      <c r="C445" s="248"/>
      <c r="D445" s="242"/>
      <c r="E445" s="242"/>
      <c r="F445" s="242"/>
      <c r="G445" s="242"/>
      <c r="H445" s="265"/>
      <c r="I445" s="242"/>
      <c r="J445" s="242"/>
      <c r="K445" s="248"/>
      <c r="L445" s="248"/>
      <c r="M445" s="248"/>
      <c r="N445" s="242"/>
    </row>
    <row r="446" spans="2:14" ht="18" customHeight="1" x14ac:dyDescent="0.15">
      <c r="B446" s="248"/>
      <c r="C446" s="248"/>
      <c r="D446" s="242"/>
      <c r="E446" s="242"/>
      <c r="F446" s="242"/>
      <c r="G446" s="242"/>
      <c r="H446" s="265"/>
      <c r="I446" s="242"/>
      <c r="J446" s="242"/>
      <c r="K446" s="248"/>
      <c r="L446" s="248"/>
      <c r="M446" s="248"/>
      <c r="N446" s="242"/>
    </row>
    <row r="447" spans="2:14" ht="18" customHeight="1" x14ac:dyDescent="0.15">
      <c r="B447" s="248"/>
      <c r="C447" s="248"/>
      <c r="D447" s="242"/>
      <c r="E447" s="242"/>
      <c r="F447" s="242"/>
      <c r="G447" s="242"/>
      <c r="H447" s="265"/>
      <c r="I447" s="242"/>
      <c r="J447" s="242"/>
      <c r="K447" s="248"/>
      <c r="L447" s="248"/>
      <c r="M447" s="248"/>
      <c r="N447" s="242"/>
    </row>
    <row r="448" spans="2:14" ht="18" customHeight="1" x14ac:dyDescent="0.15">
      <c r="B448" s="248"/>
      <c r="C448" s="248"/>
      <c r="D448" s="242"/>
      <c r="E448" s="242"/>
      <c r="F448" s="242"/>
      <c r="G448" s="242"/>
      <c r="H448" s="265"/>
      <c r="I448" s="242"/>
      <c r="J448" s="242"/>
      <c r="K448" s="248"/>
      <c r="L448" s="248"/>
      <c r="M448" s="248"/>
      <c r="N448" s="242"/>
    </row>
    <row r="449" spans="2:14" ht="18" customHeight="1" x14ac:dyDescent="0.15">
      <c r="B449" s="248"/>
      <c r="C449" s="248"/>
      <c r="D449" s="242"/>
      <c r="E449" s="242"/>
      <c r="F449" s="242"/>
      <c r="G449" s="242"/>
      <c r="H449" s="265"/>
      <c r="I449" s="242"/>
      <c r="J449" s="242"/>
      <c r="K449" s="248"/>
      <c r="L449" s="248"/>
      <c r="M449" s="248"/>
      <c r="N449" s="242"/>
    </row>
    <row r="450" spans="2:14" ht="18" customHeight="1" x14ac:dyDescent="0.15">
      <c r="B450" s="248"/>
      <c r="C450" s="248"/>
      <c r="D450" s="242"/>
      <c r="E450" s="242"/>
      <c r="F450" s="242"/>
      <c r="G450" s="242"/>
      <c r="H450" s="265"/>
      <c r="I450" s="242"/>
      <c r="J450" s="242"/>
      <c r="K450" s="248"/>
      <c r="L450" s="248"/>
      <c r="M450" s="248"/>
      <c r="N450" s="242"/>
    </row>
    <row r="451" spans="2:14" ht="18" customHeight="1" x14ac:dyDescent="0.15">
      <c r="B451" s="248"/>
      <c r="C451" s="248"/>
      <c r="D451" s="242"/>
      <c r="E451" s="242"/>
      <c r="F451" s="242"/>
      <c r="G451" s="242"/>
      <c r="H451" s="265"/>
      <c r="I451" s="242"/>
      <c r="J451" s="242"/>
      <c r="K451" s="248"/>
      <c r="L451" s="248"/>
      <c r="M451" s="248"/>
      <c r="N451" s="242"/>
    </row>
    <row r="452" spans="2:14" ht="18" customHeight="1" x14ac:dyDescent="0.15">
      <c r="B452" s="248"/>
      <c r="C452" s="248"/>
      <c r="D452" s="242"/>
      <c r="E452" s="242"/>
      <c r="F452" s="242"/>
      <c r="G452" s="242"/>
      <c r="H452" s="265"/>
      <c r="I452" s="242"/>
      <c r="J452" s="242"/>
      <c r="K452" s="248"/>
      <c r="L452" s="248"/>
      <c r="M452" s="248"/>
      <c r="N452" s="242"/>
    </row>
    <row r="453" spans="2:14" ht="18" customHeight="1" x14ac:dyDescent="0.15">
      <c r="B453" s="248"/>
      <c r="C453" s="248"/>
      <c r="D453" s="242"/>
      <c r="E453" s="242"/>
      <c r="F453" s="242"/>
      <c r="G453" s="242"/>
      <c r="H453" s="265"/>
      <c r="I453" s="242"/>
      <c r="J453" s="242"/>
      <c r="K453" s="248"/>
      <c r="L453" s="248"/>
      <c r="M453" s="248"/>
      <c r="N453" s="242"/>
    </row>
    <row r="454" spans="2:14" ht="18" customHeight="1" x14ac:dyDescent="0.15">
      <c r="B454" s="248"/>
      <c r="C454" s="248"/>
      <c r="D454" s="242"/>
      <c r="E454" s="242"/>
      <c r="F454" s="242"/>
      <c r="G454" s="242"/>
      <c r="H454" s="265"/>
      <c r="I454" s="242"/>
      <c r="J454" s="242"/>
      <c r="K454" s="248"/>
      <c r="L454" s="248"/>
      <c r="M454" s="248"/>
      <c r="N454" s="242"/>
    </row>
    <row r="455" spans="2:14" ht="18" customHeight="1" x14ac:dyDescent="0.15">
      <c r="B455" s="248"/>
      <c r="C455" s="248"/>
      <c r="D455" s="242"/>
      <c r="E455" s="242"/>
      <c r="F455" s="242"/>
      <c r="G455" s="242"/>
      <c r="H455" s="265"/>
      <c r="I455" s="242"/>
      <c r="J455" s="242"/>
      <c r="K455" s="248"/>
      <c r="L455" s="248"/>
      <c r="M455" s="248"/>
      <c r="N455" s="242"/>
    </row>
    <row r="456" spans="2:14" ht="18" customHeight="1" x14ac:dyDescent="0.15">
      <c r="B456" s="248"/>
      <c r="C456" s="248"/>
      <c r="D456" s="242"/>
      <c r="E456" s="242"/>
      <c r="F456" s="242"/>
      <c r="G456" s="242"/>
      <c r="H456" s="265"/>
      <c r="I456" s="242"/>
      <c r="J456" s="242"/>
      <c r="K456" s="248"/>
      <c r="L456" s="248"/>
      <c r="M456" s="248"/>
      <c r="N456" s="242"/>
    </row>
    <row r="457" spans="2:14" ht="18" customHeight="1" x14ac:dyDescent="0.15">
      <c r="B457" s="248"/>
      <c r="C457" s="248"/>
      <c r="D457" s="242"/>
      <c r="E457" s="242"/>
      <c r="F457" s="242"/>
      <c r="G457" s="242"/>
      <c r="H457" s="265"/>
      <c r="I457" s="242"/>
      <c r="J457" s="242"/>
      <c r="K457" s="248"/>
      <c r="L457" s="248"/>
      <c r="M457" s="248"/>
      <c r="N457" s="242"/>
    </row>
    <row r="458" spans="2:14" ht="18" customHeight="1" x14ac:dyDescent="0.15">
      <c r="B458" s="248"/>
      <c r="C458" s="248"/>
      <c r="D458" s="242"/>
      <c r="E458" s="242"/>
      <c r="F458" s="242"/>
      <c r="G458" s="242"/>
      <c r="H458" s="265"/>
      <c r="I458" s="242"/>
      <c r="J458" s="242"/>
      <c r="K458" s="248"/>
      <c r="L458" s="248"/>
      <c r="M458" s="248"/>
      <c r="N458" s="242"/>
    </row>
    <row r="459" spans="2:14" ht="18" customHeight="1" x14ac:dyDescent="0.15">
      <c r="B459" s="248"/>
      <c r="C459" s="248"/>
      <c r="D459" s="242"/>
      <c r="E459" s="242"/>
      <c r="F459" s="242"/>
      <c r="G459" s="242"/>
      <c r="H459" s="265"/>
      <c r="I459" s="242"/>
      <c r="J459" s="242"/>
      <c r="K459" s="248"/>
      <c r="L459" s="248"/>
      <c r="M459" s="248"/>
      <c r="N459" s="242"/>
    </row>
    <row r="460" spans="2:14" ht="18" customHeight="1" x14ac:dyDescent="0.15">
      <c r="B460" s="248"/>
      <c r="C460" s="248"/>
      <c r="D460" s="242"/>
      <c r="E460" s="242"/>
      <c r="F460" s="242"/>
      <c r="G460" s="242"/>
      <c r="H460" s="265"/>
      <c r="I460" s="242"/>
      <c r="J460" s="242"/>
      <c r="K460" s="248"/>
      <c r="L460" s="248"/>
      <c r="M460" s="248"/>
      <c r="N460" s="242"/>
    </row>
    <row r="461" spans="2:14" ht="18" customHeight="1" x14ac:dyDescent="0.15">
      <c r="B461" s="248"/>
      <c r="C461" s="248"/>
      <c r="D461" s="242"/>
      <c r="E461" s="242"/>
      <c r="F461" s="242"/>
      <c r="G461" s="242"/>
      <c r="H461" s="265"/>
      <c r="I461" s="242"/>
      <c r="J461" s="242"/>
      <c r="K461" s="248"/>
      <c r="L461" s="248"/>
      <c r="M461" s="248"/>
      <c r="N461" s="242"/>
    </row>
    <row r="462" spans="2:14" ht="18" customHeight="1" x14ac:dyDescent="0.15">
      <c r="B462" s="248"/>
      <c r="C462" s="248"/>
      <c r="D462" s="242"/>
      <c r="E462" s="242"/>
      <c r="F462" s="242"/>
      <c r="G462" s="242"/>
      <c r="H462" s="265"/>
      <c r="I462" s="242"/>
      <c r="J462" s="242"/>
      <c r="K462" s="248"/>
      <c r="L462" s="248"/>
      <c r="M462" s="248"/>
      <c r="N462" s="242"/>
    </row>
    <row r="463" spans="2:14" ht="18" customHeight="1" x14ac:dyDescent="0.15">
      <c r="B463" s="248"/>
      <c r="C463" s="248"/>
      <c r="D463" s="242"/>
      <c r="E463" s="242"/>
      <c r="F463" s="242"/>
      <c r="G463" s="242"/>
      <c r="H463" s="265"/>
      <c r="I463" s="242"/>
      <c r="J463" s="242"/>
      <c r="K463" s="248"/>
      <c r="L463" s="248"/>
      <c r="M463" s="248"/>
      <c r="N463" s="242"/>
    </row>
    <row r="464" spans="2:14" ht="18" customHeight="1" x14ac:dyDescent="0.15">
      <c r="B464" s="248"/>
      <c r="C464" s="248"/>
      <c r="D464" s="242"/>
      <c r="E464" s="242"/>
      <c r="F464" s="242"/>
      <c r="G464" s="242"/>
      <c r="H464" s="265"/>
      <c r="I464" s="242"/>
      <c r="J464" s="242"/>
      <c r="K464" s="248"/>
      <c r="L464" s="248"/>
      <c r="M464" s="248"/>
      <c r="N464" s="242"/>
    </row>
    <row r="465" spans="2:14" ht="18" customHeight="1" x14ac:dyDescent="0.15">
      <c r="B465" s="248"/>
      <c r="C465" s="248"/>
      <c r="D465" s="242"/>
      <c r="E465" s="242"/>
      <c r="F465" s="242"/>
      <c r="G465" s="242"/>
      <c r="H465" s="265"/>
      <c r="I465" s="242"/>
      <c r="J465" s="242"/>
      <c r="K465" s="248"/>
      <c r="L465" s="248"/>
      <c r="M465" s="248"/>
      <c r="N465" s="242"/>
    </row>
    <row r="466" spans="2:14" ht="18" customHeight="1" x14ac:dyDescent="0.15">
      <c r="B466" s="248"/>
      <c r="C466" s="248"/>
      <c r="D466" s="242"/>
      <c r="E466" s="242"/>
      <c r="F466" s="242"/>
      <c r="G466" s="242"/>
      <c r="H466" s="265"/>
      <c r="I466" s="242"/>
      <c r="J466" s="242"/>
      <c r="K466" s="248"/>
      <c r="L466" s="248"/>
      <c r="M466" s="248"/>
      <c r="N466" s="242"/>
    </row>
    <row r="467" spans="2:14" ht="18" customHeight="1" x14ac:dyDescent="0.15">
      <c r="B467" s="248"/>
      <c r="C467" s="248"/>
      <c r="D467" s="242"/>
      <c r="E467" s="242"/>
      <c r="F467" s="242"/>
      <c r="G467" s="242"/>
      <c r="H467" s="265"/>
      <c r="I467" s="242"/>
      <c r="J467" s="242"/>
      <c r="K467" s="248"/>
      <c r="L467" s="248"/>
      <c r="M467" s="248"/>
      <c r="N467" s="242"/>
    </row>
    <row r="468" spans="2:14" ht="18" customHeight="1" x14ac:dyDescent="0.15">
      <c r="B468" s="248"/>
      <c r="C468" s="248"/>
      <c r="D468" s="242"/>
      <c r="E468" s="242"/>
      <c r="F468" s="242"/>
      <c r="G468" s="242"/>
      <c r="H468" s="265"/>
      <c r="I468" s="242"/>
      <c r="J468" s="242"/>
      <c r="K468" s="248"/>
      <c r="L468" s="248"/>
      <c r="M468" s="248"/>
      <c r="N468" s="242"/>
    </row>
    <row r="469" spans="2:14" ht="18" customHeight="1" x14ac:dyDescent="0.15">
      <c r="B469" s="248"/>
      <c r="C469" s="248"/>
      <c r="D469" s="242"/>
      <c r="E469" s="242"/>
      <c r="F469" s="242"/>
      <c r="G469" s="242"/>
      <c r="H469" s="265"/>
      <c r="I469" s="242"/>
      <c r="J469" s="242"/>
      <c r="K469" s="248"/>
      <c r="L469" s="248"/>
      <c r="M469" s="248"/>
      <c r="N469" s="242"/>
    </row>
    <row r="470" spans="2:14" ht="18" customHeight="1" x14ac:dyDescent="0.15">
      <c r="B470" s="248"/>
      <c r="C470" s="248"/>
      <c r="D470" s="242"/>
      <c r="E470" s="242"/>
      <c r="F470" s="242"/>
      <c r="G470" s="242"/>
      <c r="H470" s="265"/>
      <c r="I470" s="242"/>
      <c r="J470" s="242"/>
      <c r="K470" s="248"/>
      <c r="L470" s="248"/>
      <c r="M470" s="248"/>
      <c r="N470" s="242"/>
    </row>
    <row r="471" spans="2:14" ht="18" customHeight="1" x14ac:dyDescent="0.15">
      <c r="B471" s="248"/>
      <c r="C471" s="248"/>
      <c r="D471" s="242"/>
      <c r="E471" s="242"/>
      <c r="F471" s="242"/>
      <c r="G471" s="242"/>
      <c r="H471" s="265"/>
      <c r="I471" s="242"/>
      <c r="J471" s="242"/>
      <c r="K471" s="248"/>
      <c r="L471" s="248"/>
      <c r="M471" s="248"/>
      <c r="N471" s="242"/>
    </row>
    <row r="472" spans="2:14" ht="18" customHeight="1" x14ac:dyDescent="0.15">
      <c r="B472" s="248"/>
      <c r="C472" s="248"/>
      <c r="D472" s="242"/>
      <c r="E472" s="242"/>
      <c r="F472" s="242"/>
      <c r="G472" s="242"/>
      <c r="H472" s="265"/>
      <c r="I472" s="242"/>
      <c r="J472" s="242"/>
      <c r="K472" s="248"/>
      <c r="L472" s="248"/>
      <c r="M472" s="248"/>
      <c r="N472" s="242"/>
    </row>
    <row r="473" spans="2:14" ht="18" customHeight="1" x14ac:dyDescent="0.15">
      <c r="B473" s="248"/>
      <c r="C473" s="248"/>
      <c r="D473" s="242"/>
      <c r="E473" s="242"/>
      <c r="F473" s="242"/>
      <c r="G473" s="242"/>
      <c r="H473" s="265"/>
      <c r="I473" s="242"/>
      <c r="J473" s="242"/>
      <c r="K473" s="248"/>
      <c r="L473" s="248"/>
      <c r="M473" s="248"/>
      <c r="N473" s="242"/>
    </row>
    <row r="474" spans="2:14" ht="18" customHeight="1" x14ac:dyDescent="0.15">
      <c r="B474" s="248"/>
      <c r="C474" s="248"/>
      <c r="D474" s="242"/>
      <c r="E474" s="242"/>
      <c r="F474" s="242"/>
      <c r="G474" s="242"/>
      <c r="H474" s="265"/>
      <c r="I474" s="242"/>
      <c r="J474" s="242"/>
      <c r="K474" s="248"/>
      <c r="L474" s="248"/>
      <c r="M474" s="248"/>
      <c r="N474" s="242"/>
    </row>
    <row r="475" spans="2:14" ht="18" customHeight="1" x14ac:dyDescent="0.15">
      <c r="B475" s="248"/>
      <c r="C475" s="248"/>
      <c r="D475" s="242"/>
      <c r="E475" s="242"/>
      <c r="F475" s="242"/>
      <c r="G475" s="242"/>
      <c r="H475" s="265"/>
      <c r="I475" s="242"/>
      <c r="J475" s="242"/>
      <c r="K475" s="248"/>
      <c r="L475" s="248"/>
      <c r="M475" s="248"/>
      <c r="N475" s="242"/>
    </row>
    <row r="476" spans="2:14" ht="18" customHeight="1" x14ac:dyDescent="0.15">
      <c r="B476" s="248"/>
      <c r="C476" s="248"/>
      <c r="D476" s="242"/>
      <c r="E476" s="242"/>
      <c r="F476" s="242"/>
      <c r="G476" s="242"/>
      <c r="H476" s="265"/>
      <c r="I476" s="242"/>
      <c r="J476" s="242"/>
      <c r="K476" s="248"/>
      <c r="L476" s="248"/>
      <c r="M476" s="248"/>
      <c r="N476" s="242"/>
    </row>
    <row r="477" spans="2:14" ht="18" customHeight="1" x14ac:dyDescent="0.15">
      <c r="B477" s="248"/>
      <c r="C477" s="248"/>
      <c r="D477" s="242"/>
      <c r="E477" s="242"/>
      <c r="F477" s="242"/>
      <c r="G477" s="242"/>
      <c r="H477" s="265"/>
      <c r="I477" s="242"/>
      <c r="J477" s="242"/>
      <c r="K477" s="248"/>
      <c r="L477" s="248"/>
      <c r="M477" s="248"/>
      <c r="N477" s="242"/>
    </row>
    <row r="478" spans="2:14" ht="18" customHeight="1" x14ac:dyDescent="0.15">
      <c r="B478" s="248"/>
      <c r="C478" s="248"/>
      <c r="D478" s="242"/>
      <c r="E478" s="242"/>
      <c r="F478" s="242"/>
      <c r="G478" s="242"/>
      <c r="H478" s="265"/>
      <c r="I478" s="242"/>
      <c r="J478" s="242"/>
      <c r="K478" s="248"/>
      <c r="L478" s="248"/>
      <c r="M478" s="248"/>
      <c r="N478" s="242"/>
    </row>
    <row r="479" spans="2:14" ht="18" customHeight="1" x14ac:dyDescent="0.15">
      <c r="B479" s="248"/>
      <c r="C479" s="248"/>
      <c r="D479" s="242"/>
      <c r="E479" s="242"/>
      <c r="F479" s="242"/>
      <c r="G479" s="242"/>
      <c r="H479" s="265"/>
      <c r="I479" s="242"/>
      <c r="J479" s="242"/>
      <c r="K479" s="248"/>
      <c r="L479" s="248"/>
      <c r="M479" s="248"/>
      <c r="N479" s="242"/>
    </row>
    <row r="480" spans="2:14" ht="18" customHeight="1" x14ac:dyDescent="0.15">
      <c r="B480" s="248"/>
      <c r="C480" s="248"/>
      <c r="D480" s="242"/>
      <c r="E480" s="242"/>
      <c r="F480" s="242"/>
      <c r="G480" s="242"/>
      <c r="H480" s="265"/>
      <c r="I480" s="242"/>
      <c r="J480" s="242"/>
      <c r="K480" s="248"/>
      <c r="L480" s="248"/>
      <c r="M480" s="248"/>
      <c r="N480" s="242"/>
    </row>
    <row r="481" spans="2:14" ht="18" customHeight="1" x14ac:dyDescent="0.15">
      <c r="B481" s="248"/>
      <c r="C481" s="248"/>
      <c r="D481" s="242"/>
      <c r="E481" s="242"/>
      <c r="F481" s="242"/>
      <c r="G481" s="242"/>
      <c r="H481" s="265"/>
      <c r="I481" s="242"/>
      <c r="J481" s="242"/>
      <c r="K481" s="248"/>
      <c r="L481" s="248"/>
      <c r="M481" s="248"/>
      <c r="N481" s="242"/>
    </row>
    <row r="482" spans="2:14" ht="18" customHeight="1" x14ac:dyDescent="0.15">
      <c r="B482" s="248"/>
      <c r="C482" s="248"/>
      <c r="D482" s="242"/>
      <c r="E482" s="242"/>
      <c r="F482" s="242"/>
      <c r="G482" s="242"/>
      <c r="H482" s="265"/>
      <c r="I482" s="242"/>
      <c r="J482" s="242"/>
      <c r="K482" s="248"/>
      <c r="L482" s="248"/>
      <c r="M482" s="248"/>
      <c r="N482" s="242"/>
    </row>
    <row r="483" spans="2:14" ht="18" customHeight="1" x14ac:dyDescent="0.15">
      <c r="B483" s="248"/>
      <c r="C483" s="248"/>
      <c r="D483" s="242"/>
      <c r="E483" s="242"/>
      <c r="F483" s="242"/>
      <c r="G483" s="242"/>
      <c r="H483" s="265"/>
      <c r="I483" s="242"/>
      <c r="J483" s="242"/>
      <c r="K483" s="248"/>
      <c r="L483" s="248"/>
      <c r="M483" s="248"/>
      <c r="N483" s="242"/>
    </row>
    <row r="484" spans="2:14" ht="18" customHeight="1" x14ac:dyDescent="0.15">
      <c r="B484" s="248"/>
      <c r="C484" s="248"/>
      <c r="D484" s="242"/>
      <c r="E484" s="242"/>
      <c r="F484" s="242"/>
      <c r="G484" s="242"/>
      <c r="H484" s="265"/>
      <c r="I484" s="242"/>
      <c r="J484" s="242"/>
      <c r="K484" s="248"/>
      <c r="L484" s="248"/>
      <c r="M484" s="248"/>
      <c r="N484" s="242"/>
    </row>
    <row r="485" spans="2:14" ht="18" customHeight="1" x14ac:dyDescent="0.15">
      <c r="B485" s="248"/>
      <c r="C485" s="248"/>
      <c r="D485" s="242"/>
      <c r="E485" s="242"/>
      <c r="F485" s="242"/>
      <c r="G485" s="242"/>
      <c r="H485" s="265"/>
      <c r="I485" s="242"/>
      <c r="J485" s="242"/>
      <c r="K485" s="248"/>
      <c r="L485" s="248"/>
      <c r="M485" s="248"/>
      <c r="N485" s="242"/>
    </row>
    <row r="486" spans="2:14" ht="18" customHeight="1" x14ac:dyDescent="0.15">
      <c r="B486" s="248"/>
      <c r="C486" s="248"/>
      <c r="D486" s="242"/>
      <c r="E486" s="242"/>
      <c r="F486" s="242"/>
      <c r="G486" s="242"/>
      <c r="H486" s="265"/>
      <c r="I486" s="242"/>
      <c r="J486" s="242"/>
      <c r="K486" s="248"/>
      <c r="L486" s="248"/>
      <c r="M486" s="248"/>
      <c r="N486" s="242"/>
    </row>
    <row r="487" spans="2:14" ht="18" customHeight="1" x14ac:dyDescent="0.15">
      <c r="B487" s="248"/>
      <c r="C487" s="248"/>
      <c r="D487" s="242"/>
      <c r="E487" s="242"/>
      <c r="F487" s="242"/>
      <c r="G487" s="242"/>
      <c r="H487" s="265"/>
      <c r="I487" s="242"/>
      <c r="J487" s="242"/>
      <c r="K487" s="248"/>
      <c r="L487" s="248"/>
      <c r="M487" s="248"/>
      <c r="N487" s="242"/>
    </row>
    <row r="488" spans="2:14" ht="18" customHeight="1" x14ac:dyDescent="0.15">
      <c r="B488" s="248"/>
      <c r="C488" s="248"/>
      <c r="D488" s="242"/>
      <c r="E488" s="242"/>
      <c r="F488" s="242"/>
      <c r="G488" s="242"/>
      <c r="H488" s="265"/>
      <c r="I488" s="242"/>
      <c r="J488" s="242"/>
      <c r="K488" s="248"/>
      <c r="L488" s="248"/>
      <c r="M488" s="248"/>
      <c r="N488" s="242"/>
    </row>
    <row r="489" spans="2:14" ht="18" customHeight="1" x14ac:dyDescent="0.15">
      <c r="B489" s="248"/>
      <c r="C489" s="248"/>
      <c r="D489" s="242"/>
      <c r="E489" s="242"/>
      <c r="F489" s="242"/>
      <c r="G489" s="242"/>
      <c r="H489" s="265"/>
      <c r="I489" s="242"/>
      <c r="J489" s="242"/>
      <c r="K489" s="248"/>
      <c r="L489" s="248"/>
      <c r="M489" s="248"/>
      <c r="N489" s="242"/>
    </row>
    <row r="490" spans="2:14" ht="18" customHeight="1" x14ac:dyDescent="0.15">
      <c r="B490" s="248"/>
      <c r="C490" s="248"/>
      <c r="D490" s="242"/>
      <c r="E490" s="242"/>
      <c r="F490" s="242"/>
      <c r="G490" s="242"/>
      <c r="H490" s="265"/>
      <c r="I490" s="242"/>
      <c r="J490" s="242"/>
      <c r="K490" s="248"/>
      <c r="L490" s="248"/>
      <c r="M490" s="248"/>
      <c r="N490" s="242"/>
    </row>
    <row r="491" spans="2:14" ht="18" customHeight="1" x14ac:dyDescent="0.15">
      <c r="B491" s="248"/>
      <c r="C491" s="248"/>
      <c r="D491" s="242"/>
      <c r="E491" s="242"/>
      <c r="F491" s="242"/>
      <c r="G491" s="242"/>
      <c r="H491" s="265"/>
      <c r="I491" s="242"/>
      <c r="J491" s="242"/>
      <c r="K491" s="248"/>
      <c r="L491" s="248"/>
      <c r="M491" s="248"/>
      <c r="N491" s="242"/>
    </row>
    <row r="492" spans="2:14" ht="18" customHeight="1" x14ac:dyDescent="0.15">
      <c r="B492" s="248"/>
      <c r="C492" s="248"/>
      <c r="D492" s="242"/>
      <c r="E492" s="242"/>
      <c r="F492" s="242"/>
      <c r="G492" s="242"/>
      <c r="H492" s="265"/>
      <c r="I492" s="242"/>
      <c r="J492" s="242"/>
      <c r="K492" s="248"/>
      <c r="L492" s="248"/>
      <c r="M492" s="248"/>
      <c r="N492" s="242"/>
    </row>
    <row r="493" spans="2:14" ht="18" customHeight="1" x14ac:dyDescent="0.15">
      <c r="B493" s="248"/>
      <c r="C493" s="248"/>
      <c r="D493" s="242"/>
      <c r="E493" s="242"/>
      <c r="F493" s="242"/>
      <c r="G493" s="242"/>
      <c r="H493" s="265"/>
      <c r="I493" s="242"/>
      <c r="J493" s="242"/>
      <c r="K493" s="248"/>
      <c r="L493" s="248"/>
      <c r="M493" s="248"/>
      <c r="N493" s="242"/>
    </row>
    <row r="494" spans="2:14" ht="18" customHeight="1" x14ac:dyDescent="0.15">
      <c r="B494" s="248"/>
      <c r="C494" s="248"/>
      <c r="D494" s="242"/>
      <c r="E494" s="242"/>
      <c r="F494" s="242"/>
      <c r="G494" s="242"/>
      <c r="H494" s="265"/>
      <c r="I494" s="242"/>
      <c r="J494" s="242"/>
      <c r="K494" s="248"/>
      <c r="L494" s="248"/>
      <c r="M494" s="248"/>
      <c r="N494" s="242"/>
    </row>
    <row r="495" spans="2:14" ht="18" customHeight="1" x14ac:dyDescent="0.15">
      <c r="B495" s="248"/>
      <c r="C495" s="248"/>
      <c r="D495" s="242"/>
      <c r="E495" s="242"/>
      <c r="F495" s="242"/>
      <c r="G495" s="242"/>
      <c r="H495" s="265"/>
      <c r="I495" s="242"/>
      <c r="J495" s="242"/>
      <c r="K495" s="248"/>
      <c r="L495" s="248"/>
      <c r="M495" s="248"/>
      <c r="N495" s="242"/>
    </row>
    <row r="496" spans="2:14" ht="18" customHeight="1" x14ac:dyDescent="0.15">
      <c r="B496" s="248"/>
      <c r="C496" s="248"/>
      <c r="D496" s="242"/>
      <c r="E496" s="242"/>
      <c r="F496" s="242"/>
      <c r="G496" s="242"/>
      <c r="H496" s="265"/>
      <c r="I496" s="242"/>
      <c r="J496" s="242"/>
      <c r="K496" s="248"/>
      <c r="L496" s="248"/>
      <c r="M496" s="248"/>
      <c r="N496" s="242"/>
    </row>
    <row r="497" spans="2:14" ht="18" customHeight="1" x14ac:dyDescent="0.15">
      <c r="B497" s="248"/>
      <c r="C497" s="248"/>
      <c r="D497" s="242"/>
      <c r="E497" s="242"/>
      <c r="F497" s="242"/>
      <c r="G497" s="242"/>
      <c r="H497" s="265"/>
      <c r="I497" s="242"/>
      <c r="J497" s="242"/>
      <c r="K497" s="248"/>
      <c r="L497" s="248"/>
      <c r="M497" s="248"/>
      <c r="N497" s="242"/>
    </row>
    <row r="498" spans="2:14" ht="18" customHeight="1" x14ac:dyDescent="0.15">
      <c r="B498" s="248"/>
      <c r="C498" s="248"/>
      <c r="D498" s="242"/>
      <c r="E498" s="242"/>
      <c r="F498" s="242"/>
      <c r="G498" s="242"/>
      <c r="H498" s="265"/>
      <c r="I498" s="242"/>
      <c r="J498" s="242"/>
      <c r="K498" s="248"/>
      <c r="L498" s="248"/>
      <c r="M498" s="248"/>
      <c r="N498" s="242"/>
    </row>
    <row r="499" spans="2:14" ht="18" customHeight="1" x14ac:dyDescent="0.15">
      <c r="B499" s="248"/>
      <c r="C499" s="248"/>
      <c r="D499" s="242"/>
      <c r="E499" s="242"/>
      <c r="F499" s="242"/>
      <c r="G499" s="242"/>
      <c r="H499" s="265"/>
      <c r="I499" s="242"/>
      <c r="J499" s="242"/>
      <c r="K499" s="248"/>
      <c r="L499" s="248"/>
      <c r="M499" s="248"/>
      <c r="N499" s="242"/>
    </row>
    <row r="500" spans="2:14" ht="18" customHeight="1" x14ac:dyDescent="0.15">
      <c r="B500" s="248"/>
      <c r="C500" s="248"/>
      <c r="D500" s="242"/>
      <c r="E500" s="242"/>
      <c r="F500" s="242"/>
      <c r="G500" s="242"/>
      <c r="H500" s="265"/>
      <c r="I500" s="242"/>
      <c r="J500" s="242"/>
      <c r="K500" s="248"/>
      <c r="L500" s="248"/>
      <c r="M500" s="248"/>
      <c r="N500" s="242"/>
    </row>
    <row r="501" spans="2:14" ht="18" customHeight="1" x14ac:dyDescent="0.15">
      <c r="B501" s="248"/>
      <c r="C501" s="248"/>
      <c r="D501" s="242"/>
      <c r="E501" s="242"/>
      <c r="F501" s="242"/>
      <c r="G501" s="242"/>
      <c r="H501" s="265"/>
      <c r="I501" s="242"/>
      <c r="J501" s="242"/>
      <c r="K501" s="248"/>
      <c r="L501" s="248"/>
      <c r="M501" s="248"/>
      <c r="N501" s="242"/>
    </row>
    <row r="502" spans="2:14" ht="18" customHeight="1" x14ac:dyDescent="0.15">
      <c r="B502" s="248"/>
      <c r="C502" s="248"/>
      <c r="D502" s="242"/>
      <c r="E502" s="242"/>
      <c r="F502" s="242"/>
      <c r="G502" s="242"/>
      <c r="H502" s="265"/>
      <c r="I502" s="242"/>
      <c r="J502" s="242"/>
      <c r="K502" s="248"/>
      <c r="L502" s="248"/>
      <c r="M502" s="248"/>
      <c r="N502" s="242"/>
    </row>
    <row r="503" spans="2:14" ht="18" customHeight="1" x14ac:dyDescent="0.15">
      <c r="B503" s="248"/>
      <c r="C503" s="248"/>
      <c r="D503" s="242"/>
      <c r="E503" s="242"/>
      <c r="F503" s="242"/>
      <c r="G503" s="242"/>
      <c r="H503" s="265"/>
      <c r="I503" s="242"/>
      <c r="J503" s="242"/>
      <c r="K503" s="248"/>
      <c r="L503" s="248"/>
      <c r="M503" s="248"/>
      <c r="N503" s="242"/>
    </row>
    <row r="504" spans="2:14" ht="18" customHeight="1" x14ac:dyDescent="0.15">
      <c r="B504" s="248"/>
      <c r="C504" s="248"/>
      <c r="D504" s="242"/>
      <c r="E504" s="242"/>
      <c r="F504" s="242"/>
      <c r="G504" s="242"/>
      <c r="H504" s="265"/>
      <c r="I504" s="242"/>
      <c r="J504" s="242"/>
      <c r="K504" s="248"/>
      <c r="L504" s="248"/>
      <c r="M504" s="248"/>
      <c r="N504" s="242"/>
    </row>
    <row r="505" spans="2:14" ht="18" customHeight="1" x14ac:dyDescent="0.15">
      <c r="B505" s="248"/>
      <c r="C505" s="248"/>
      <c r="D505" s="242"/>
      <c r="E505" s="242"/>
      <c r="F505" s="242"/>
      <c r="G505" s="242"/>
      <c r="H505" s="265"/>
      <c r="I505" s="242"/>
      <c r="J505" s="242"/>
      <c r="K505" s="248"/>
      <c r="L505" s="248"/>
      <c r="M505" s="248"/>
      <c r="N505" s="242"/>
    </row>
    <row r="506" spans="2:14" ht="18" customHeight="1" x14ac:dyDescent="0.15">
      <c r="B506" s="248"/>
      <c r="C506" s="248"/>
      <c r="D506" s="242"/>
      <c r="E506" s="242"/>
      <c r="F506" s="242"/>
      <c r="G506" s="242"/>
      <c r="H506" s="265"/>
      <c r="I506" s="242"/>
      <c r="J506" s="242"/>
      <c r="K506" s="248"/>
      <c r="L506" s="248"/>
      <c r="M506" s="248"/>
      <c r="N506" s="242"/>
    </row>
    <row r="507" spans="2:14" ht="18" customHeight="1" x14ac:dyDescent="0.15">
      <c r="B507" s="248"/>
      <c r="C507" s="248"/>
      <c r="D507" s="242"/>
      <c r="E507" s="242"/>
      <c r="F507" s="242"/>
      <c r="G507" s="242"/>
      <c r="H507" s="265"/>
      <c r="I507" s="242"/>
      <c r="J507" s="242"/>
      <c r="K507" s="248"/>
      <c r="L507" s="248"/>
      <c r="M507" s="248"/>
      <c r="N507" s="242"/>
    </row>
    <row r="508" spans="2:14" ht="18" customHeight="1" x14ac:dyDescent="0.15">
      <c r="B508" s="248"/>
      <c r="C508" s="248"/>
      <c r="D508" s="242"/>
      <c r="E508" s="242"/>
      <c r="F508" s="242"/>
      <c r="G508" s="242"/>
      <c r="H508" s="265"/>
      <c r="I508" s="242"/>
      <c r="J508" s="242"/>
      <c r="K508" s="248"/>
      <c r="L508" s="248"/>
      <c r="M508" s="248"/>
      <c r="N508" s="242"/>
    </row>
    <row r="509" spans="2:14" ht="18" customHeight="1" x14ac:dyDescent="0.15">
      <c r="B509" s="248"/>
      <c r="C509" s="248"/>
      <c r="D509" s="242"/>
      <c r="E509" s="242"/>
      <c r="F509" s="242"/>
      <c r="G509" s="242"/>
      <c r="H509" s="265"/>
      <c r="I509" s="242"/>
      <c r="J509" s="242"/>
      <c r="K509" s="248"/>
      <c r="L509" s="248"/>
      <c r="M509" s="248"/>
      <c r="N509" s="242"/>
    </row>
    <row r="510" spans="2:14" ht="18" customHeight="1" x14ac:dyDescent="0.15">
      <c r="B510" s="248"/>
      <c r="C510" s="248"/>
      <c r="D510" s="242"/>
      <c r="E510" s="242"/>
      <c r="F510" s="242"/>
      <c r="G510" s="242"/>
      <c r="H510" s="265"/>
      <c r="I510" s="242"/>
      <c r="J510" s="242"/>
      <c r="K510" s="248"/>
      <c r="L510" s="248"/>
      <c r="M510" s="248"/>
      <c r="N510" s="242"/>
    </row>
    <row r="511" spans="2:14" ht="18" customHeight="1" x14ac:dyDescent="0.15">
      <c r="B511" s="248"/>
      <c r="C511" s="248"/>
      <c r="D511" s="242"/>
      <c r="E511" s="242"/>
      <c r="F511" s="242"/>
      <c r="G511" s="242"/>
      <c r="H511" s="265"/>
      <c r="I511" s="242"/>
      <c r="J511" s="242"/>
      <c r="K511" s="248"/>
      <c r="L511" s="248"/>
      <c r="M511" s="248"/>
      <c r="N511" s="242"/>
    </row>
    <row r="512" spans="2:14" ht="18" customHeight="1" x14ac:dyDescent="0.15">
      <c r="B512" s="248"/>
      <c r="C512" s="248"/>
      <c r="D512" s="242"/>
      <c r="E512" s="242"/>
      <c r="F512" s="242"/>
      <c r="G512" s="242"/>
      <c r="H512" s="265"/>
      <c r="I512" s="242"/>
      <c r="J512" s="242"/>
      <c r="K512" s="248"/>
      <c r="L512" s="248"/>
      <c r="M512" s="248"/>
      <c r="N512" s="242"/>
    </row>
    <row r="513" spans="2:14" ht="18" customHeight="1" x14ac:dyDescent="0.15">
      <c r="B513" s="248"/>
      <c r="C513" s="248"/>
      <c r="D513" s="242"/>
      <c r="E513" s="242"/>
      <c r="F513" s="242"/>
      <c r="G513" s="242"/>
      <c r="H513" s="265"/>
      <c r="I513" s="242"/>
      <c r="J513" s="242"/>
      <c r="K513" s="248"/>
      <c r="L513" s="248"/>
      <c r="M513" s="248"/>
      <c r="N513" s="242"/>
    </row>
    <row r="514" spans="2:14" ht="18" customHeight="1" x14ac:dyDescent="0.15">
      <c r="B514" s="248"/>
      <c r="C514" s="248"/>
      <c r="D514" s="242"/>
      <c r="E514" s="242"/>
      <c r="F514" s="242"/>
      <c r="G514" s="242"/>
      <c r="H514" s="265"/>
      <c r="I514" s="242"/>
      <c r="J514" s="242"/>
      <c r="K514" s="248"/>
      <c r="L514" s="248"/>
      <c r="M514" s="248"/>
      <c r="N514" s="242"/>
    </row>
    <row r="515" spans="2:14" ht="18" customHeight="1" x14ac:dyDescent="0.15">
      <c r="B515" s="248"/>
      <c r="C515" s="248"/>
      <c r="D515" s="242"/>
      <c r="E515" s="242"/>
      <c r="F515" s="242"/>
      <c r="G515" s="242"/>
      <c r="H515" s="265"/>
      <c r="I515" s="242"/>
      <c r="J515" s="242"/>
      <c r="K515" s="248"/>
      <c r="L515" s="248"/>
      <c r="M515" s="248"/>
      <c r="N515" s="242"/>
    </row>
    <row r="516" spans="2:14" ht="18" customHeight="1" x14ac:dyDescent="0.15">
      <c r="B516" s="248"/>
      <c r="C516" s="248"/>
      <c r="D516" s="242"/>
      <c r="E516" s="242"/>
      <c r="F516" s="242"/>
      <c r="G516" s="242"/>
      <c r="H516" s="265"/>
      <c r="I516" s="242"/>
      <c r="J516" s="242"/>
      <c r="K516" s="248"/>
      <c r="L516" s="248"/>
      <c r="M516" s="248"/>
      <c r="N516" s="242"/>
    </row>
    <row r="517" spans="2:14" ht="18" customHeight="1" x14ac:dyDescent="0.15">
      <c r="B517" s="248"/>
      <c r="C517" s="248"/>
      <c r="D517" s="242"/>
      <c r="E517" s="242"/>
      <c r="F517" s="242"/>
      <c r="G517" s="242"/>
      <c r="H517" s="265"/>
      <c r="I517" s="242"/>
      <c r="J517" s="242"/>
      <c r="K517" s="248"/>
      <c r="L517" s="248"/>
      <c r="M517" s="248"/>
      <c r="N517" s="242"/>
    </row>
    <row r="518" spans="2:14" ht="18" customHeight="1" x14ac:dyDescent="0.15">
      <c r="B518" s="248"/>
      <c r="C518" s="248"/>
      <c r="D518" s="242"/>
      <c r="E518" s="242"/>
      <c r="F518" s="242"/>
      <c r="G518" s="242"/>
      <c r="H518" s="265"/>
      <c r="I518" s="242"/>
      <c r="J518" s="242"/>
      <c r="K518" s="248"/>
      <c r="L518" s="248"/>
      <c r="M518" s="248"/>
      <c r="N518" s="242"/>
    </row>
    <row r="519" spans="2:14" ht="18" customHeight="1" x14ac:dyDescent="0.15">
      <c r="B519" s="248"/>
      <c r="C519" s="248"/>
      <c r="D519" s="242"/>
      <c r="E519" s="242"/>
      <c r="F519" s="242"/>
      <c r="G519" s="242"/>
      <c r="H519" s="265"/>
      <c r="I519" s="242"/>
      <c r="J519" s="242"/>
      <c r="K519" s="248"/>
      <c r="L519" s="248"/>
      <c r="M519" s="248"/>
      <c r="N519" s="242"/>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26"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301">
        <v>0</v>
      </c>
      <c r="C1" s="301">
        <f t="shared" ref="C1:K1" si="0">+B1+1</f>
        <v>1</v>
      </c>
      <c r="D1" s="301">
        <f t="shared" si="0"/>
        <v>2</v>
      </c>
      <c r="E1" s="301">
        <f t="shared" si="0"/>
        <v>3</v>
      </c>
      <c r="F1" s="301">
        <f t="shared" si="0"/>
        <v>4</v>
      </c>
      <c r="G1" s="301">
        <f t="shared" si="0"/>
        <v>5</v>
      </c>
      <c r="H1" s="301">
        <f t="shared" si="0"/>
        <v>6</v>
      </c>
      <c r="I1" s="301">
        <f t="shared" si="0"/>
        <v>7</v>
      </c>
      <c r="J1" s="301">
        <f t="shared" si="0"/>
        <v>8</v>
      </c>
      <c r="K1" s="301">
        <f t="shared" si="0"/>
        <v>9</v>
      </c>
      <c r="L1" s="301"/>
      <c r="M1" s="301"/>
      <c r="N1" s="301"/>
      <c r="O1" s="301"/>
      <c r="P1" s="301"/>
      <c r="Q1" s="301"/>
    </row>
    <row r="2" spans="2:24" s="21" customFormat="1" ht="18" customHeight="1" collapsed="1" x14ac:dyDescent="0.3">
      <c r="B2" s="248"/>
      <c r="C2" s="248"/>
      <c r="D2" s="249"/>
      <c r="E2" s="249"/>
      <c r="F2" s="249"/>
      <c r="G2" s="249"/>
      <c r="H2" s="249"/>
      <c r="I2" s="249"/>
      <c r="J2" s="249"/>
      <c r="K2" s="249"/>
      <c r="L2" s="249"/>
      <c r="M2" s="249"/>
      <c r="N2" s="249"/>
      <c r="O2" s="249"/>
      <c r="P2" s="249"/>
      <c r="Q2" s="249"/>
    </row>
    <row r="3" spans="2:24" s="21" customFormat="1" ht="18" hidden="1" customHeight="1" outlineLevel="1" collapsed="1" x14ac:dyDescent="0.3">
      <c r="B3" s="248"/>
      <c r="C3" s="248"/>
      <c r="D3" s="249"/>
      <c r="E3" s="7" t="s">
        <v>643</v>
      </c>
      <c r="F3" s="7" t="s">
        <v>785</v>
      </c>
      <c r="G3" s="242"/>
      <c r="H3" s="249"/>
      <c r="I3" s="249"/>
      <c r="J3" s="249"/>
      <c r="K3" s="249"/>
      <c r="L3" s="249"/>
      <c r="M3" s="249"/>
      <c r="N3" s="249"/>
      <c r="O3" s="249"/>
      <c r="P3" s="249"/>
      <c r="Q3" s="249"/>
    </row>
    <row r="4" spans="2:24" s="21" customFormat="1" ht="18" hidden="1" customHeight="1" outlineLevel="1" x14ac:dyDescent="0.3">
      <c r="B4" s="248"/>
      <c r="C4" s="248"/>
      <c r="D4" s="249"/>
      <c r="E4" s="242">
        <f t="shared" ref="E4:E12" si="1">IFERROR(E3+1,1)</f>
        <v>1</v>
      </c>
      <c r="F4" s="7" t="s">
        <v>421</v>
      </c>
      <c r="G4" s="242"/>
      <c r="H4" s="249"/>
      <c r="I4" s="249"/>
      <c r="J4" s="249"/>
      <c r="K4" s="249"/>
      <c r="L4" s="249"/>
      <c r="M4" s="249"/>
      <c r="N4" s="249"/>
      <c r="O4" s="249"/>
      <c r="P4" s="249"/>
      <c r="Q4" s="249"/>
    </row>
    <row r="5" spans="2:24" s="21" customFormat="1" ht="18" hidden="1" customHeight="1" outlineLevel="1" x14ac:dyDescent="0.3">
      <c r="B5" s="248"/>
      <c r="C5" s="248"/>
      <c r="D5" s="249"/>
      <c r="E5" s="242">
        <f t="shared" si="1"/>
        <v>2</v>
      </c>
      <c r="F5" s="7" t="s">
        <v>422</v>
      </c>
      <c r="G5" s="242"/>
      <c r="H5" s="249"/>
      <c r="I5" s="249"/>
      <c r="J5" s="249"/>
      <c r="K5" s="249"/>
      <c r="L5" s="249"/>
      <c r="M5" s="249"/>
      <c r="N5" s="249"/>
      <c r="O5" s="249"/>
      <c r="P5" s="249"/>
      <c r="Q5" s="249"/>
    </row>
    <row r="6" spans="2:24" s="21" customFormat="1" ht="18" hidden="1" customHeight="1" outlineLevel="1" x14ac:dyDescent="0.3">
      <c r="B6" s="248"/>
      <c r="C6" s="248"/>
      <c r="D6" s="249"/>
      <c r="E6" s="242">
        <f t="shared" si="1"/>
        <v>3</v>
      </c>
      <c r="F6" s="7" t="s">
        <v>423</v>
      </c>
      <c r="G6" s="242"/>
      <c r="H6" s="249"/>
      <c r="I6" s="249"/>
      <c r="J6" s="249"/>
      <c r="K6" s="249"/>
      <c r="L6" s="249"/>
      <c r="M6" s="249"/>
      <c r="N6" s="249"/>
      <c r="O6" s="249"/>
      <c r="P6" s="249"/>
      <c r="Q6" s="249"/>
    </row>
    <row r="7" spans="2:24" s="21" customFormat="1" ht="18" hidden="1" customHeight="1" outlineLevel="1" x14ac:dyDescent="0.3">
      <c r="B7" s="248"/>
      <c r="C7" s="248"/>
      <c r="D7" s="249"/>
      <c r="E7" s="242">
        <f t="shared" si="1"/>
        <v>4</v>
      </c>
      <c r="F7" s="7" t="s">
        <v>425</v>
      </c>
      <c r="G7" s="242"/>
      <c r="H7" s="249"/>
      <c r="I7" s="249"/>
      <c r="J7" s="249"/>
      <c r="K7" s="249"/>
      <c r="L7" s="249"/>
      <c r="M7" s="249"/>
      <c r="N7" s="249"/>
      <c r="O7" s="249"/>
      <c r="P7" s="249"/>
      <c r="Q7" s="249"/>
    </row>
    <row r="8" spans="2:24" s="21" customFormat="1" ht="18" hidden="1" customHeight="1" outlineLevel="1" x14ac:dyDescent="0.3">
      <c r="B8" s="248"/>
      <c r="C8" s="248"/>
      <c r="D8" s="249"/>
      <c r="E8" s="242">
        <f t="shared" si="1"/>
        <v>5</v>
      </c>
      <c r="F8" s="7" t="s">
        <v>428</v>
      </c>
      <c r="G8" s="242"/>
      <c r="H8" s="249"/>
      <c r="I8" s="249"/>
      <c r="J8" s="249"/>
      <c r="K8" s="249"/>
      <c r="L8" s="249"/>
      <c r="M8" s="249"/>
      <c r="N8" s="249"/>
      <c r="O8" s="249"/>
      <c r="P8" s="249"/>
      <c r="Q8" s="249"/>
    </row>
    <row r="9" spans="2:24" s="21" customFormat="1" ht="18" hidden="1" customHeight="1" outlineLevel="1" x14ac:dyDescent="0.3">
      <c r="B9" s="248"/>
      <c r="C9" s="248"/>
      <c r="D9" s="249"/>
      <c r="E9" s="242">
        <f t="shared" si="1"/>
        <v>6</v>
      </c>
      <c r="F9" s="7" t="s">
        <v>430</v>
      </c>
      <c r="G9" s="242"/>
      <c r="H9" s="249"/>
      <c r="I9" s="249"/>
      <c r="J9" s="249"/>
      <c r="K9" s="249"/>
      <c r="L9" s="249"/>
      <c r="M9" s="249"/>
      <c r="N9" s="249"/>
      <c r="O9" s="249"/>
      <c r="P9" s="249"/>
      <c r="Q9" s="249"/>
    </row>
    <row r="10" spans="2:24" s="21" customFormat="1" ht="18" hidden="1" customHeight="1" outlineLevel="1" x14ac:dyDescent="0.3">
      <c r="B10" s="248"/>
      <c r="C10" s="248"/>
      <c r="D10" s="249"/>
      <c r="E10" s="242">
        <f t="shared" si="1"/>
        <v>7</v>
      </c>
      <c r="F10" s="7" t="s">
        <v>432</v>
      </c>
      <c r="G10" s="242"/>
      <c r="H10" s="249"/>
      <c r="I10" s="249"/>
      <c r="J10" s="249"/>
      <c r="K10" s="249"/>
      <c r="L10" s="249"/>
      <c r="M10" s="249"/>
      <c r="N10" s="249"/>
      <c r="O10" s="249"/>
      <c r="P10" s="249"/>
      <c r="Q10" s="249"/>
    </row>
    <row r="11" spans="2:24" s="21" customFormat="1" ht="18" hidden="1" customHeight="1" outlineLevel="1" x14ac:dyDescent="0.3">
      <c r="B11" s="248"/>
      <c r="C11" s="248"/>
      <c r="D11" s="249"/>
      <c r="E11" s="242">
        <f t="shared" si="1"/>
        <v>8</v>
      </c>
      <c r="F11" s="7" t="s">
        <v>434</v>
      </c>
      <c r="G11" s="242"/>
      <c r="H11" s="249"/>
      <c r="I11" s="249"/>
      <c r="J11" s="249"/>
      <c r="K11" s="249"/>
      <c r="L11" s="249"/>
      <c r="M11" s="249"/>
      <c r="N11" s="249"/>
      <c r="O11" s="249"/>
      <c r="P11" s="249"/>
      <c r="Q11" s="249"/>
    </row>
    <row r="12" spans="2:24" s="21" customFormat="1" ht="18" hidden="1" customHeight="1" outlineLevel="1" x14ac:dyDescent="0.3">
      <c r="B12" s="248"/>
      <c r="C12" s="248"/>
      <c r="D12" s="249"/>
      <c r="E12" s="242">
        <f t="shared" si="1"/>
        <v>9</v>
      </c>
      <c r="F12" s="7" t="s">
        <v>418</v>
      </c>
      <c r="G12" s="242"/>
      <c r="H12" s="249"/>
      <c r="I12" s="249"/>
      <c r="J12" s="249"/>
      <c r="K12" s="249"/>
      <c r="L12" s="249"/>
      <c r="M12" s="249"/>
      <c r="N12" s="249"/>
      <c r="O12" s="249"/>
      <c r="P12" s="249"/>
      <c r="Q12" s="249"/>
    </row>
    <row r="13" spans="2:24" s="21" customFormat="1" ht="18" hidden="1" customHeight="1" outlineLevel="1" x14ac:dyDescent="0.3">
      <c r="B13" s="248"/>
      <c r="C13" s="248"/>
      <c r="D13" s="249"/>
      <c r="E13" s="7" t="s">
        <v>281</v>
      </c>
      <c r="F13" s="242"/>
      <c r="G13" s="242"/>
      <c r="H13" s="249"/>
      <c r="I13" s="249"/>
      <c r="J13" s="249"/>
      <c r="K13" s="249"/>
      <c r="L13" s="249"/>
      <c r="M13" s="249"/>
      <c r="N13" s="249"/>
      <c r="O13" s="249"/>
      <c r="P13" s="249"/>
      <c r="Q13" s="249"/>
    </row>
    <row r="14" spans="2:24" s="21" customFormat="1" ht="18" customHeight="1" x14ac:dyDescent="0.3">
      <c r="B14" s="248"/>
      <c r="C14" s="248"/>
      <c r="D14" s="249"/>
      <c r="E14" s="242"/>
      <c r="F14" s="242"/>
      <c r="G14" s="242"/>
      <c r="H14" s="249"/>
      <c r="I14" s="249"/>
      <c r="J14" s="249"/>
      <c r="K14" s="249"/>
      <c r="L14" s="249"/>
      <c r="M14" s="249"/>
      <c r="N14" s="249"/>
      <c r="O14" s="249"/>
      <c r="P14" s="249"/>
      <c r="Q14" s="249"/>
    </row>
    <row r="15" spans="2:24" s="21" customFormat="1" ht="18" customHeight="1" x14ac:dyDescent="0.3">
      <c r="B15" s="250">
        <v>1</v>
      </c>
      <c r="C15" s="51" t="str">
        <f>CONCATENATE(E15,"-",H15,"-",MOD(YEAR(D15),100)*10000+MONTH(D15)*100+DAY(D15),"-",B15)</f>
        <v>--100-1</v>
      </c>
      <c r="D15" s="396"/>
      <c r="E15" s="251"/>
      <c r="F15" s="251"/>
      <c r="G15" s="251"/>
      <c r="H15" s="245"/>
      <c r="I15" s="251"/>
      <c r="J15" s="394"/>
      <c r="K15" s="268">
        <f>IFERROR(
VLOOKUP(H15,Table_VayNo[],COUNTA(Table_VayNo[[#Headers],[Mã khoản vay]:[Kết thúc trả gốc]]),0),
IFERROR(
VLOOKUP(H15,Table_DauTu[],COUNTA(Table_DauTu[[#Headers],[Mã khoản đầu tư]:[Kỳ đáo hạn]]),0),
0))</f>
        <v>0</v>
      </c>
      <c r="L15" s="247"/>
      <c r="M15" s="249"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9">
        <f ca="1"/>
        <v>0</v>
      </c>
      <c r="O15" s="249" t="str">
        <f ca="1"/>
        <v>TS1</v>
      </c>
      <c r="P15" s="249" t="str">
        <f ca="1"/>
        <v>TS2</v>
      </c>
      <c r="Q15" s="249"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643</v>
      </c>
      <c r="C16" s="7" t="s">
        <v>777</v>
      </c>
      <c r="D16" s="7" t="s">
        <v>778</v>
      </c>
      <c r="E16" s="7" t="s">
        <v>779</v>
      </c>
      <c r="F16" s="7" t="s">
        <v>775</v>
      </c>
      <c r="G16" s="46" t="s">
        <v>561</v>
      </c>
      <c r="H16" s="7" t="s">
        <v>556</v>
      </c>
      <c r="I16" s="7" t="s">
        <v>780</v>
      </c>
      <c r="J16" s="7" t="s">
        <v>781</v>
      </c>
      <c r="K16" s="7" t="s">
        <v>786</v>
      </c>
      <c r="L16" s="7" t="s">
        <v>883</v>
      </c>
      <c r="M16" s="242"/>
      <c r="N16" s="242"/>
      <c r="O16" s="242"/>
      <c r="P16" s="242"/>
      <c r="Q16" s="242"/>
    </row>
    <row r="17" spans="2:17" ht="18" customHeight="1" x14ac:dyDescent="0.3">
      <c r="B17" s="250">
        <v>1</v>
      </c>
      <c r="C17" s="51" t="str">
        <f>CONCATENATE(E17,"-",H17,"-",MOD(YEAR(D17),100)*10000+MONTH(D17)*100+DAY(D17),"-",B17)</f>
        <v>--100-1</v>
      </c>
      <c r="D17" s="395"/>
      <c r="E17" s="251"/>
      <c r="F17" s="251"/>
      <c r="G17" s="251"/>
      <c r="H17" s="245"/>
      <c r="I17" s="251"/>
      <c r="J17" s="393"/>
      <c r="K17" s="269">
        <f>IFERROR(
VLOOKUP(Table_ThuChiTC[[#This Row],[Đối tác]],Table_VayNo[],COUNTA(Table_VayNo[[#Headers],[Mã khoản vay]:[Kết thúc trả gốc]]),0),
IFERROR(
VLOOKUP(Table_ThuChiTC[[#This Row],[Đối tác]],Table_DauTu[],COUNTA(Table_DauTu[[#Headers],[Mã khoản đầu tư]:[Kỳ đáo hạn]]),0),
0))</f>
        <v>0</v>
      </c>
      <c r="L17" s="247"/>
      <c r="M17" s="242"/>
      <c r="N17" s="242"/>
      <c r="O17" s="242"/>
      <c r="P17" s="242"/>
      <c r="Q17" s="242"/>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303"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301">
        <v>0</v>
      </c>
      <c r="B3" s="301">
        <f>+A3+1</f>
        <v>1</v>
      </c>
      <c r="C3" s="301">
        <f>+B3+1</f>
        <v>2</v>
      </c>
      <c r="D3" s="301">
        <f>+C3+1</f>
        <v>3</v>
      </c>
      <c r="E3" s="301">
        <f>+D3+1</f>
        <v>4</v>
      </c>
      <c r="F3" s="301">
        <v>5</v>
      </c>
      <c r="G3" s="301"/>
      <c r="H3" s="301"/>
      <c r="I3" s="301"/>
    </row>
    <row r="4" spans="1:9" ht="18" customHeight="1" x14ac:dyDescent="0.3">
      <c r="A4" s="242"/>
      <c r="B4" s="7" t="s">
        <v>802</v>
      </c>
      <c r="C4" s="7" t="s">
        <v>803</v>
      </c>
      <c r="D4" s="7" t="s">
        <v>804</v>
      </c>
      <c r="E4" s="7" t="s">
        <v>805</v>
      </c>
      <c r="F4" s="7" t="s">
        <v>893</v>
      </c>
      <c r="G4" s="7" t="s">
        <v>883</v>
      </c>
      <c r="H4" s="242"/>
      <c r="I4" s="242"/>
    </row>
    <row r="5" spans="1:9" ht="18" customHeight="1" x14ac:dyDescent="0.3">
      <c r="A5" s="242"/>
      <c r="B5" s="242" t="s">
        <v>1236</v>
      </c>
      <c r="C5" s="242"/>
      <c r="D5" s="242"/>
      <c r="E5" s="45"/>
      <c r="F5" s="15"/>
      <c r="G5" s="242"/>
      <c r="H5" s="242"/>
      <c r="I5" s="242"/>
    </row>
    <row r="6" spans="1:9" ht="18" customHeight="1" x14ac:dyDescent="0.3">
      <c r="A6" s="242"/>
      <c r="B6" s="243"/>
      <c r="C6" s="242"/>
      <c r="D6" s="242"/>
      <c r="E6" s="242"/>
      <c r="F6" s="242"/>
      <c r="G6" s="242"/>
      <c r="H6" s="242"/>
      <c r="I6" s="242"/>
    </row>
    <row r="7" spans="1:9" ht="18" customHeight="1" x14ac:dyDescent="0.3">
      <c r="A7" s="242"/>
      <c r="B7" s="243"/>
      <c r="C7" s="242"/>
      <c r="D7" s="242"/>
      <c r="E7" s="242"/>
      <c r="F7" s="242"/>
      <c r="G7" s="242"/>
      <c r="H7" s="242"/>
      <c r="I7" s="242"/>
    </row>
    <row r="8" spans="1:9" ht="18" customHeight="1" x14ac:dyDescent="0.3">
      <c r="A8" s="242"/>
      <c r="B8" s="243"/>
      <c r="C8" s="242"/>
      <c r="D8" s="242"/>
      <c r="E8" s="242"/>
      <c r="F8" s="242"/>
      <c r="G8" s="242"/>
      <c r="H8" s="242"/>
      <c r="I8" s="242"/>
    </row>
    <row r="9" spans="1:9" ht="18" customHeight="1" x14ac:dyDescent="0.3">
      <c r="A9" s="242"/>
      <c r="B9" s="243"/>
      <c r="C9" s="242"/>
      <c r="D9" s="242"/>
      <c r="E9" s="242"/>
      <c r="F9" s="242"/>
      <c r="G9" s="242"/>
      <c r="H9" s="242"/>
      <c r="I9" s="242"/>
    </row>
    <row r="10" spans="1:9" ht="18" customHeight="1" x14ac:dyDescent="0.3">
      <c r="A10" s="242"/>
      <c r="B10" s="243"/>
      <c r="C10" s="242"/>
      <c r="D10" s="242"/>
      <c r="E10" s="242"/>
      <c r="F10" s="242"/>
      <c r="G10" s="242"/>
      <c r="H10" s="242"/>
      <c r="I10" s="242"/>
    </row>
    <row r="11" spans="1:9" ht="18" customHeight="1" x14ac:dyDescent="0.3">
      <c r="A11" s="242"/>
      <c r="B11" s="243"/>
      <c r="C11" s="242"/>
      <c r="D11" s="242"/>
      <c r="E11" s="242"/>
      <c r="F11" s="242"/>
      <c r="G11" s="242"/>
      <c r="H11" s="242"/>
      <c r="I11" s="242"/>
    </row>
    <row r="12" spans="1:9" ht="18" customHeight="1" x14ac:dyDescent="0.3">
      <c r="A12" s="242"/>
      <c r="B12" s="243"/>
      <c r="C12" s="242"/>
      <c r="D12" s="242"/>
      <c r="E12" s="242"/>
      <c r="F12" s="242"/>
      <c r="G12" s="242"/>
      <c r="H12" s="242"/>
      <c r="I12" s="242"/>
    </row>
    <row r="13" spans="1:9" ht="18" customHeight="1" x14ac:dyDescent="0.3">
      <c r="A13" s="242"/>
      <c r="B13" s="243"/>
      <c r="C13" s="242"/>
      <c r="D13" s="242"/>
      <c r="E13" s="242"/>
      <c r="F13" s="242"/>
      <c r="G13" s="242"/>
      <c r="H13" s="242"/>
      <c r="I13" s="242"/>
    </row>
    <row r="14" spans="1:9" ht="18" customHeight="1" x14ac:dyDescent="0.3">
      <c r="A14" s="242"/>
      <c r="B14" s="243"/>
      <c r="C14" s="242"/>
      <c r="D14" s="242"/>
      <c r="E14" s="242"/>
      <c r="F14" s="242"/>
      <c r="G14" s="242"/>
      <c r="H14" s="242"/>
      <c r="I14" s="242"/>
    </row>
    <row r="15" spans="1:9" ht="18" customHeight="1" x14ac:dyDescent="0.3">
      <c r="A15" s="242"/>
      <c r="B15" s="243"/>
      <c r="C15" s="242"/>
      <c r="D15" s="242"/>
      <c r="E15" s="242"/>
      <c r="F15" s="242"/>
      <c r="G15" s="242"/>
      <c r="H15" s="242"/>
      <c r="I15" s="242"/>
    </row>
    <row r="16" spans="1:9" ht="18" customHeight="1" x14ac:dyDescent="0.3">
      <c r="B16" s="243"/>
      <c r="C16" s="242"/>
      <c r="D16" s="242"/>
      <c r="E16" s="242"/>
      <c r="F16" s="242"/>
      <c r="G16" s="242"/>
    </row>
    <row r="17" spans="2:7" ht="18" customHeight="1" x14ac:dyDescent="0.3">
      <c r="B17" s="243"/>
      <c r="C17" s="242"/>
      <c r="D17" s="242"/>
      <c r="E17" s="242"/>
      <c r="F17" s="242"/>
      <c r="G17" s="242"/>
    </row>
    <row r="18" spans="2:7" ht="18" customHeight="1" x14ac:dyDescent="0.3">
      <c r="B18" s="243"/>
      <c r="C18" s="242"/>
      <c r="D18" s="242"/>
      <c r="E18" s="242"/>
      <c r="F18" s="242"/>
      <c r="G18" s="242"/>
    </row>
    <row r="19" spans="2:7" ht="18" customHeight="1" x14ac:dyDescent="0.3">
      <c r="B19" s="243"/>
      <c r="C19" s="242"/>
      <c r="D19" s="242"/>
      <c r="E19" s="242"/>
      <c r="F19" s="242"/>
      <c r="G19" s="242"/>
    </row>
    <row r="20" spans="2:7" ht="18" customHeight="1" x14ac:dyDescent="0.3">
      <c r="B20" s="243"/>
      <c r="C20" s="242"/>
      <c r="D20" s="242"/>
      <c r="E20" s="242"/>
      <c r="F20" s="242"/>
      <c r="G20" s="242"/>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2"/>
      <c r="B2" s="242"/>
      <c r="C2" s="242"/>
      <c r="D2" s="242"/>
      <c r="E2" s="242"/>
      <c r="F2" s="242"/>
      <c r="G2" s="242"/>
      <c r="H2" s="242"/>
      <c r="I2" s="242"/>
      <c r="J2" s="242"/>
      <c r="K2" s="243"/>
      <c r="L2" s="243"/>
      <c r="M2" s="243"/>
      <c r="N2" s="243"/>
      <c r="O2" s="243"/>
      <c r="P2" s="243"/>
      <c r="Q2" s="243"/>
      <c r="R2" s="243"/>
      <c r="S2" s="243"/>
      <c r="T2" s="243"/>
      <c r="U2" s="243"/>
      <c r="V2" s="243"/>
    </row>
    <row r="3" spans="1:22" s="46" customFormat="1" ht="18" customHeight="1" x14ac:dyDescent="0.3">
      <c r="A3" s="301">
        <v>0</v>
      </c>
      <c r="B3" s="301">
        <f t="shared" ref="B3:I3" si="0">+A3+1</f>
        <v>1</v>
      </c>
      <c r="C3" s="301">
        <f t="shared" si="0"/>
        <v>2</v>
      </c>
      <c r="D3" s="301">
        <f t="shared" si="0"/>
        <v>3</v>
      </c>
      <c r="E3" s="301">
        <f t="shared" si="0"/>
        <v>4</v>
      </c>
      <c r="F3" s="301">
        <f t="shared" si="0"/>
        <v>5</v>
      </c>
      <c r="G3" s="301">
        <f t="shared" si="0"/>
        <v>6</v>
      </c>
      <c r="H3" s="301">
        <f t="shared" si="0"/>
        <v>7</v>
      </c>
      <c r="I3" s="301">
        <f t="shared" si="0"/>
        <v>8</v>
      </c>
      <c r="J3" s="301"/>
      <c r="K3" s="302"/>
      <c r="L3" s="302"/>
      <c r="M3" s="302"/>
      <c r="N3" s="302"/>
      <c r="O3" s="302"/>
      <c r="P3" s="302"/>
      <c r="Q3" s="302"/>
      <c r="R3" s="302"/>
      <c r="S3" s="302"/>
      <c r="T3" s="302"/>
      <c r="U3" s="302"/>
      <c r="V3" s="302"/>
    </row>
    <row r="4" spans="1:22" ht="18" customHeight="1" x14ac:dyDescent="0.3">
      <c r="A4" s="242"/>
      <c r="B4" s="7" t="s">
        <v>864</v>
      </c>
      <c r="C4" s="7" t="s">
        <v>664</v>
      </c>
      <c r="D4" s="7" t="s">
        <v>865</v>
      </c>
      <c r="E4" s="7" t="s">
        <v>797</v>
      </c>
      <c r="F4" s="7" t="s">
        <v>798</v>
      </c>
      <c r="G4" s="7" t="s">
        <v>866</v>
      </c>
      <c r="H4" s="46" t="s">
        <v>867</v>
      </c>
      <c r="I4" s="46" t="s">
        <v>868</v>
      </c>
      <c r="J4" s="7" t="s">
        <v>883</v>
      </c>
      <c r="K4" s="243"/>
      <c r="L4" s="243"/>
      <c r="M4" s="243"/>
      <c r="N4" s="243"/>
      <c r="O4" s="243"/>
      <c r="P4" s="243"/>
      <c r="Q4" s="243"/>
      <c r="R4" s="243"/>
      <c r="S4" s="243"/>
      <c r="T4" s="243"/>
      <c r="U4" s="243"/>
      <c r="V4" s="243"/>
    </row>
    <row r="5" spans="1:22" ht="18" customHeight="1" x14ac:dyDescent="0.3">
      <c r="A5" s="242"/>
      <c r="B5" s="242"/>
      <c r="C5" s="242"/>
      <c r="D5" s="244"/>
      <c r="E5" s="244"/>
      <c r="F5" s="45"/>
      <c r="G5" s="249"/>
      <c r="H5" s="270">
        <f>IF(ISBLANK(Table_DauTu[[#This Row],[Thời hạn (tháng)]]),0,
Table_DauTu[[#This Row],[Kỳ đầu tư]] + ROUND(Table_DauTu[[#This Row],[Thời hạn (tháng)]] * (365.25/12),0))</f>
        <v>0</v>
      </c>
      <c r="I5" s="468">
        <f>IF(ISBLANK(Table_DauTu[[#This Row],[Lãi suất (năm)]]),0,Table_DauTu[[#This Row],[Giá trị đầu tư]]* Table_DauTu[[#This Row],[Lãi suất (năm)]]/12)</f>
        <v>0</v>
      </c>
      <c r="J5" s="242"/>
      <c r="K5" s="243"/>
      <c r="L5" s="243"/>
      <c r="M5" s="243"/>
      <c r="N5" s="243"/>
      <c r="O5" s="243"/>
      <c r="P5" s="243"/>
      <c r="Q5" s="243"/>
      <c r="R5" s="243"/>
      <c r="S5" s="243"/>
      <c r="T5" s="243"/>
      <c r="U5" s="243"/>
      <c r="V5" s="243"/>
    </row>
    <row r="6" spans="1:22" ht="18" customHeight="1" x14ac:dyDescent="0.3">
      <c r="A6" s="242"/>
      <c r="B6" s="242"/>
      <c r="C6" s="242"/>
      <c r="D6" s="242"/>
      <c r="E6" s="242"/>
      <c r="F6" s="242"/>
      <c r="G6" s="242"/>
      <c r="H6" s="242"/>
      <c r="I6" s="242"/>
      <c r="J6" s="242"/>
      <c r="K6" s="243"/>
      <c r="L6" s="243"/>
      <c r="M6" s="243"/>
      <c r="N6" s="243"/>
      <c r="O6" s="243"/>
      <c r="P6" s="243"/>
      <c r="Q6" s="243"/>
      <c r="R6" s="243"/>
      <c r="S6" s="243"/>
      <c r="T6" s="243"/>
      <c r="U6" s="243"/>
      <c r="V6" s="243"/>
    </row>
    <row r="7" spans="1:22" ht="18" customHeight="1" x14ac:dyDescent="0.3">
      <c r="A7" s="242"/>
      <c r="B7" s="242"/>
      <c r="C7" s="242"/>
      <c r="D7" s="242"/>
      <c r="E7" s="242"/>
      <c r="F7" s="242"/>
      <c r="G7" s="242"/>
      <c r="H7" s="242"/>
      <c r="I7" s="242"/>
      <c r="J7" s="242"/>
      <c r="K7" s="243"/>
      <c r="L7" s="243"/>
      <c r="M7" s="243"/>
      <c r="N7" s="243"/>
      <c r="O7" s="243"/>
      <c r="P7" s="243"/>
      <c r="Q7" s="243"/>
      <c r="R7" s="243"/>
      <c r="S7" s="243"/>
      <c r="T7" s="243"/>
      <c r="U7" s="243"/>
      <c r="V7" s="243"/>
    </row>
    <row r="8" spans="1:22" ht="18" customHeight="1" x14ac:dyDescent="0.3">
      <c r="A8" s="242"/>
      <c r="B8" s="242"/>
      <c r="C8" s="242"/>
      <c r="D8" s="242"/>
      <c r="E8" s="242"/>
      <c r="F8" s="242"/>
      <c r="G8" s="242"/>
      <c r="H8" s="242"/>
      <c r="I8" s="242"/>
      <c r="J8" s="242"/>
      <c r="K8" s="243"/>
      <c r="L8" s="243"/>
      <c r="M8" s="243"/>
      <c r="N8" s="243"/>
      <c r="O8" s="243"/>
      <c r="P8" s="243"/>
      <c r="Q8" s="243"/>
      <c r="R8" s="243"/>
      <c r="S8" s="243"/>
      <c r="T8" s="243"/>
      <c r="U8" s="243"/>
      <c r="V8" s="243"/>
    </row>
    <row r="9" spans="1:22" ht="18" customHeight="1" x14ac:dyDescent="0.3">
      <c r="A9" s="242"/>
      <c r="B9" s="242"/>
      <c r="C9" s="242"/>
      <c r="D9" s="242"/>
      <c r="E9" s="242"/>
      <c r="F9" s="242"/>
      <c r="G9" s="242"/>
      <c r="H9" s="242"/>
      <c r="I9" s="242"/>
      <c r="J9" s="242"/>
      <c r="K9" s="243"/>
      <c r="L9" s="243"/>
      <c r="M9" s="243"/>
      <c r="N9" s="243"/>
      <c r="O9" s="243"/>
      <c r="P9" s="243"/>
      <c r="Q9" s="243"/>
      <c r="R9" s="243"/>
      <c r="S9" s="243"/>
      <c r="T9" s="243"/>
      <c r="U9" s="243"/>
      <c r="V9" s="243"/>
    </row>
    <row r="10" spans="1:22" ht="18" customHeight="1" x14ac:dyDescent="0.3">
      <c r="A10" s="242"/>
      <c r="B10" s="242"/>
      <c r="C10" s="242"/>
      <c r="D10" s="242"/>
      <c r="E10" s="242"/>
      <c r="F10" s="242"/>
      <c r="G10" s="242"/>
      <c r="H10" s="242"/>
      <c r="I10" s="242"/>
      <c r="J10" s="242"/>
      <c r="K10" s="243"/>
      <c r="L10" s="243"/>
      <c r="M10" s="243"/>
      <c r="N10" s="243"/>
      <c r="O10" s="243"/>
      <c r="P10" s="243"/>
      <c r="Q10" s="243"/>
      <c r="R10" s="243"/>
      <c r="S10" s="243"/>
      <c r="T10" s="243"/>
      <c r="U10" s="243"/>
      <c r="V10" s="243"/>
    </row>
    <row r="11" spans="1:22" ht="18" customHeight="1" x14ac:dyDescent="0.3">
      <c r="A11" s="242"/>
      <c r="B11" s="242"/>
      <c r="C11" s="242"/>
      <c r="D11" s="242"/>
      <c r="E11" s="242"/>
      <c r="F11" s="242"/>
      <c r="G11" s="242"/>
      <c r="H11" s="242"/>
      <c r="I11" s="242"/>
      <c r="J11" s="242"/>
      <c r="K11" s="243"/>
      <c r="L11" s="243"/>
      <c r="M11" s="243"/>
      <c r="N11" s="243"/>
      <c r="O11" s="243"/>
      <c r="P11" s="243"/>
      <c r="Q11" s="243"/>
      <c r="R11" s="243"/>
      <c r="S11" s="243"/>
      <c r="T11" s="243"/>
      <c r="U11" s="243"/>
      <c r="V11" s="243"/>
    </row>
    <row r="12" spans="1:22" ht="18" customHeight="1" x14ac:dyDescent="0.3">
      <c r="A12" s="242"/>
      <c r="B12" s="242"/>
      <c r="C12" s="242"/>
      <c r="D12" s="242"/>
      <c r="E12" s="242"/>
      <c r="F12" s="242"/>
      <c r="G12" s="242"/>
      <c r="H12" s="242"/>
      <c r="I12" s="242"/>
      <c r="J12" s="242"/>
      <c r="K12" s="243"/>
      <c r="L12" s="243"/>
      <c r="M12" s="243"/>
      <c r="N12" s="243"/>
      <c r="O12" s="243"/>
      <c r="P12" s="243"/>
      <c r="Q12" s="243"/>
      <c r="R12" s="243"/>
      <c r="S12" s="243"/>
      <c r="T12" s="243"/>
      <c r="U12" s="243"/>
      <c r="V12" s="243"/>
    </row>
    <row r="13" spans="1:22" ht="18" customHeight="1" x14ac:dyDescent="0.3">
      <c r="A13" s="242"/>
      <c r="B13" s="242"/>
      <c r="C13" s="242"/>
      <c r="D13" s="242"/>
      <c r="E13" s="242"/>
      <c r="F13" s="242"/>
      <c r="G13" s="242"/>
      <c r="H13" s="242"/>
      <c r="I13" s="242"/>
      <c r="J13" s="242"/>
      <c r="K13" s="243"/>
      <c r="L13" s="243"/>
      <c r="M13" s="243"/>
      <c r="N13" s="243"/>
      <c r="O13" s="243"/>
      <c r="P13" s="243"/>
      <c r="Q13" s="243"/>
      <c r="R13" s="243"/>
      <c r="S13" s="243"/>
      <c r="T13" s="243"/>
      <c r="U13" s="243"/>
      <c r="V13" s="243"/>
    </row>
    <row r="14" spans="1:22" ht="18" customHeight="1" x14ac:dyDescent="0.3">
      <c r="A14" s="242"/>
      <c r="B14" s="242"/>
      <c r="C14" s="242"/>
      <c r="D14" s="242"/>
      <c r="E14" s="242"/>
      <c r="F14" s="242"/>
      <c r="G14" s="242"/>
      <c r="H14" s="242"/>
      <c r="I14" s="242"/>
      <c r="J14" s="242"/>
      <c r="K14" s="243"/>
      <c r="L14" s="243"/>
      <c r="M14" s="243"/>
      <c r="N14" s="243"/>
      <c r="O14" s="243"/>
      <c r="P14" s="243"/>
      <c r="Q14" s="243"/>
      <c r="R14" s="243"/>
      <c r="S14" s="243"/>
      <c r="T14" s="243"/>
      <c r="U14" s="243"/>
      <c r="V14" s="243"/>
    </row>
    <row r="15" spans="1:22" ht="18" customHeight="1" x14ac:dyDescent="0.3">
      <c r="A15" s="242"/>
      <c r="B15" s="242"/>
      <c r="C15" s="242"/>
      <c r="D15" s="242"/>
      <c r="E15" s="242"/>
      <c r="F15" s="242"/>
      <c r="G15" s="242"/>
      <c r="H15" s="242"/>
      <c r="I15" s="242"/>
      <c r="J15" s="242"/>
      <c r="K15" s="243"/>
      <c r="L15" s="243"/>
      <c r="M15" s="243"/>
      <c r="N15" s="243"/>
      <c r="O15" s="243"/>
      <c r="P15" s="243"/>
      <c r="Q15" s="243"/>
      <c r="R15" s="243"/>
      <c r="S15" s="243"/>
      <c r="T15" s="243"/>
      <c r="U15" s="243"/>
      <c r="V15" s="243"/>
    </row>
    <row r="16" spans="1:22" ht="18" customHeight="1" x14ac:dyDescent="0.3">
      <c r="A16" s="242"/>
      <c r="B16" s="242"/>
      <c r="C16" s="242"/>
      <c r="D16" s="242"/>
      <c r="E16" s="242"/>
      <c r="F16" s="242"/>
      <c r="G16" s="242"/>
      <c r="H16" s="242"/>
      <c r="I16" s="242"/>
      <c r="J16" s="242"/>
      <c r="K16" s="243"/>
      <c r="L16" s="243"/>
      <c r="M16" s="243"/>
      <c r="N16" s="243"/>
      <c r="O16" s="243"/>
      <c r="P16" s="243"/>
      <c r="Q16" s="243"/>
      <c r="R16" s="243"/>
      <c r="S16" s="243"/>
      <c r="T16" s="243"/>
      <c r="U16" s="243"/>
      <c r="V16" s="243"/>
    </row>
    <row r="17" spans="1:22" ht="18" customHeight="1" x14ac:dyDescent="0.3">
      <c r="A17" s="242"/>
      <c r="B17" s="242"/>
      <c r="C17" s="242"/>
      <c r="D17" s="242"/>
      <c r="E17" s="242"/>
      <c r="F17" s="242"/>
      <c r="G17" s="242"/>
      <c r="H17" s="242"/>
      <c r="I17" s="242"/>
      <c r="J17" s="242"/>
      <c r="K17" s="243"/>
      <c r="L17" s="243"/>
      <c r="M17" s="243"/>
      <c r="N17" s="243"/>
      <c r="O17" s="243"/>
      <c r="P17" s="243"/>
      <c r="Q17" s="243"/>
      <c r="R17" s="243"/>
      <c r="S17" s="243"/>
      <c r="T17" s="243"/>
      <c r="U17" s="243"/>
      <c r="V17" s="243"/>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topLeftCell="B1" workbookViewId="0">
      <selection activeCell="K12" sqref="K12"/>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301">
        <v>0</v>
      </c>
      <c r="B3" s="301">
        <f t="shared" ref="B3:D3" si="0">+A3+1</f>
        <v>1</v>
      </c>
      <c r="C3" s="301">
        <f t="shared" si="0"/>
        <v>2</v>
      </c>
      <c r="D3" s="301">
        <f t="shared" si="0"/>
        <v>3</v>
      </c>
      <c r="E3" s="301">
        <f t="shared" ref="E3" si="1">+D3+1</f>
        <v>4</v>
      </c>
      <c r="F3" s="301">
        <f t="shared" ref="F3" si="2">+E3+1</f>
        <v>5</v>
      </c>
      <c r="G3" s="301">
        <f t="shared" ref="G3" si="3">+F3+1</f>
        <v>6</v>
      </c>
      <c r="H3" s="301">
        <f t="shared" ref="H3" si="4">+G3+1</f>
        <v>7</v>
      </c>
      <c r="I3" s="301">
        <f t="shared" ref="I3" si="5">+H3+1</f>
        <v>8</v>
      </c>
      <c r="J3" s="301">
        <f t="shared" ref="J3" si="6">+I3+1</f>
        <v>9</v>
      </c>
      <c r="K3" s="301">
        <f t="shared" ref="K3" si="7">+J3+1</f>
        <v>10</v>
      </c>
      <c r="L3" s="301">
        <f t="shared" ref="L3" si="8">+K3+1</f>
        <v>11</v>
      </c>
      <c r="M3" s="301"/>
      <c r="N3" s="302"/>
      <c r="O3" s="302"/>
      <c r="P3" s="302"/>
      <c r="Q3" s="302"/>
      <c r="R3" s="302"/>
      <c r="S3" s="302"/>
      <c r="T3" s="302"/>
      <c r="U3" s="302"/>
      <c r="V3" s="302"/>
      <c r="W3" s="302"/>
      <c r="X3" s="302"/>
      <c r="Y3" s="302"/>
      <c r="Z3" s="302"/>
      <c r="AA3" s="302"/>
      <c r="AB3" s="302"/>
    </row>
    <row r="4" spans="1:28" ht="18" customHeight="1" x14ac:dyDescent="0.3">
      <c r="A4" s="242"/>
      <c r="B4" s="7" t="s">
        <v>794</v>
      </c>
      <c r="C4" s="7" t="s">
        <v>795</v>
      </c>
      <c r="D4" s="7" t="s">
        <v>892</v>
      </c>
      <c r="E4" s="7" t="s">
        <v>1012</v>
      </c>
      <c r="F4" s="7" t="s">
        <v>796</v>
      </c>
      <c r="G4" s="7" t="s">
        <v>797</v>
      </c>
      <c r="H4" s="7" t="s">
        <v>798</v>
      </c>
      <c r="I4" s="7" t="s">
        <v>660</v>
      </c>
      <c r="J4" s="7" t="s">
        <v>799</v>
      </c>
      <c r="K4" s="46" t="s">
        <v>800</v>
      </c>
      <c r="L4" s="46" t="s">
        <v>801</v>
      </c>
      <c r="M4" s="7" t="s">
        <v>883</v>
      </c>
      <c r="N4" s="243"/>
      <c r="O4" s="243"/>
      <c r="P4" s="243"/>
      <c r="Q4" s="243"/>
      <c r="R4" s="243"/>
      <c r="S4" s="243"/>
      <c r="T4" s="243"/>
      <c r="U4" s="243"/>
      <c r="V4" s="243"/>
      <c r="W4" s="243"/>
      <c r="X4" s="243"/>
      <c r="Y4" s="243"/>
      <c r="Z4" s="243"/>
      <c r="AA4" s="243"/>
      <c r="AB4" s="243"/>
    </row>
    <row r="5" spans="1:28" ht="18" customHeight="1" x14ac:dyDescent="0.3">
      <c r="A5" s="242"/>
      <c r="B5" s="242" t="s">
        <v>1102</v>
      </c>
      <c r="C5" s="242" t="s">
        <v>1103</v>
      </c>
      <c r="D5" s="244">
        <v>100000000</v>
      </c>
      <c r="E5" s="15" t="s">
        <v>1104</v>
      </c>
      <c r="F5" s="244"/>
      <c r="G5" s="244">
        <v>3</v>
      </c>
      <c r="H5" s="45">
        <v>0.06</v>
      </c>
      <c r="I5" s="392">
        <v>45869</v>
      </c>
      <c r="J5" s="392"/>
      <c r="K5"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2"/>
      <c r="N5" s="243"/>
      <c r="O5" s="243"/>
      <c r="P5" s="243"/>
      <c r="Q5" s="243"/>
      <c r="R5" s="243"/>
      <c r="S5" s="243"/>
      <c r="T5" s="243"/>
      <c r="U5" s="243"/>
      <c r="V5" s="243"/>
      <c r="W5" s="243"/>
      <c r="X5" s="243"/>
      <c r="Y5" s="243"/>
      <c r="Z5" s="243"/>
      <c r="AA5" s="243"/>
      <c r="AB5" s="243"/>
    </row>
    <row r="6" spans="1:28" ht="18" customHeight="1" x14ac:dyDescent="0.3">
      <c r="A6" s="242"/>
      <c r="B6" s="242" t="s">
        <v>1105</v>
      </c>
      <c r="C6" s="242" t="s">
        <v>1106</v>
      </c>
      <c r="D6" s="244">
        <v>650000000</v>
      </c>
      <c r="E6" s="15" t="s">
        <v>1104</v>
      </c>
      <c r="F6" s="244"/>
      <c r="G6" s="244">
        <v>12</v>
      </c>
      <c r="H6" s="45">
        <v>0.08</v>
      </c>
      <c r="I6" s="392">
        <v>45792</v>
      </c>
      <c r="J6" s="392"/>
      <c r="K6"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2"/>
      <c r="N6" s="243"/>
      <c r="O6" s="243"/>
      <c r="P6" s="243"/>
      <c r="Q6" s="243"/>
      <c r="R6" s="243"/>
      <c r="S6" s="243"/>
      <c r="T6" s="243"/>
      <c r="U6" s="243"/>
      <c r="V6" s="243"/>
      <c r="W6" s="243"/>
      <c r="X6" s="243"/>
      <c r="Y6" s="243"/>
      <c r="Z6" s="243"/>
      <c r="AA6" s="243"/>
      <c r="AB6" s="243"/>
    </row>
    <row r="7" spans="1:28" ht="18" customHeight="1" x14ac:dyDescent="0.3">
      <c r="A7" s="242"/>
      <c r="B7" s="242" t="s">
        <v>1107</v>
      </c>
      <c r="C7" s="242" t="s">
        <v>1108</v>
      </c>
      <c r="D7" s="244">
        <v>200000000</v>
      </c>
      <c r="E7" s="15" t="s">
        <v>1109</v>
      </c>
      <c r="F7" s="244"/>
      <c r="G7" s="244">
        <v>6</v>
      </c>
      <c r="H7" s="45">
        <v>7.0000000000000007E-2</v>
      </c>
      <c r="I7" s="392">
        <v>45718</v>
      </c>
      <c r="J7" s="392">
        <v>45749</v>
      </c>
      <c r="K7"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2"/>
      <c r="N7" s="243"/>
      <c r="O7" s="243"/>
      <c r="P7" s="243"/>
      <c r="Q7" s="243"/>
      <c r="R7" s="243"/>
      <c r="S7" s="243"/>
      <c r="T7" s="243"/>
      <c r="U7" s="243"/>
      <c r="V7" s="243"/>
      <c r="W7" s="243"/>
      <c r="X7" s="243"/>
      <c r="Y7" s="243"/>
      <c r="Z7" s="243"/>
      <c r="AA7" s="243"/>
      <c r="AB7" s="243"/>
    </row>
    <row r="8" spans="1:28" ht="18" customHeight="1" x14ac:dyDescent="0.3">
      <c r="A8" s="242"/>
      <c r="B8" s="242" t="s">
        <v>1110</v>
      </c>
      <c r="C8" s="242" t="s">
        <v>1007</v>
      </c>
      <c r="D8" s="244">
        <v>5000000000</v>
      </c>
      <c r="E8" s="15" t="s">
        <v>1111</v>
      </c>
      <c r="F8" s="244">
        <v>3</v>
      </c>
      <c r="G8" s="244"/>
      <c r="H8" s="45">
        <v>0.1</v>
      </c>
      <c r="I8" s="392">
        <v>45346</v>
      </c>
      <c r="J8" s="392">
        <v>45712</v>
      </c>
      <c r="K8"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2"/>
      <c r="N8" s="243"/>
      <c r="O8" s="243"/>
      <c r="P8" s="243"/>
      <c r="Q8" s="243"/>
      <c r="R8" s="243"/>
      <c r="S8" s="243"/>
      <c r="T8" s="243"/>
      <c r="U8" s="243"/>
      <c r="V8" s="243"/>
      <c r="W8" s="243"/>
      <c r="X8" s="243"/>
      <c r="Y8" s="243"/>
      <c r="Z8" s="243"/>
      <c r="AA8" s="243"/>
      <c r="AB8" s="243"/>
    </row>
    <row r="9" spans="1:28" ht="18" customHeight="1" x14ac:dyDescent="0.3">
      <c r="B9" s="242"/>
      <c r="C9" s="242"/>
      <c r="D9" s="242"/>
      <c r="E9" s="242"/>
      <c r="F9" s="242"/>
      <c r="G9" s="242"/>
      <c r="H9" s="242"/>
      <c r="I9" s="242"/>
      <c r="J9" s="242"/>
      <c r="K9" s="242"/>
      <c r="L9" s="242"/>
      <c r="M9" s="242"/>
    </row>
    <row r="10" spans="1:28" ht="18" customHeight="1" x14ac:dyDescent="0.3">
      <c r="B10" s="242"/>
      <c r="C10" s="242"/>
      <c r="D10" s="242"/>
      <c r="E10" s="242"/>
      <c r="F10" s="242"/>
      <c r="G10" s="242"/>
      <c r="H10" s="242"/>
      <c r="I10" s="242"/>
      <c r="J10" s="242"/>
      <c r="K10" s="242"/>
      <c r="L10" s="242"/>
      <c r="M10" s="242"/>
    </row>
    <row r="11" spans="1:28" ht="18" customHeight="1" x14ac:dyDescent="0.3">
      <c r="B11" s="242"/>
      <c r="C11" s="242"/>
      <c r="D11" s="242"/>
      <c r="E11" s="242"/>
      <c r="F11" s="242"/>
      <c r="G11" s="242"/>
      <c r="H11" s="242"/>
      <c r="I11" s="242"/>
      <c r="J11" s="242"/>
      <c r="K11" s="242"/>
      <c r="L11" s="242"/>
      <c r="M11" s="265"/>
    </row>
    <row r="12" spans="1:28" ht="18" customHeight="1" x14ac:dyDescent="0.3">
      <c r="B12" s="242"/>
      <c r="C12" s="242"/>
      <c r="D12" s="242"/>
      <c r="E12" s="242"/>
      <c r="F12" s="242"/>
      <c r="G12" s="242"/>
      <c r="H12" s="242"/>
      <c r="I12" s="242"/>
      <c r="J12" s="242"/>
      <c r="K12" s="242"/>
      <c r="L12" s="242"/>
      <c r="M12" s="265"/>
    </row>
    <row r="13" spans="1:28" ht="18" customHeight="1" x14ac:dyDescent="0.3">
      <c r="B13" s="242"/>
      <c r="C13" s="242"/>
      <c r="D13" s="242"/>
      <c r="E13" s="242"/>
      <c r="F13" s="242"/>
      <c r="G13" s="242"/>
      <c r="H13" s="242"/>
      <c r="I13" s="242"/>
      <c r="J13" s="242"/>
      <c r="K13" s="242"/>
      <c r="L13" s="242"/>
      <c r="M13" s="265"/>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61"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301">
        <v>0</v>
      </c>
      <c r="B3" s="301">
        <f>+A3+1</f>
        <v>1</v>
      </c>
      <c r="C3" s="301">
        <f t="shared" ref="C3:J3" si="0">+B3+1</f>
        <v>2</v>
      </c>
      <c r="D3" s="301">
        <f t="shared" si="0"/>
        <v>3</v>
      </c>
      <c r="E3" s="301">
        <f t="shared" si="0"/>
        <v>4</v>
      </c>
      <c r="F3" s="301">
        <f t="shared" si="0"/>
        <v>5</v>
      </c>
      <c r="G3" s="301">
        <f t="shared" si="0"/>
        <v>6</v>
      </c>
      <c r="H3" s="301">
        <f t="shared" si="0"/>
        <v>7</v>
      </c>
      <c r="I3" s="301">
        <f t="shared" si="0"/>
        <v>8</v>
      </c>
      <c r="J3" s="301">
        <f t="shared" si="0"/>
        <v>9</v>
      </c>
      <c r="K3" s="301"/>
    </row>
    <row r="4" spans="1:11" ht="18" customHeight="1" x14ac:dyDescent="0.3">
      <c r="A4" s="242"/>
      <c r="B4" s="7" t="s">
        <v>787</v>
      </c>
      <c r="C4" s="7" t="s">
        <v>788</v>
      </c>
      <c r="D4" s="7" t="s">
        <v>890</v>
      </c>
      <c r="E4" s="7" t="s">
        <v>891</v>
      </c>
      <c r="F4" s="7" t="s">
        <v>789</v>
      </c>
      <c r="G4" s="7" t="s">
        <v>790</v>
      </c>
      <c r="H4" s="7" t="s">
        <v>791</v>
      </c>
      <c r="I4" s="7" t="s">
        <v>792</v>
      </c>
      <c r="J4" s="7" t="s">
        <v>793</v>
      </c>
      <c r="K4" s="7" t="s">
        <v>883</v>
      </c>
    </row>
    <row r="5" spans="1:11" ht="18" customHeight="1" x14ac:dyDescent="0.3">
      <c r="A5" s="242"/>
      <c r="B5" s="242"/>
      <c r="C5" s="242"/>
      <c r="D5" s="244"/>
      <c r="E5" s="244">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2"/>
      <c r="I5" s="242"/>
      <c r="J5" s="242"/>
      <c r="K5" s="242"/>
    </row>
    <row r="6" spans="1:11" ht="18" customHeight="1" x14ac:dyDescent="0.3">
      <c r="A6" s="242"/>
      <c r="B6" s="242"/>
      <c r="C6" s="242"/>
      <c r="D6" s="242"/>
      <c r="E6" s="242"/>
      <c r="F6" s="242"/>
      <c r="G6" s="242"/>
      <c r="H6" s="242"/>
      <c r="I6" s="242"/>
      <c r="J6" s="242"/>
      <c r="K6" s="242"/>
    </row>
    <row r="7" spans="1:11" ht="18" customHeight="1" x14ac:dyDescent="0.3">
      <c r="A7" s="242"/>
      <c r="B7" s="242"/>
      <c r="C7" s="242"/>
      <c r="D7" s="242"/>
      <c r="E7" s="242"/>
      <c r="F7" s="242"/>
      <c r="G7" s="242"/>
      <c r="H7" s="242"/>
      <c r="I7" s="242"/>
      <c r="J7" s="242"/>
      <c r="K7" s="242"/>
    </row>
    <row r="8" spans="1:11" ht="18" customHeight="1" x14ac:dyDescent="0.3">
      <c r="A8" s="242"/>
      <c r="B8" s="242"/>
      <c r="C8" s="242"/>
      <c r="D8" s="242"/>
      <c r="E8" s="242"/>
      <c r="F8" s="242"/>
      <c r="G8" s="242"/>
      <c r="H8" s="242"/>
      <c r="I8" s="242"/>
      <c r="J8" s="242"/>
      <c r="K8" s="242"/>
    </row>
    <row r="9" spans="1:11" ht="18" customHeight="1" x14ac:dyDescent="0.3">
      <c r="A9" s="242"/>
      <c r="B9" s="242"/>
      <c r="C9" s="242"/>
      <c r="D9" s="242"/>
      <c r="E9" s="242"/>
      <c r="F9" s="242"/>
      <c r="G9" s="242"/>
      <c r="H9" s="242"/>
      <c r="I9" s="242"/>
      <c r="J9" s="242"/>
      <c r="K9" s="242"/>
    </row>
    <row r="10" spans="1:11" ht="18" customHeight="1" x14ac:dyDescent="0.3">
      <c r="A10" s="242"/>
      <c r="B10" s="242"/>
      <c r="C10" s="242"/>
      <c r="D10" s="242"/>
      <c r="E10" s="242"/>
      <c r="F10" s="242"/>
      <c r="G10" s="242"/>
      <c r="H10" s="242"/>
      <c r="I10" s="242"/>
      <c r="J10" s="242"/>
      <c r="K10" s="242"/>
    </row>
    <row r="11" spans="1:11" ht="18" customHeight="1" x14ac:dyDescent="0.3">
      <c r="A11" s="242"/>
      <c r="B11" s="242"/>
      <c r="C11" s="242"/>
      <c r="D11" s="242"/>
      <c r="E11" s="242"/>
      <c r="F11" s="242"/>
      <c r="G11" s="242"/>
      <c r="H11" s="242"/>
      <c r="I11" s="242"/>
      <c r="J11" s="242"/>
      <c r="K11" s="242"/>
    </row>
    <row r="12" spans="1:11" ht="18" customHeight="1" x14ac:dyDescent="0.3">
      <c r="A12" s="242"/>
      <c r="B12" s="242"/>
      <c r="C12" s="242"/>
      <c r="D12" s="242"/>
      <c r="E12" s="242"/>
      <c r="F12" s="242"/>
      <c r="G12" s="242"/>
      <c r="H12" s="242"/>
      <c r="I12" s="242"/>
      <c r="J12" s="242"/>
      <c r="K12" s="242"/>
    </row>
    <row r="13" spans="1:11" ht="18" customHeight="1" x14ac:dyDescent="0.3">
      <c r="A13" s="242"/>
      <c r="B13" s="242"/>
      <c r="C13" s="242"/>
      <c r="D13" s="242"/>
      <c r="E13" s="242"/>
      <c r="F13" s="242"/>
      <c r="G13" s="242"/>
      <c r="H13" s="242"/>
      <c r="I13" s="242"/>
      <c r="J13" s="242"/>
      <c r="K13" s="242"/>
    </row>
    <row r="14" spans="1:11" ht="18" customHeight="1" x14ac:dyDescent="0.3">
      <c r="A14" s="242"/>
      <c r="B14" s="242"/>
      <c r="C14" s="242"/>
      <c r="D14" s="242"/>
      <c r="E14" s="242"/>
      <c r="F14" s="242"/>
      <c r="G14" s="242"/>
      <c r="H14" s="242"/>
      <c r="I14" s="242"/>
      <c r="J14" s="242"/>
      <c r="K14" s="242"/>
    </row>
    <row r="15" spans="1:11" ht="18" customHeight="1" x14ac:dyDescent="0.3">
      <c r="A15" s="242"/>
      <c r="B15" s="242"/>
      <c r="C15" s="242"/>
      <c r="D15" s="242"/>
      <c r="E15" s="242"/>
      <c r="F15" s="242"/>
      <c r="G15" s="242"/>
      <c r="H15" s="242"/>
      <c r="I15" s="242"/>
      <c r="J15" s="242"/>
      <c r="K15" s="242"/>
    </row>
    <row r="16" spans="1:11" ht="18" customHeight="1" x14ac:dyDescent="0.3">
      <c r="A16" s="242"/>
      <c r="B16" s="242"/>
      <c r="C16" s="242"/>
      <c r="D16" s="242"/>
      <c r="E16" s="242"/>
      <c r="F16" s="242"/>
      <c r="G16" s="242"/>
      <c r="H16" s="242"/>
      <c r="I16" s="242"/>
      <c r="J16" s="242"/>
      <c r="K16" s="242"/>
    </row>
    <row r="17" spans="1:11" ht="18" customHeight="1" x14ac:dyDescent="0.3">
      <c r="A17" s="242"/>
      <c r="B17" s="242"/>
      <c r="C17" s="242"/>
      <c r="D17" s="242"/>
      <c r="E17" s="242"/>
      <c r="F17" s="242"/>
      <c r="G17" s="242"/>
      <c r="H17" s="242"/>
      <c r="I17" s="242"/>
      <c r="J17" s="242"/>
      <c r="K17" s="242"/>
    </row>
    <row r="18" spans="1:11" ht="18" customHeight="1" x14ac:dyDescent="0.3">
      <c r="A18" s="242"/>
      <c r="B18" s="242"/>
      <c r="C18" s="242"/>
      <c r="D18" s="242"/>
      <c r="E18" s="242"/>
      <c r="F18" s="242"/>
      <c r="G18" s="242"/>
      <c r="H18" s="242"/>
      <c r="I18" s="242"/>
      <c r="J18" s="242"/>
      <c r="K18" s="242"/>
    </row>
    <row r="19" spans="1:11" ht="18" customHeight="1" x14ac:dyDescent="0.3">
      <c r="A19" s="242"/>
      <c r="B19" s="242"/>
      <c r="C19" s="242"/>
      <c r="D19" s="242"/>
      <c r="E19" s="242"/>
      <c r="F19" s="242"/>
      <c r="G19" s="242"/>
      <c r="H19" s="242"/>
      <c r="I19" s="242"/>
      <c r="J19" s="242"/>
      <c r="K19" s="242"/>
    </row>
    <row r="20" spans="1:11" ht="18" customHeight="1" x14ac:dyDescent="0.3">
      <c r="A20" s="242"/>
      <c r="B20" s="242"/>
      <c r="C20" s="242"/>
      <c r="D20" s="242"/>
      <c r="E20" s="242"/>
      <c r="F20" s="242"/>
      <c r="G20" s="242"/>
      <c r="H20" s="242"/>
      <c r="I20" s="242"/>
      <c r="J20" s="242"/>
      <c r="K20" s="242"/>
    </row>
    <row r="21" spans="1:11" ht="18" customHeight="1" x14ac:dyDescent="0.3">
      <c r="A21" s="242"/>
      <c r="B21" s="242"/>
      <c r="C21" s="242"/>
      <c r="D21" s="242"/>
      <c r="E21" s="242"/>
      <c r="F21" s="242"/>
      <c r="G21" s="242"/>
      <c r="H21" s="242"/>
      <c r="I21" s="242"/>
      <c r="J21" s="242"/>
      <c r="K21" s="242"/>
    </row>
    <row r="22" spans="1:11" ht="18" customHeight="1" x14ac:dyDescent="0.3">
      <c r="A22" s="242"/>
      <c r="B22" s="242"/>
      <c r="C22" s="242"/>
      <c r="D22" s="242"/>
      <c r="E22" s="242"/>
      <c r="F22" s="242"/>
      <c r="G22" s="242"/>
      <c r="H22" s="242"/>
      <c r="I22" s="242"/>
      <c r="J22" s="242"/>
      <c r="K22" s="242"/>
    </row>
    <row r="23" spans="1:11" ht="18" customHeight="1" x14ac:dyDescent="0.3">
      <c r="A23" s="242"/>
      <c r="B23" s="242"/>
      <c r="C23" s="242"/>
      <c r="D23" s="242"/>
      <c r="E23" s="242"/>
      <c r="F23" s="242"/>
      <c r="G23" s="242"/>
      <c r="H23" s="242"/>
      <c r="I23" s="242"/>
      <c r="J23" s="242"/>
      <c r="K23" s="242"/>
    </row>
    <row r="24" spans="1:11" ht="18" customHeight="1" x14ac:dyDescent="0.3">
      <c r="A24" s="242"/>
      <c r="B24" s="242"/>
      <c r="C24" s="242"/>
      <c r="D24" s="242"/>
      <c r="E24" s="242"/>
      <c r="F24" s="242"/>
      <c r="G24" s="242"/>
      <c r="H24" s="242"/>
      <c r="I24" s="242"/>
      <c r="J24" s="242"/>
      <c r="K24" s="242"/>
    </row>
    <row r="25" spans="1:11" ht="18" customHeight="1" x14ac:dyDescent="0.3">
      <c r="A25" s="242"/>
      <c r="B25" s="242"/>
      <c r="C25" s="242"/>
      <c r="D25" s="242"/>
      <c r="E25" s="242"/>
      <c r="F25" s="242"/>
      <c r="G25" s="242"/>
      <c r="H25" s="242"/>
      <c r="I25" s="242"/>
      <c r="J25" s="242"/>
      <c r="K25" s="242"/>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A1:AD38"/>
  <sheetViews>
    <sheetView showGridLines="0" topLeftCell="R1" workbookViewId="0">
      <selection activeCell="V31" sqref="V31"/>
    </sheetView>
  </sheetViews>
  <sheetFormatPr defaultRowHeight="18" customHeight="1" outlineLevelRow="1" outlineLevelCol="2" x14ac:dyDescent="0.3"/>
  <cols>
    <col min="1" max="1" width="1.25" style="38" customWidth="1"/>
    <col min="2" max="2" width="9.375" style="7" customWidth="1" outlineLevel="1"/>
    <col min="3" max="3" width="5.625" style="7" customWidth="1" outlineLevel="1"/>
    <col min="4" max="4" width="6" style="7" customWidth="1" outlineLevel="1"/>
    <col min="5" max="5" width="10.25" style="7" customWidth="1" outlineLevel="1"/>
    <col min="6" max="6" width="11.5" style="7" customWidth="1" outlineLevel="1"/>
    <col min="7" max="7" width="17.625" style="7" customWidth="1" outlineLevel="1"/>
    <col min="8" max="8" width="10.25" style="7" customWidth="1" outlineLevel="1"/>
    <col min="9" max="9" width="10.25" style="38" customWidth="1" outlineLevel="1"/>
    <col min="10" max="10" width="12.375" style="7" customWidth="1" outlineLevel="1"/>
    <col min="11" max="11" width="2.25" style="7" customWidth="1"/>
    <col min="12" max="12" width="5.375" style="7" customWidth="1" outlineLevel="1"/>
    <col min="13" max="13" width="10" style="7" customWidth="1" outlineLevel="1"/>
    <col min="14" max="14" width="5.625" style="7" customWidth="1" outlineLevel="1"/>
    <col min="15" max="15" width="6" style="7" customWidth="1" outlineLevel="1"/>
    <col min="16" max="16" width="7.125" style="7" customWidth="1" outlineLevel="1"/>
    <col min="17" max="17" width="10.25" style="7" bestFit="1" customWidth="1" outlineLevel="1"/>
    <col min="18" max="18" width="11.5" style="7" bestFit="1" customWidth="1" outlineLevel="1"/>
    <col min="19" max="19" width="27.375" style="38" customWidth="1" outlineLevel="1"/>
    <col min="20" max="20" width="12.375" style="38" bestFit="1" customWidth="1" outlineLevel="1"/>
    <col min="21" max="21" width="8" style="7" customWidth="1" outlineLevel="1"/>
    <col min="22" max="22" width="18" style="7" customWidth="1" outlineLevel="1"/>
    <col min="23" max="23" width="17.875" style="7" customWidth="1" outlineLevel="1"/>
    <col min="24" max="24" width="11.875" style="7" customWidth="1" outlineLevel="1"/>
    <col min="25" max="25" width="8.125" style="7" customWidth="1" outlineLevel="2"/>
    <col min="26" max="26" width="14.375" style="7" bestFit="1" customWidth="1" outlineLevel="2"/>
    <col min="27" max="27" width="6.75" style="7" customWidth="1" outlineLevel="1" collapsed="1"/>
    <col min="28" max="28" width="8.125" style="7" customWidth="1" outlineLevel="1"/>
    <col min="29" max="29" width="6.75" style="7" bestFit="1" customWidth="1"/>
    <col min="30" max="30" width="9.125" style="7" bestFit="1" customWidth="1"/>
    <col min="31" max="16384" width="9" style="7"/>
  </cols>
  <sheetData>
    <row r="1" spans="7:28" ht="37.5" customHeight="1" x14ac:dyDescent="0.3">
      <c r="L1" s="46"/>
      <c r="M1" s="46">
        <v>1</v>
      </c>
      <c r="N1" s="46">
        <f t="shared" ref="N1:Z1" si="0">+M1+1</f>
        <v>2</v>
      </c>
      <c r="O1" s="46">
        <f t="shared" si="0"/>
        <v>3</v>
      </c>
      <c r="P1" s="46">
        <f t="shared" si="0"/>
        <v>4</v>
      </c>
      <c r="Q1" s="46">
        <f t="shared" si="0"/>
        <v>5</v>
      </c>
      <c r="R1" s="46">
        <f t="shared" si="0"/>
        <v>6</v>
      </c>
      <c r="S1" s="46">
        <f t="shared" si="0"/>
        <v>7</v>
      </c>
      <c r="T1" s="46">
        <f t="shared" si="0"/>
        <v>8</v>
      </c>
      <c r="U1" s="46">
        <f t="shared" si="0"/>
        <v>9</v>
      </c>
      <c r="V1" s="46">
        <f t="shared" si="0"/>
        <v>10</v>
      </c>
      <c r="W1" s="46">
        <f t="shared" si="0"/>
        <v>11</v>
      </c>
      <c r="X1" s="46">
        <f t="shared" si="0"/>
        <v>12</v>
      </c>
      <c r="Y1" s="46">
        <f t="shared" si="0"/>
        <v>13</v>
      </c>
      <c r="Z1" s="46">
        <f t="shared" si="0"/>
        <v>14</v>
      </c>
      <c r="AA1" s="46"/>
      <c r="AB1" s="46">
        <f>+Y1+1</f>
        <v>14</v>
      </c>
    </row>
    <row r="2" spans="7:28" ht="16.5" hidden="1" outlineLevel="1" x14ac:dyDescent="0.3">
      <c r="G2" s="7">
        <f>+A20+1</f>
        <v>1</v>
      </c>
      <c r="H2" s="7">
        <v>2</v>
      </c>
      <c r="L2" s="46"/>
      <c r="M2" s="46"/>
      <c r="N2" s="46"/>
      <c r="O2" s="46"/>
      <c r="P2" s="46"/>
      <c r="Q2" s="46"/>
      <c r="R2" s="46"/>
      <c r="S2" s="46"/>
      <c r="T2" s="46"/>
      <c r="U2" s="46"/>
      <c r="V2" s="46"/>
      <c r="W2" s="46"/>
      <c r="X2" s="46"/>
      <c r="Y2" s="46"/>
      <c r="Z2" s="46"/>
      <c r="AA2" s="46"/>
      <c r="AB2" s="46"/>
    </row>
    <row r="3" spans="7:28" ht="16.5" hidden="1" outlineLevel="1" x14ac:dyDescent="0.3">
      <c r="G3" s="7" t="s">
        <v>130</v>
      </c>
      <c r="H3" s="7" t="s">
        <v>588</v>
      </c>
      <c r="L3" s="46"/>
      <c r="M3" s="46"/>
      <c r="N3" s="46"/>
      <c r="O3" s="46"/>
      <c r="P3" s="46"/>
      <c r="Q3" s="46"/>
      <c r="R3" s="46"/>
      <c r="S3" s="46"/>
      <c r="T3" s="46"/>
      <c r="U3" s="46"/>
      <c r="V3" s="46"/>
      <c r="W3" s="46"/>
      <c r="X3" s="46"/>
      <c r="Y3" s="46"/>
      <c r="Z3" s="46"/>
      <c r="AA3" s="46"/>
      <c r="AB3" s="46"/>
    </row>
    <row r="4" spans="7:28" ht="16.5" hidden="1" outlineLevel="1" x14ac:dyDescent="0.3">
      <c r="G4" s="7" t="s">
        <v>348</v>
      </c>
      <c r="H4" s="7" t="s">
        <v>595</v>
      </c>
      <c r="L4" s="46"/>
      <c r="M4" s="46"/>
      <c r="N4" s="46"/>
      <c r="O4" s="46"/>
      <c r="P4" s="46"/>
      <c r="Q4" s="46"/>
      <c r="R4" s="46"/>
      <c r="S4" s="46"/>
      <c r="T4" s="46"/>
      <c r="U4" s="46"/>
      <c r="V4" s="46"/>
      <c r="W4" s="46"/>
      <c r="X4" s="46"/>
      <c r="Y4" s="46"/>
      <c r="Z4" s="46"/>
      <c r="AA4" s="46"/>
      <c r="AB4" s="46"/>
    </row>
    <row r="5" spans="7:28" ht="16.5" hidden="1" outlineLevel="1" x14ac:dyDescent="0.3">
      <c r="G5" s="7" t="s">
        <v>373</v>
      </c>
      <c r="H5" s="7" t="s">
        <v>595</v>
      </c>
      <c r="L5" s="46"/>
      <c r="M5" s="46"/>
      <c r="N5" s="46"/>
      <c r="O5" s="46"/>
      <c r="P5" s="46"/>
      <c r="Q5" s="46"/>
      <c r="R5" s="46"/>
      <c r="S5" s="46"/>
      <c r="T5" s="46"/>
      <c r="U5" s="46"/>
      <c r="V5" s="46"/>
      <c r="W5" s="46"/>
      <c r="X5" s="46"/>
      <c r="Y5" s="46"/>
      <c r="Z5" s="46"/>
      <c r="AA5" s="46"/>
      <c r="AB5" s="46"/>
    </row>
    <row r="6" spans="7:28" ht="16.5" hidden="1" outlineLevel="1" x14ac:dyDescent="0.3">
      <c r="G6" s="7" t="s">
        <v>345</v>
      </c>
      <c r="H6" s="7" t="s">
        <v>765</v>
      </c>
      <c r="L6" s="46"/>
      <c r="M6" s="46"/>
      <c r="N6" s="46"/>
      <c r="O6" s="46"/>
      <c r="P6" s="46"/>
      <c r="Q6" s="46"/>
      <c r="R6" s="46"/>
      <c r="S6" s="46"/>
      <c r="T6" s="46"/>
      <c r="U6" s="46"/>
      <c r="V6" s="46"/>
      <c r="W6" s="46"/>
      <c r="X6" s="46"/>
      <c r="Y6" s="46"/>
      <c r="Z6" s="46"/>
      <c r="AA6" s="46"/>
      <c r="AB6" s="46"/>
    </row>
    <row r="7" spans="7:28" ht="16.5" hidden="1" outlineLevel="1" x14ac:dyDescent="0.3">
      <c r="G7" s="7" t="s">
        <v>346</v>
      </c>
      <c r="H7" s="7" t="s">
        <v>765</v>
      </c>
      <c r="L7" s="46"/>
      <c r="M7" s="46"/>
      <c r="N7" s="46"/>
      <c r="O7" s="46"/>
      <c r="P7" s="46"/>
      <c r="Q7" s="46"/>
      <c r="R7" s="46"/>
      <c r="S7" s="46"/>
      <c r="T7" s="46"/>
      <c r="U7" s="46"/>
      <c r="V7" s="46"/>
      <c r="W7" s="46"/>
      <c r="X7" s="46"/>
      <c r="Y7" s="46"/>
      <c r="Z7" s="46"/>
      <c r="AA7" s="46"/>
      <c r="AB7" s="46"/>
    </row>
    <row r="8" spans="7:28" ht="16.5" hidden="1" outlineLevel="1" x14ac:dyDescent="0.3">
      <c r="G8" s="7" t="s">
        <v>347</v>
      </c>
      <c r="H8" s="7" t="s">
        <v>765</v>
      </c>
      <c r="L8" s="46"/>
      <c r="M8" s="46"/>
      <c r="N8" s="46"/>
      <c r="O8" s="46"/>
      <c r="P8" s="46"/>
      <c r="Q8" s="46"/>
      <c r="R8" s="46"/>
      <c r="S8" s="46"/>
      <c r="T8" s="46"/>
      <c r="U8" s="46"/>
      <c r="V8" s="46"/>
      <c r="W8" s="46"/>
      <c r="X8" s="46"/>
      <c r="Y8" s="46"/>
      <c r="Z8" s="46"/>
      <c r="AA8" s="46"/>
      <c r="AB8" s="46"/>
    </row>
    <row r="9" spans="7:28" ht="16.5" hidden="1" outlineLevel="1" x14ac:dyDescent="0.3">
      <c r="G9" s="7" t="s">
        <v>382</v>
      </c>
      <c r="H9" s="7" t="s">
        <v>765</v>
      </c>
      <c r="L9" s="46"/>
      <c r="M9" s="46"/>
      <c r="N9" s="46"/>
      <c r="O9" s="46"/>
      <c r="P9" s="46"/>
      <c r="Q9" s="46"/>
      <c r="R9" s="46"/>
      <c r="S9" s="46"/>
      <c r="T9" s="46"/>
      <c r="U9" s="46"/>
      <c r="V9" s="46"/>
      <c r="W9" s="46"/>
      <c r="X9" s="46"/>
      <c r="Y9" s="46"/>
      <c r="Z9" s="46"/>
      <c r="AA9" s="46"/>
      <c r="AB9" s="46"/>
    </row>
    <row r="10" spans="7:28" ht="16.5" hidden="1" outlineLevel="1" x14ac:dyDescent="0.3">
      <c r="G10" s="7" t="s">
        <v>349</v>
      </c>
      <c r="H10" s="7" t="s">
        <v>766</v>
      </c>
      <c r="L10" s="46"/>
      <c r="M10" s="46"/>
      <c r="N10" s="46"/>
      <c r="O10" s="46"/>
      <c r="P10" s="46"/>
      <c r="Q10" s="46"/>
      <c r="R10" s="46"/>
      <c r="S10" s="46"/>
      <c r="T10" s="46"/>
      <c r="U10" s="46"/>
      <c r="V10" s="46"/>
      <c r="W10" s="46"/>
      <c r="X10" s="46"/>
      <c r="Y10" s="46"/>
      <c r="Z10" s="46"/>
      <c r="AA10" s="46"/>
      <c r="AB10" s="46"/>
    </row>
    <row r="11" spans="7:28" ht="16.5" hidden="1" outlineLevel="1" x14ac:dyDescent="0.3">
      <c r="G11" s="7" t="s">
        <v>300</v>
      </c>
      <c r="H11" s="7" t="s">
        <v>766</v>
      </c>
      <c r="L11" s="46"/>
      <c r="M11" s="46"/>
      <c r="N11" s="46"/>
      <c r="O11" s="46"/>
      <c r="P11" s="46"/>
      <c r="Q11" s="46"/>
      <c r="R11" s="46"/>
      <c r="S11" s="46"/>
      <c r="T11" s="46"/>
      <c r="U11" s="46"/>
      <c r="V11" s="46"/>
      <c r="W11" s="46"/>
      <c r="X11" s="46"/>
      <c r="Y11" s="46"/>
      <c r="Z11" s="46"/>
      <c r="AA11" s="46"/>
      <c r="AB11" s="46"/>
    </row>
    <row r="12" spans="7:28" ht="16.5" hidden="1" outlineLevel="1" x14ac:dyDescent="0.3">
      <c r="G12" s="7" t="s">
        <v>402</v>
      </c>
      <c r="H12" s="7" t="s">
        <v>766</v>
      </c>
      <c r="L12" s="46"/>
      <c r="M12" s="46"/>
      <c r="N12" s="46"/>
      <c r="O12" s="46"/>
      <c r="P12" s="46"/>
      <c r="Q12" s="46"/>
      <c r="R12" s="46"/>
      <c r="S12" s="46"/>
      <c r="T12" s="46"/>
      <c r="U12" s="46"/>
      <c r="V12" s="46"/>
      <c r="W12" s="46"/>
      <c r="X12" s="46"/>
      <c r="Y12" s="46"/>
      <c r="Z12" s="46"/>
      <c r="AA12" s="46"/>
      <c r="AB12" s="46"/>
    </row>
    <row r="13" spans="7:28" ht="16.5" hidden="1" outlineLevel="1" x14ac:dyDescent="0.3">
      <c r="G13" s="7" t="s">
        <v>389</v>
      </c>
      <c r="H13" s="7" t="s">
        <v>766</v>
      </c>
      <c r="L13" s="46"/>
      <c r="M13" s="46"/>
      <c r="N13" s="46"/>
      <c r="O13" s="46"/>
      <c r="P13" s="46"/>
      <c r="Q13" s="46"/>
      <c r="R13" s="46"/>
      <c r="S13" s="46"/>
      <c r="T13" s="46"/>
      <c r="U13" s="46"/>
      <c r="V13" s="46"/>
      <c r="W13" s="46"/>
      <c r="X13" s="46"/>
      <c r="Y13" s="46"/>
      <c r="Z13" s="46"/>
      <c r="AA13" s="46"/>
      <c r="AB13" s="46"/>
    </row>
    <row r="14" spans="7:28" ht="16.5" hidden="1" outlineLevel="1" x14ac:dyDescent="0.3">
      <c r="G14" s="7" t="s">
        <v>767</v>
      </c>
      <c r="H14" s="7" t="s">
        <v>768</v>
      </c>
      <c r="L14" s="46"/>
      <c r="M14" s="46"/>
      <c r="N14" s="46"/>
      <c r="O14" s="46"/>
      <c r="P14" s="46"/>
      <c r="Q14" s="46"/>
      <c r="R14" s="46"/>
      <c r="S14" s="46"/>
      <c r="T14" s="46"/>
      <c r="U14" s="46"/>
      <c r="V14" s="46"/>
      <c r="W14" s="46"/>
      <c r="X14" s="46"/>
      <c r="Y14" s="46"/>
      <c r="Z14" s="46"/>
      <c r="AA14" s="46"/>
      <c r="AB14" s="46"/>
    </row>
    <row r="15" spans="7:28" ht="16.5" hidden="1" outlineLevel="1" x14ac:dyDescent="0.3">
      <c r="G15" s="7" t="s">
        <v>769</v>
      </c>
      <c r="H15" s="7" t="s">
        <v>768</v>
      </c>
      <c r="L15" s="46"/>
      <c r="M15" s="46"/>
      <c r="N15" s="46"/>
      <c r="O15" s="46"/>
      <c r="P15" s="46"/>
      <c r="Q15" s="46"/>
      <c r="R15" s="46"/>
      <c r="S15" s="46"/>
      <c r="T15" s="46"/>
      <c r="U15" s="46"/>
      <c r="V15" s="46"/>
      <c r="W15" s="46"/>
      <c r="X15" s="46"/>
      <c r="Y15" s="46"/>
      <c r="Z15" s="46"/>
      <c r="AA15" s="46"/>
      <c r="AB15" s="46"/>
    </row>
    <row r="16" spans="7:28" ht="16.5" hidden="1" outlineLevel="1" x14ac:dyDescent="0.3">
      <c r="G16" s="7" t="s">
        <v>770</v>
      </c>
      <c r="H16" s="7" t="s">
        <v>768</v>
      </c>
      <c r="L16" s="46"/>
      <c r="M16" s="46"/>
      <c r="N16" s="46"/>
      <c r="O16" s="46"/>
      <c r="P16" s="46"/>
      <c r="Q16" s="46"/>
      <c r="R16" s="46"/>
      <c r="S16" s="46"/>
      <c r="T16" s="46"/>
      <c r="U16" s="46"/>
      <c r="V16" s="46"/>
      <c r="W16" s="46"/>
      <c r="X16" s="46"/>
      <c r="Y16" s="46"/>
      <c r="Z16" s="46"/>
      <c r="AA16" s="46"/>
      <c r="AB16" s="46"/>
    </row>
    <row r="17" spans="2:30" ht="16.5" hidden="1" outlineLevel="1" x14ac:dyDescent="0.3">
      <c r="G17" s="7" t="s">
        <v>771</v>
      </c>
      <c r="H17" s="7" t="s">
        <v>768</v>
      </c>
      <c r="L17" s="46"/>
      <c r="M17" s="46"/>
      <c r="N17" s="46"/>
      <c r="O17" s="46"/>
      <c r="P17" s="46"/>
      <c r="Q17" s="46"/>
      <c r="R17" s="46"/>
      <c r="S17" s="46"/>
      <c r="T17" s="46"/>
      <c r="U17" s="46"/>
      <c r="V17" s="46"/>
      <c r="W17" s="46"/>
      <c r="X17" s="46"/>
      <c r="Y17" s="46"/>
      <c r="Z17" s="46"/>
      <c r="AA17" s="46"/>
      <c r="AB17" s="46"/>
    </row>
    <row r="18" spans="2:30" ht="16.5" hidden="1" outlineLevel="1" x14ac:dyDescent="0.3">
      <c r="G18" s="7" t="s">
        <v>772</v>
      </c>
      <c r="H18" s="7" t="s">
        <v>768</v>
      </c>
      <c r="L18" s="46"/>
      <c r="M18" s="46"/>
      <c r="N18" s="46"/>
      <c r="O18" s="46"/>
      <c r="P18" s="46"/>
      <c r="Q18" s="46"/>
      <c r="R18" s="46"/>
      <c r="S18" s="46"/>
      <c r="T18" s="46"/>
      <c r="U18" s="46"/>
      <c r="V18" s="46"/>
      <c r="W18" s="46"/>
      <c r="X18" s="46"/>
      <c r="Y18" s="46"/>
      <c r="Z18" s="46"/>
      <c r="AA18" s="46"/>
      <c r="AB18" s="46"/>
    </row>
    <row r="19" spans="2:30" ht="16.5" hidden="1" outlineLevel="1" x14ac:dyDescent="0.3">
      <c r="L19" s="46"/>
      <c r="M19" s="46"/>
      <c r="N19" s="46"/>
      <c r="O19" s="46"/>
      <c r="P19" s="46"/>
      <c r="Q19" s="46"/>
      <c r="R19" s="46"/>
      <c r="S19" s="46"/>
      <c r="T19" s="46"/>
      <c r="U19" s="46"/>
      <c r="V19" s="46"/>
      <c r="W19" s="46"/>
      <c r="X19" s="46"/>
      <c r="Y19" s="46"/>
      <c r="Z19" s="46"/>
      <c r="AA19" s="46"/>
      <c r="AB19" s="46"/>
    </row>
    <row r="20" spans="2:30" ht="18" customHeight="1" collapsed="1" x14ac:dyDescent="0.3">
      <c r="B20" s="49">
        <f>IFERROR(
IF(ISBLANK(D20),
DATE(C20,12,1),
DATE(C20,D20,1)),0)</f>
        <v>336</v>
      </c>
      <c r="C20" s="230"/>
      <c r="D20" s="230"/>
      <c r="E20" s="407"/>
      <c r="F20" s="407"/>
      <c r="G20" s="230"/>
      <c r="H20" s="230"/>
      <c r="I20" s="397"/>
      <c r="J20" s="232"/>
      <c r="L20" s="233">
        <v>1</v>
      </c>
      <c r="M20" s="51" t="str">
        <f>CONCATENATE("CP-",U20,"-",MOD(O20,100)*100+P20,"-",L20)</f>
        <v>CP--0-1</v>
      </c>
      <c r="N20" s="63">
        <f>IFERROR(
IF(ISBLANK(P20),
DATE(O20,12,1),
DATE(O20,P20,1)),0)</f>
        <v>336</v>
      </c>
      <c r="O20" s="394"/>
      <c r="P20" s="394"/>
      <c r="Q20" s="407"/>
      <c r="R20" s="407"/>
      <c r="S20" s="230"/>
      <c r="T20" s="230"/>
      <c r="U20" s="230"/>
      <c r="V20" s="230"/>
      <c r="W20" s="408"/>
      <c r="X20" s="176"/>
      <c r="Y20" s="409">
        <f>X20*W20/(1+X20)</f>
        <v>0</v>
      </c>
      <c r="Z20" s="48">
        <f>W20-Y20</f>
        <v>0</v>
      </c>
      <c r="AA20" s="235"/>
      <c r="AB20" s="235"/>
      <c r="AD20" s="7" t="str" cm="1">
        <f t="array" ref="AD20">IF(T20="Khách hàng",TRANSPOSE(_xlfn._xlws.SORT(Table_KhachHang[Mã KH])),
IF(T20="NSNN", TRANSPOSE(_xlfn._xlws.SORT(Table_NopNS_NganSach[Loại thuế])),
TRANSPOSE(_xlfn._xlws.SORT(_xlfn._xlws.FILTER(Table_NhaCungCap[Mã Đối tác],Table_NhaCungCap[Loại đối tác]=T20,"")))))</f>
        <v/>
      </c>
    </row>
    <row r="21" spans="2:30" ht="18" customHeight="1" x14ac:dyDescent="0.3">
      <c r="B21" s="42" t="s">
        <v>3</v>
      </c>
      <c r="C21" s="42" t="s">
        <v>2</v>
      </c>
      <c r="D21" s="42" t="s">
        <v>1</v>
      </c>
      <c r="E21" s="7" t="s">
        <v>645</v>
      </c>
      <c r="F21" s="7" t="s">
        <v>646</v>
      </c>
      <c r="G21" s="42" t="s">
        <v>134</v>
      </c>
      <c r="H21" s="42" t="s">
        <v>588</v>
      </c>
      <c r="I21" s="42" t="s">
        <v>761</v>
      </c>
      <c r="J21" s="7" t="s">
        <v>883</v>
      </c>
      <c r="L21" s="7" t="s">
        <v>643</v>
      </c>
      <c r="M21" s="7" t="s">
        <v>644</v>
      </c>
      <c r="N21" s="7" t="s">
        <v>3</v>
      </c>
      <c r="O21" s="7" t="s">
        <v>2</v>
      </c>
      <c r="P21" s="7" t="s">
        <v>1</v>
      </c>
      <c r="Q21" s="7" t="s">
        <v>645</v>
      </c>
      <c r="R21" s="7" t="s">
        <v>646</v>
      </c>
      <c r="S21" s="7" t="s">
        <v>130</v>
      </c>
      <c r="T21" s="7" t="s">
        <v>762</v>
      </c>
      <c r="U21" s="7" t="s">
        <v>763</v>
      </c>
      <c r="V21" s="7" t="s">
        <v>16</v>
      </c>
      <c r="W21" s="7" t="s">
        <v>21</v>
      </c>
      <c r="X21" s="7" t="s">
        <v>764</v>
      </c>
      <c r="Y21" s="7" t="s">
        <v>686</v>
      </c>
      <c r="Z21" s="7" t="s">
        <v>657</v>
      </c>
      <c r="AA21" s="7" t="s">
        <v>883</v>
      </c>
      <c r="AB21" s="7" t="s">
        <v>1253</v>
      </c>
    </row>
    <row r="22" spans="2:30" ht="18" customHeight="1" x14ac:dyDescent="0.3">
      <c r="B22" s="501">
        <f>IFERROR(
IF(ISBLANK(D22),
DATE(C22,12,1),
DATE(C22,D22,1)),0)</f>
        <v>336</v>
      </c>
      <c r="C22" s="502"/>
      <c r="D22" s="230"/>
      <c r="E22" s="407"/>
      <c r="F22" s="407"/>
      <c r="G22" s="230"/>
      <c r="H22" s="230"/>
      <c r="I22" s="503"/>
      <c r="J22" s="232"/>
      <c r="L22" s="233">
        <v>1</v>
      </c>
      <c r="M22" s="51" t="str">
        <f>CONCATENATE("CP-",U22,"-",MOD(O22,100)*100+P22,"-",L22)</f>
        <v>CP--0-1</v>
      </c>
      <c r="N22" s="63">
        <f>IFERROR(
IF(ISBLANK(Table_ChiPhiKD[[#This Row],[Tháng]]),
DATE(Table_ChiPhiKD[[#This Row],[Năm]],12,1),
DATE(Table_ChiPhiKD[[#This Row],[Năm]],Table_ChiPhiKD[[#This Row],[Tháng]],1)),0)</f>
        <v>336</v>
      </c>
      <c r="O22" s="15"/>
      <c r="P22" s="15"/>
      <c r="Q22" s="407"/>
      <c r="R22" s="407"/>
      <c r="S22" s="7"/>
      <c r="T22" s="7"/>
      <c r="W22" s="212"/>
      <c r="X22" s="45"/>
      <c r="Y22" s="234">
        <f>Table_ChiPhiKD[[#This Row],[Tỷ suất VAT kháu trừ]]*Table_ChiPhiKD[[#This Row],[Giá trị]]/(1+Table_ChiPhiKD[[#This Row],[Tỷ suất VAT kháu trừ]])</f>
        <v>0</v>
      </c>
      <c r="Z22" s="226">
        <f>Table_ChiPhiKD[[#This Row],[Giá trị]]-Table_ChiPhiKD[[#This Row],[VAT khấu trừ]]</f>
        <v>0</v>
      </c>
      <c r="AA22" s="235"/>
      <c r="AB22" s="241" cm="1">
        <f t="array" ref="AB22"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row r="38" spans="1:1" ht="18" customHeight="1" x14ac:dyDescent="0.3">
      <c r="A38" s="7"/>
    </row>
  </sheetData>
  <sheetProtection algorithmName="SHA-512" hashValue="fX81mvfCzvBKzfBFw5K/jQnQd5u6kdB8ZflQtrTEk7OvMdkJG6io12SO+aNJuYQUI/B7u34h4oi+541kiwBHpQ==" saltValue="YTINgc7/MY7giT2Ft5ihBA==" spinCount="100000" sheet="1" scenarios="1" formatCells="0" formatColumns="0" formatRows="0" insertColumns="0" insertRows="0" deleteColumns="0" deleteRows="0" sort="0" autoFilter="0" pivotTables="0"/>
  <protectedRanges>
    <protectedRange sqref="U22" name="Range1_1"/>
  </protectedRanges>
  <phoneticPr fontId="14" type="noConversion"/>
  <conditionalFormatting sqref="M20 M22">
    <cfRule type="expression" dxfId="230" priority="281">
      <formula>MATCH($M$20,$M$22:$M$22,0)</formula>
    </cfRule>
  </conditionalFormatting>
  <dataValidations count="6">
    <dataValidation type="list" allowBlank="1" showInputMessage="1" showErrorMessage="1" sqref="H20 H22" xr:uid="{0DBD9B61-CDC5-4E54-BE9B-072DEB055D86}">
      <formula1>"Sản xuất, Phi Sản xuất"</formula1>
    </dataValidation>
    <dataValidation type="list" errorStyle="warning" allowBlank="1" showInputMessage="1" showErrorMessage="1" sqref="U20" xr:uid="{76FF6BBA-7939-4B3A-BEA0-F9C2E7630B81}">
      <formula1>_xlfn.ANCHORARRAY($AD$20)</formula1>
    </dataValidation>
    <dataValidation type="list" allowBlank="1" showInputMessage="1" showErrorMessage="1" sqref="S22" xr:uid="{BF0711AB-3ACC-4702-A2D2-6800A55FAFA7}">
      <formula1>NhomChiPhi</formula1>
    </dataValidation>
    <dataValidation type="list" errorStyle="warning" allowBlank="1" showInputMessage="1" sqref="U22" xr:uid="{755E79CB-39B7-4C25-95F2-5A68DD63F167}">
      <formula1>_xlfn.ANCHORARRAY($AD$20)</formula1>
    </dataValidation>
    <dataValidation type="list" errorStyle="warning" allowBlank="1" showInputMessage="1" showErrorMessage="1" sqref="S20" xr:uid="{D6280BA9-FE83-42B1-94DF-3B334D90FD6E}">
      <formula1>NhomChiPhi</formula1>
    </dataValidation>
    <dataValidation type="list" allowBlank="1" showInputMessage="1" showErrorMessage="1" sqref="G20 G22" xr:uid="{F2B6669B-065A-428B-9970-2DBEA9A17423}">
      <formula1>$G$14:$G$18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AddRow">
                <anchor moveWithCells="1">
                  <from>
                    <xdr:col>2</xdr:col>
                    <xdr:colOff>47625</xdr:colOff>
                    <xdr:row>0</xdr:row>
                    <xdr:rowOff>142875</xdr:rowOff>
                  </from>
                  <to>
                    <xdr:col>3</xdr:col>
                    <xdr:colOff>95250</xdr:colOff>
                    <xdr:row>0</xdr:row>
                    <xdr:rowOff>400050</xdr:rowOff>
                  </to>
                </anchor>
              </controlPr>
            </control>
          </mc:Choice>
        </mc:AlternateContent>
        <mc:AlternateContent xmlns:mc="http://schemas.openxmlformats.org/markup-compatibility/2006">
          <mc:Choice Requires="x14">
            <control shapeId="71682" r:id="rId5" name="Button 2">
              <controlPr defaultSize="0" print="0" autoFill="0" autoPict="0" macro="[0]!DeleteRow">
                <anchor moveWithCells="1">
                  <from>
                    <xdr:col>3</xdr:col>
                    <xdr:colOff>247650</xdr:colOff>
                    <xdr:row>0</xdr:row>
                    <xdr:rowOff>142875</xdr:rowOff>
                  </from>
                  <to>
                    <xdr:col>4</xdr:col>
                    <xdr:colOff>266700</xdr:colOff>
                    <xdr:row>0</xdr:row>
                    <xdr:rowOff>400050</xdr:rowOff>
                  </to>
                </anchor>
              </controlPr>
            </control>
          </mc:Choice>
        </mc:AlternateContent>
        <mc:AlternateContent xmlns:mc="http://schemas.openxmlformats.org/markup-compatibility/2006">
          <mc:Choice Requires="x14">
            <control shapeId="71683" r:id="rId6" name="Button 3">
              <controlPr defaultSize="0" print="0" autoFill="0" autoPict="0" macro="[0]!AddColumn">
                <anchor moveWithCells="1">
                  <from>
                    <xdr:col>8</xdr:col>
                    <xdr:colOff>219075</xdr:colOff>
                    <xdr:row>0</xdr:row>
                    <xdr:rowOff>142875</xdr:rowOff>
                  </from>
                  <to>
                    <xdr:col>8</xdr:col>
                    <xdr:colOff>733425</xdr:colOff>
                    <xdr:row>0</xdr:row>
                    <xdr:rowOff>400050</xdr:rowOff>
                  </to>
                </anchor>
              </controlPr>
            </control>
          </mc:Choice>
        </mc:AlternateContent>
        <mc:AlternateContent xmlns:mc="http://schemas.openxmlformats.org/markup-compatibility/2006">
          <mc:Choice Requires="x14">
            <control shapeId="71684" r:id="rId7" name="Button 4">
              <controlPr defaultSize="0" print="0" autoFill="0" autoPict="0" macro="[0]!DeleteColumn">
                <anchor moveWithCells="1">
                  <from>
                    <xdr:col>9</xdr:col>
                    <xdr:colOff>85725</xdr:colOff>
                    <xdr:row>0</xdr:row>
                    <xdr:rowOff>142875</xdr:rowOff>
                  </from>
                  <to>
                    <xdr:col>9</xdr:col>
                    <xdr:colOff>628650</xdr:colOff>
                    <xdr:row>0</xdr:row>
                    <xdr:rowOff>400050</xdr:rowOff>
                  </to>
                </anchor>
              </controlPr>
            </control>
          </mc:Choice>
        </mc:AlternateContent>
        <mc:AlternateContent xmlns:mc="http://schemas.openxmlformats.org/markup-compatibility/2006">
          <mc:Choice Requires="x14">
            <control shapeId="71685" r:id="rId8" name="Button 5">
              <controlPr defaultSize="0" print="0" autoFill="0" autoPict="0" macro="[0]!AddRow">
                <anchor moveWithCells="1">
                  <from>
                    <xdr:col>11</xdr:col>
                    <xdr:colOff>85725</xdr:colOff>
                    <xdr:row>0</xdr:row>
                    <xdr:rowOff>104775</xdr:rowOff>
                  </from>
                  <to>
                    <xdr:col>12</xdr:col>
                    <xdr:colOff>152400</xdr:colOff>
                    <xdr:row>0</xdr:row>
                    <xdr:rowOff>361950</xdr:rowOff>
                  </to>
                </anchor>
              </controlPr>
            </control>
          </mc:Choice>
        </mc:AlternateContent>
        <mc:AlternateContent xmlns:mc="http://schemas.openxmlformats.org/markup-compatibility/2006">
          <mc:Choice Requires="x14">
            <control shapeId="71686" r:id="rId9" name="Button 6">
              <controlPr defaultSize="0" print="0" autoFill="0" autoPict="0" macro="[0]!DeleteRow">
                <anchor moveWithCells="1">
                  <from>
                    <xdr:col>12</xdr:col>
                    <xdr:colOff>304800</xdr:colOff>
                    <xdr:row>0</xdr:row>
                    <xdr:rowOff>104775</xdr:rowOff>
                  </from>
                  <to>
                    <xdr:col>13</xdr:col>
                    <xdr:colOff>19050</xdr:colOff>
                    <xdr:row>0</xdr:row>
                    <xdr:rowOff>361950</xdr:rowOff>
                  </to>
                </anchor>
              </controlPr>
            </control>
          </mc:Choice>
        </mc:AlternateContent>
        <mc:AlternateContent xmlns:mc="http://schemas.openxmlformats.org/markup-compatibility/2006">
          <mc:Choice Requires="x14">
            <control shapeId="71687" r:id="rId10" name="Button 7">
              <controlPr defaultSize="0" print="0" autoFill="0" autoPict="0" macro="[0]!AddColumn">
                <anchor moveWithCells="1">
                  <from>
                    <xdr:col>23</xdr:col>
                    <xdr:colOff>838200</xdr:colOff>
                    <xdr:row>0</xdr:row>
                    <xdr:rowOff>104775</xdr:rowOff>
                  </from>
                  <to>
                    <xdr:col>24</xdr:col>
                    <xdr:colOff>447675</xdr:colOff>
                    <xdr:row>0</xdr:row>
                    <xdr:rowOff>361950</xdr:rowOff>
                  </to>
                </anchor>
              </controlPr>
            </control>
          </mc:Choice>
        </mc:AlternateContent>
        <mc:AlternateContent xmlns:mc="http://schemas.openxmlformats.org/markup-compatibility/2006">
          <mc:Choice Requires="x14">
            <control shapeId="71688" r:id="rId11" name="Button 8">
              <controlPr defaultSize="0" print="0" autoFill="0" autoPict="0" macro="[0]!DeleteColumn">
                <anchor moveWithCells="1">
                  <from>
                    <xdr:col>24</xdr:col>
                    <xdr:colOff>581025</xdr:colOff>
                    <xdr:row>0</xdr:row>
                    <xdr:rowOff>104775</xdr:rowOff>
                  </from>
                  <to>
                    <xdr:col>25</xdr:col>
                    <xdr:colOff>504825</xdr:colOff>
                    <xdr:row>0</xdr:row>
                    <xdr:rowOff>361950</xdr:rowOff>
                  </to>
                </anchor>
              </controlPr>
            </control>
          </mc:Choice>
        </mc:AlternateContent>
        <mc:AlternateContent xmlns:mc="http://schemas.openxmlformats.org/markup-compatibility/2006">
          <mc:Choice Requires="x14">
            <control shapeId="71690" r:id="rId12" name="Button 10">
              <controlPr defaultSize="0" print="0" autoFill="0" autoPict="0" macro="[0]!CopyToTable">
                <anchor moveWithCells="1">
                  <from>
                    <xdr:col>9</xdr:col>
                    <xdr:colOff>390525</xdr:colOff>
                    <xdr:row>19</xdr:row>
                    <xdr:rowOff>171450</xdr:rowOff>
                  </from>
                  <to>
                    <xdr:col>9</xdr:col>
                    <xdr:colOff>933450</xdr:colOff>
                    <xdr:row>20</xdr:row>
                    <xdr:rowOff>200025</xdr:rowOff>
                  </to>
                </anchor>
              </controlPr>
            </control>
          </mc:Choice>
        </mc:AlternateContent>
        <mc:AlternateContent xmlns:mc="http://schemas.openxmlformats.org/markup-compatibility/2006">
          <mc:Choice Requires="x14">
            <control shapeId="71693" r:id="rId13" name="Option Button 13">
              <controlPr defaultSize="0" autoFill="0" autoLine="0" autoPict="0" macro="[0]!DoiDonViHienThi">
                <anchor moveWithCells="1">
                  <from>
                    <xdr:col>16</xdr:col>
                    <xdr:colOff>495300</xdr:colOff>
                    <xdr:row>0</xdr:row>
                    <xdr:rowOff>152400</xdr:rowOff>
                  </from>
                  <to>
                    <xdr:col>17</xdr:col>
                    <xdr:colOff>304800</xdr:colOff>
                    <xdr:row>0</xdr:row>
                    <xdr:rowOff>428625</xdr:rowOff>
                  </to>
                </anchor>
              </controlPr>
            </control>
          </mc:Choice>
        </mc:AlternateContent>
        <mc:AlternateContent xmlns:mc="http://schemas.openxmlformats.org/markup-compatibility/2006">
          <mc:Choice Requires="x14">
            <control shapeId="71694" r:id="rId14" name="Option Button 14">
              <controlPr defaultSize="0" autoFill="0" autoLine="0" autoPict="0" macro="[0]!DoiDonViHienThi">
                <anchor moveWithCells="1">
                  <from>
                    <xdr:col>17</xdr:col>
                    <xdr:colOff>180975</xdr:colOff>
                    <xdr:row>0</xdr:row>
                    <xdr:rowOff>152400</xdr:rowOff>
                  </from>
                  <to>
                    <xdr:col>17</xdr:col>
                    <xdr:colOff>771525</xdr:colOff>
                    <xdr:row>0</xdr:row>
                    <xdr:rowOff>428625</xdr:rowOff>
                  </to>
                </anchor>
              </controlPr>
            </control>
          </mc:Choice>
        </mc:AlternateContent>
        <mc:AlternateContent xmlns:mc="http://schemas.openxmlformats.org/markup-compatibility/2006">
          <mc:Choice Requires="x14">
            <control shapeId="71695" r:id="rId15" name="Option Button 15">
              <controlPr defaultSize="0" autoFill="0" autoLine="0" autoPict="0" macro="[0]!DoiDonViHienThi">
                <anchor moveWithCells="1">
                  <from>
                    <xdr:col>17</xdr:col>
                    <xdr:colOff>647700</xdr:colOff>
                    <xdr:row>0</xdr:row>
                    <xdr:rowOff>152400</xdr:rowOff>
                  </from>
                  <to>
                    <xdr:col>18</xdr:col>
                    <xdr:colOff>361950</xdr:colOff>
                    <xdr:row>0</xdr:row>
                    <xdr:rowOff>428625</xdr:rowOff>
                  </to>
                </anchor>
              </controlPr>
            </control>
          </mc:Choice>
        </mc:AlternateContent>
        <mc:AlternateContent xmlns:mc="http://schemas.openxmlformats.org/markup-compatibility/2006">
          <mc:Choice Requires="x14">
            <control shapeId="71696" r:id="rId16" name="Option Button 16">
              <controlPr defaultSize="0" autoFill="0" autoLine="0" autoPict="0" macro="[0]!DoiDonViHienThi">
                <anchor moveWithCells="1">
                  <from>
                    <xdr:col>18</xdr:col>
                    <xdr:colOff>247650</xdr:colOff>
                    <xdr:row>0</xdr:row>
                    <xdr:rowOff>152400</xdr:rowOff>
                  </from>
                  <to>
                    <xdr:col>18</xdr:col>
                    <xdr:colOff>600075</xdr:colOff>
                    <xdr:row>0</xdr:row>
                    <xdr:rowOff>428625</xdr:rowOff>
                  </to>
                </anchor>
              </controlPr>
            </control>
          </mc:Choice>
        </mc:AlternateContent>
        <mc:AlternateContent xmlns:mc="http://schemas.openxmlformats.org/markup-compatibility/2006">
          <mc:Choice Requires="x14">
            <control shapeId="71697" r:id="rId17" name="Group Box 17">
              <controlPr defaultSize="0" autoFill="0" autoPict="0">
                <anchor moveWithCells="1">
                  <from>
                    <xdr:col>16</xdr:col>
                    <xdr:colOff>381000</xdr:colOff>
                    <xdr:row>0</xdr:row>
                    <xdr:rowOff>104775</xdr:rowOff>
                  </from>
                  <to>
                    <xdr:col>18</xdr:col>
                    <xdr:colOff>714375</xdr:colOff>
                    <xdr:row>0</xdr:row>
                    <xdr:rowOff>466725</xdr:rowOff>
                  </to>
                </anchor>
              </controlPr>
            </control>
          </mc:Choice>
        </mc:AlternateContent>
        <mc:AlternateContent xmlns:mc="http://schemas.openxmlformats.org/markup-compatibility/2006">
          <mc:Choice Requires="x14">
            <control shapeId="71698" r:id="rId18" name="Group Box 18">
              <controlPr defaultSize="0" autoFill="0" autoPict="0">
                <anchor moveWithCells="1">
                  <from>
                    <xdr:col>13</xdr:col>
                    <xdr:colOff>104775</xdr:colOff>
                    <xdr:row>0</xdr:row>
                    <xdr:rowOff>104775</xdr:rowOff>
                  </from>
                  <to>
                    <xdr:col>16</xdr:col>
                    <xdr:colOff>333375</xdr:colOff>
                    <xdr:row>0</xdr:row>
                    <xdr:rowOff>466725</xdr:rowOff>
                  </to>
                </anchor>
              </controlPr>
            </control>
          </mc:Choice>
        </mc:AlternateContent>
        <mc:AlternateContent xmlns:mc="http://schemas.openxmlformats.org/markup-compatibility/2006">
          <mc:Choice Requires="x14">
            <control shapeId="71699" r:id="rId19" name="Button 19">
              <controlPr defaultSize="0" autoFill="0" autoPict="0" macro="[0]!NhanNghin">
                <anchor moveWithCells="1">
                  <from>
                    <xdr:col>13</xdr:col>
                    <xdr:colOff>190500</xdr:colOff>
                    <xdr:row>0</xdr:row>
                    <xdr:rowOff>200025</xdr:rowOff>
                  </from>
                  <to>
                    <xdr:col>14</xdr:col>
                    <xdr:colOff>228600</xdr:colOff>
                    <xdr:row>0</xdr:row>
                    <xdr:rowOff>371475</xdr:rowOff>
                  </to>
                </anchor>
              </controlPr>
            </control>
          </mc:Choice>
        </mc:AlternateContent>
        <mc:AlternateContent xmlns:mc="http://schemas.openxmlformats.org/markup-compatibility/2006">
          <mc:Choice Requires="x14">
            <control shapeId="71700" r:id="rId20" name="Button 20">
              <controlPr defaultSize="0" autoFill="0" autoPict="0" macro="[0]!NhanTrieu">
                <anchor moveWithCells="1">
                  <from>
                    <xdr:col>14</xdr:col>
                    <xdr:colOff>276225</xdr:colOff>
                    <xdr:row>0</xdr:row>
                    <xdr:rowOff>200025</xdr:rowOff>
                  </from>
                  <to>
                    <xdr:col>15</xdr:col>
                    <xdr:colOff>285750</xdr:colOff>
                    <xdr:row>0</xdr:row>
                    <xdr:rowOff>371475</xdr:rowOff>
                  </to>
                </anchor>
              </controlPr>
            </control>
          </mc:Choice>
        </mc:AlternateContent>
        <mc:AlternateContent xmlns:mc="http://schemas.openxmlformats.org/markup-compatibility/2006">
          <mc:Choice Requires="x14">
            <control shapeId="71701" r:id="rId21" name="Button 21">
              <controlPr defaultSize="0" autoFill="0" autoPict="0" macro="[0]!NhanTy">
                <anchor moveWithCells="1">
                  <from>
                    <xdr:col>15</xdr:col>
                    <xdr:colOff>333375</xdr:colOff>
                    <xdr:row>0</xdr:row>
                    <xdr:rowOff>200025</xdr:rowOff>
                  </from>
                  <to>
                    <xdr:col>16</xdr:col>
                    <xdr:colOff>257175</xdr:colOff>
                    <xdr:row>0</xdr:row>
                    <xdr:rowOff>371475</xdr:rowOff>
                  </to>
                </anchor>
              </controlPr>
            </control>
          </mc:Choice>
        </mc:AlternateContent>
        <mc:AlternateContent xmlns:mc="http://schemas.openxmlformats.org/markup-compatibility/2006">
          <mc:Choice Requires="x14">
            <control shapeId="71689" r:id="rId22" name="Button 9">
              <controlPr defaultSize="0" print="0" autoFill="0" autoPict="0" macro="[0]!CopyToTable">
                <anchor moveWithCells="1">
                  <from>
                    <xdr:col>26</xdr:col>
                    <xdr:colOff>38100</xdr:colOff>
                    <xdr:row>19</xdr:row>
                    <xdr:rowOff>152400</xdr:rowOff>
                  </from>
                  <to>
                    <xdr:col>27</xdr:col>
                    <xdr:colOff>66675</xdr:colOff>
                    <xdr:row>20</xdr:row>
                    <xdr:rowOff>180975</xdr:rowOff>
                  </to>
                </anchor>
              </controlPr>
            </control>
          </mc:Choice>
        </mc:AlternateContent>
      </controls>
    </mc:Choice>
  </mc:AlternateContent>
  <tableParts count="3">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A1:XFD19 A27:XFD1048576 A20:K26 AE20:XFD26 L20:AD22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T20</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6" customWidth="1"/>
    <col min="2" max="2" width="18.625" style="386" customWidth="1"/>
    <col min="3" max="3" width="9" style="386" customWidth="1"/>
    <col min="4" max="4" width="10" style="386" customWidth="1"/>
    <col min="5" max="5" width="9" style="386"/>
    <col min="6" max="6" width="7.375" style="386" customWidth="1"/>
    <col min="7" max="7" width="9" style="386"/>
    <col min="8" max="8" width="7.75" style="386" customWidth="1"/>
    <col min="9" max="9" width="7.875" style="386" customWidth="1"/>
    <col min="10" max="10" width="9.5" style="386" customWidth="1"/>
    <col min="11" max="11" width="7.25" style="386" customWidth="1"/>
    <col min="12" max="16" width="9" style="386"/>
    <col min="17" max="17" width="11.25" style="386" customWidth="1"/>
    <col min="18" max="22" width="9" style="386"/>
    <col min="23" max="23" width="11.5" style="386" customWidth="1"/>
    <col min="24" max="16384" width="9" style="386"/>
  </cols>
  <sheetData>
    <row r="2" spans="2:23" ht="19.5" customHeight="1" x14ac:dyDescent="0.3"/>
    <row r="3" spans="2:23" x14ac:dyDescent="0.3">
      <c r="B3" s="385" t="s">
        <v>907</v>
      </c>
      <c r="C3" s="385"/>
    </row>
    <row r="4" spans="2:23" x14ac:dyDescent="0.3">
      <c r="B4" s="387" t="s">
        <v>906</v>
      </c>
      <c r="C4" s="432" t="str" cm="1">
        <f t="array" ref="C4">Code128(MaIn)</f>
        <v>ÌEasyFIRMaÎ</v>
      </c>
    </row>
    <row r="5" spans="2:23" x14ac:dyDescent="0.3">
      <c r="C5" s="388"/>
    </row>
    <row r="6" spans="2:23" x14ac:dyDescent="0.3">
      <c r="B6" s="386" t="s">
        <v>908</v>
      </c>
      <c r="D6" s="386" t="s">
        <v>908</v>
      </c>
      <c r="F6" s="388"/>
      <c r="G6" s="386" t="s">
        <v>909</v>
      </c>
      <c r="J6" s="386" t="s">
        <v>909</v>
      </c>
      <c r="M6" s="386" t="s">
        <v>911</v>
      </c>
      <c r="S6" s="386" t="s">
        <v>911</v>
      </c>
    </row>
    <row r="9" spans="2:23" x14ac:dyDescent="0.3">
      <c r="E9" s="389" t="str">
        <f>MaIn</f>
        <v>EasyFIRM</v>
      </c>
      <c r="K9" s="390"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89" t="str">
        <f>MaIn</f>
        <v>EasyFIRM</v>
      </c>
      <c r="G11" s="390" t="str">
        <f>MaIn</f>
        <v>EasyFIRM</v>
      </c>
      <c r="H11" s="15" t="str" cm="1">
        <f t="array" ref="H11">IFERROR(VLOOKUP(MaIn,Table_SKU[],Table_SKU[[#Headers],[Mã SKU]:[Giá bán]],0),"")</f>
        <v/>
      </c>
    </row>
    <row r="12" spans="2:23" x14ac:dyDescent="0.3">
      <c r="B12" s="391" t="str" cm="1">
        <f t="array" ref="B12">IFERROR(VLOOKUP(MaIn,Table_SKU[],Table_SKU[[#Headers],[Mã SKU]:[Giá bán]],0),"")</f>
        <v/>
      </c>
    </row>
    <row r="13" spans="2:23" ht="17.25" x14ac:dyDescent="0.3">
      <c r="M13" s="383" t="str">
        <f>Sheet_DonBan!B1</f>
        <v>Công ty ABC XYZ</v>
      </c>
      <c r="N13" s="248"/>
      <c r="O13" s="248"/>
      <c r="P13" s="383" t="str">
        <f>Sheet_DonBan!Q1</f>
        <v>ĐƠN BÁN HÀNG</v>
      </c>
      <c r="Q13" s="248"/>
      <c r="S13" s="383" t="str">
        <f>Sheet_VanDon!B1</f>
        <v>Công ty ABC XYZ</v>
      </c>
      <c r="T13" s="248"/>
      <c r="U13" s="248"/>
      <c r="V13" s="383" t="str">
        <f>Sheet_VanDon!I1</f>
        <v>PHIẾU GIAO HÀNG</v>
      </c>
      <c r="W13" s="248"/>
    </row>
    <row r="14" spans="2:23" x14ac:dyDescent="0.3">
      <c r="M14" s="249" t="str">
        <f>Sheet_DonBan!B4</f>
        <v>[Địa chỉ]</v>
      </c>
      <c r="N14" s="249"/>
      <c r="O14" s="249"/>
      <c r="P14" s="249" t="str">
        <f>Sheet_DonBan!P4</f>
        <v>BAN--100-1</v>
      </c>
      <c r="Q14" s="248"/>
      <c r="S14" s="249" t="str">
        <f>Sheet_VanDon!B4</f>
        <v>[Địa chỉ]</v>
      </c>
      <c r="T14" s="249"/>
      <c r="U14" s="249"/>
      <c r="V14" s="249" t="str">
        <f>Sheet_VanDon!H4</f>
        <v>GIAO--100-1</v>
      </c>
      <c r="W14" s="248"/>
    </row>
    <row r="15" spans="2:23" x14ac:dyDescent="0.3">
      <c r="M15" s="249" t="str">
        <f>Sheet_DonBan!B6</f>
        <v>[SĐT - Fax]</v>
      </c>
      <c r="N15" s="249"/>
      <c r="O15" s="249"/>
      <c r="P15" s="446">
        <f>Sheet_DonBan!P5</f>
        <v>0</v>
      </c>
      <c r="Q15" s="248"/>
      <c r="S15" s="249" t="str">
        <f>Sheet_VanDon!B6</f>
        <v>[SĐT - Fax]</v>
      </c>
      <c r="T15" s="249"/>
      <c r="U15" s="249"/>
      <c r="V15" s="446">
        <f>Sheet_VanDon!H5</f>
        <v>0</v>
      </c>
      <c r="W15" s="248"/>
    </row>
    <row r="16" spans="2:23" x14ac:dyDescent="0.3">
      <c r="M16" s="248"/>
      <c r="N16" s="248"/>
      <c r="O16" s="248"/>
      <c r="P16" s="248"/>
      <c r="Q16" s="248"/>
      <c r="S16" s="248"/>
      <c r="T16" s="248"/>
      <c r="U16" s="248"/>
      <c r="V16" s="248"/>
      <c r="W16" s="248"/>
    </row>
    <row r="17" spans="13:23" x14ac:dyDescent="0.3">
      <c r="M17" s="384" t="s">
        <v>173</v>
      </c>
      <c r="N17" s="384" t="str">
        <f>Sheet_DonBan!E11</f>
        <v/>
      </c>
      <c r="O17" s="384"/>
      <c r="P17" s="384"/>
      <c r="Q17" s="384"/>
      <c r="S17" s="384" t="s">
        <v>173</v>
      </c>
      <c r="T17" s="384" t="str">
        <f>Sheet_VanDon!F12</f>
        <v/>
      </c>
      <c r="U17" s="384"/>
      <c r="V17" s="384"/>
      <c r="W17" s="384"/>
    </row>
    <row r="18" spans="13:23" x14ac:dyDescent="0.3">
      <c r="M18" s="384"/>
      <c r="N18" s="384" t="str">
        <f>Sheet_DonBan!E12</f>
        <v xml:space="preserve"> -  - </v>
      </c>
      <c r="O18" s="384"/>
      <c r="P18" s="384"/>
      <c r="Q18" s="384"/>
      <c r="S18" s="384"/>
      <c r="T18" s="384" t="str">
        <f>Sheet_VanDon!F13</f>
        <v xml:space="preserve"> -  - </v>
      </c>
      <c r="U18" s="384"/>
      <c r="V18" s="384"/>
      <c r="W18" s="384"/>
    </row>
    <row r="19" spans="13:23" x14ac:dyDescent="0.3">
      <c r="M19" s="384"/>
      <c r="N19" s="384" t="str">
        <f>Sheet_DonBan!E13</f>
        <v/>
      </c>
      <c r="O19" s="384"/>
      <c r="P19" s="384"/>
      <c r="Q19" s="384"/>
      <c r="S19" s="384"/>
      <c r="T19" s="384" t="str">
        <f>Sheet_VanDon!F14</f>
        <v/>
      </c>
      <c r="U19" s="384"/>
      <c r="V19" s="384"/>
      <c r="W19" s="384"/>
    </row>
    <row r="20" spans="13:23" ht="17.25" x14ac:dyDescent="0.3">
      <c r="M20" s="249" t="s">
        <v>707</v>
      </c>
      <c r="N20" s="249"/>
      <c r="O20" s="346"/>
      <c r="P20" s="249" t="s">
        <v>30</v>
      </c>
      <c r="Q20" s="249" t="s">
        <v>709</v>
      </c>
      <c r="S20" s="249" t="s">
        <v>707</v>
      </c>
      <c r="T20" s="249"/>
      <c r="U20" s="346"/>
      <c r="V20" s="249" t="s">
        <v>30</v>
      </c>
      <c r="W20" s="249" t="s">
        <v>709</v>
      </c>
    </row>
    <row r="21" spans="13:23" x14ac:dyDescent="0.3">
      <c r="M21" s="249" t="str">
        <f>Sheet_DonBan!D17</f>
        <v/>
      </c>
      <c r="N21" s="249"/>
      <c r="O21" s="249"/>
      <c r="P21" s="249">
        <f>Sheet_DonBan!E17</f>
        <v>0</v>
      </c>
      <c r="Q21" s="249" t="str">
        <f>Sheet_DonBan!P17</f>
        <v/>
      </c>
      <c r="S21" s="249" t="str">
        <f>Sheet_VanDon!E18</f>
        <v/>
      </c>
      <c r="T21" s="249"/>
      <c r="U21" s="249"/>
      <c r="V21" s="249">
        <f>Sheet_VanDon!G18</f>
        <v>0</v>
      </c>
      <c r="W21" s="249" t="str">
        <f>Sheet_VanDon!I18</f>
        <v/>
      </c>
    </row>
    <row r="22" spans="13:23" x14ac:dyDescent="0.3">
      <c r="M22" s="249" t="str">
        <f>Sheet_DonBan!D18</f>
        <v/>
      </c>
      <c r="N22" s="21"/>
      <c r="O22" s="21"/>
      <c r="P22" s="249">
        <f>Sheet_DonBan!E18</f>
        <v>0</v>
      </c>
      <c r="Q22" s="249" t="str">
        <f>Sheet_DonBan!P18</f>
        <v/>
      </c>
      <c r="S22" s="249" t="str">
        <f>Sheet_VanDon!E19</f>
        <v/>
      </c>
      <c r="T22" s="7"/>
      <c r="U22" s="7"/>
      <c r="V22" s="249">
        <f>Sheet_VanDon!G19</f>
        <v>0</v>
      </c>
      <c r="W22" s="249" t="str">
        <f>Sheet_VanDon!I19</f>
        <v/>
      </c>
    </row>
    <row r="23" spans="13:23" x14ac:dyDescent="0.3">
      <c r="M23" s="249" t="str">
        <f>Sheet_DonBan!D19</f>
        <v/>
      </c>
      <c r="N23" s="21"/>
      <c r="O23" s="21"/>
      <c r="P23" s="249">
        <f>Sheet_DonBan!E19</f>
        <v>0</v>
      </c>
      <c r="Q23" s="249" t="str">
        <f>Sheet_DonBan!P19</f>
        <v/>
      </c>
      <c r="S23" s="249" t="str">
        <f>Sheet_VanDon!E20</f>
        <v/>
      </c>
      <c r="T23" s="7"/>
      <c r="U23" s="7"/>
      <c r="V23" s="249">
        <f>Sheet_VanDon!G20</f>
        <v>0</v>
      </c>
      <c r="W23" s="249" t="str">
        <f>Sheet_VanDon!I20</f>
        <v/>
      </c>
    </row>
    <row r="24" spans="13:23" x14ac:dyDescent="0.3">
      <c r="M24" s="249" t="str">
        <f>Sheet_DonBan!D20</f>
        <v/>
      </c>
      <c r="N24" s="21"/>
      <c r="O24" s="21"/>
      <c r="P24" s="249">
        <f>Sheet_DonBan!E20</f>
        <v>0</v>
      </c>
      <c r="Q24" s="249" t="str">
        <f>Sheet_DonBan!P20</f>
        <v/>
      </c>
      <c r="S24" s="249" t="str">
        <f>Sheet_VanDon!E21</f>
        <v/>
      </c>
      <c r="T24" s="7"/>
      <c r="U24" s="7"/>
      <c r="V24" s="249">
        <f>Sheet_VanDon!G21</f>
        <v>0</v>
      </c>
      <c r="W24" s="249" t="str">
        <f>Sheet_VanDon!I21</f>
        <v/>
      </c>
    </row>
    <row r="25" spans="13:23" x14ac:dyDescent="0.3">
      <c r="M25" s="249" t="str">
        <f>Sheet_DonBan!D21</f>
        <v/>
      </c>
      <c r="N25" s="21"/>
      <c r="O25" s="21"/>
      <c r="P25" s="249">
        <f>Sheet_DonBan!E21</f>
        <v>0</v>
      </c>
      <c r="Q25" s="249" t="str">
        <f>Sheet_DonBan!P21</f>
        <v/>
      </c>
      <c r="S25" s="249" t="str">
        <f>Sheet_VanDon!E22</f>
        <v/>
      </c>
      <c r="T25" s="21"/>
      <c r="U25" s="21"/>
      <c r="V25" s="249">
        <f>Sheet_VanDon!G22</f>
        <v>0</v>
      </c>
      <c r="W25" s="249" t="str">
        <f>Sheet_VanDon!I22</f>
        <v/>
      </c>
    </row>
    <row r="26" spans="13:23" x14ac:dyDescent="0.3">
      <c r="M26" s="249" t="str">
        <f>Sheet_DonBan!D22</f>
        <v/>
      </c>
      <c r="N26" s="249"/>
      <c r="O26" s="249"/>
      <c r="P26" s="249">
        <f>Sheet_DonBan!E22</f>
        <v>0</v>
      </c>
      <c r="Q26" s="249" t="str">
        <f>Sheet_DonBan!P22</f>
        <v/>
      </c>
      <c r="S26" s="249" t="str">
        <f>Sheet_VanDon!E23</f>
        <v/>
      </c>
      <c r="T26" s="249"/>
      <c r="U26" s="249"/>
      <c r="V26" s="249">
        <f>Sheet_VanDon!G23</f>
        <v>0</v>
      </c>
      <c r="W26" s="249" t="str">
        <f>Sheet_VanDon!I23</f>
        <v/>
      </c>
    </row>
    <row r="27" spans="13:23" x14ac:dyDescent="0.3">
      <c r="M27" s="249" t="str">
        <f>Sheet_DonBan!D23</f>
        <v/>
      </c>
      <c r="N27" s="249"/>
      <c r="O27" s="249"/>
      <c r="P27" s="249">
        <f>Sheet_DonBan!E23</f>
        <v>0</v>
      </c>
      <c r="Q27" s="249" t="str">
        <f>Sheet_DonBan!P23</f>
        <v/>
      </c>
      <c r="S27" s="249" t="str">
        <f>Sheet_VanDon!E24</f>
        <v/>
      </c>
      <c r="T27" s="249"/>
      <c r="U27" s="249"/>
      <c r="V27" s="249">
        <f>Sheet_VanDon!G24</f>
        <v>0</v>
      </c>
      <c r="W27" s="249" t="str">
        <f>Sheet_VanDon!I24</f>
        <v/>
      </c>
    </row>
    <row r="28" spans="13:23" x14ac:dyDescent="0.3">
      <c r="M28" s="249" t="str">
        <f>Sheet_DonBan!D24</f>
        <v/>
      </c>
      <c r="N28" s="249"/>
      <c r="O28" s="249"/>
      <c r="P28" s="249">
        <f>Sheet_DonBan!E24</f>
        <v>0</v>
      </c>
      <c r="Q28" s="249" t="str">
        <f>Sheet_DonBan!P24</f>
        <v/>
      </c>
      <c r="S28" s="249" t="str">
        <f>Sheet_VanDon!E25</f>
        <v/>
      </c>
      <c r="T28" s="249"/>
      <c r="U28" s="249"/>
      <c r="V28" s="249">
        <f>Sheet_VanDon!G25</f>
        <v>0</v>
      </c>
      <c r="W28" s="249" t="str">
        <f>Sheet_VanDon!I25</f>
        <v/>
      </c>
    </row>
    <row r="29" spans="13:23" x14ac:dyDescent="0.3">
      <c r="M29" s="249" t="str">
        <f>Sheet_DonBan!D25</f>
        <v/>
      </c>
      <c r="N29" s="249"/>
      <c r="O29" s="249"/>
      <c r="P29" s="249">
        <f>Sheet_DonBan!E25</f>
        <v>0</v>
      </c>
      <c r="Q29" s="249" t="str">
        <f>Sheet_DonBan!P25</f>
        <v/>
      </c>
      <c r="S29" s="249" t="str">
        <f>Sheet_VanDon!E26</f>
        <v/>
      </c>
      <c r="T29" s="249"/>
      <c r="U29" s="249"/>
      <c r="V29" s="249">
        <f>Sheet_VanDon!G26</f>
        <v>0</v>
      </c>
      <c r="W29" s="249" t="str">
        <f>Sheet_VanDon!I26</f>
        <v/>
      </c>
    </row>
    <row r="30" spans="13:23" x14ac:dyDescent="0.3">
      <c r="M30" s="249" t="str">
        <f>Sheet_DonBan!D26</f>
        <v/>
      </c>
      <c r="N30" s="249"/>
      <c r="O30" s="249"/>
      <c r="P30" s="249">
        <f>Sheet_DonBan!E26</f>
        <v>0</v>
      </c>
      <c r="Q30" s="249">
        <f>Sheet_DonBan!P26</f>
        <v>0</v>
      </c>
      <c r="S30" s="249" t="str">
        <f>Sheet_VanDon!E27</f>
        <v/>
      </c>
      <c r="T30" s="249"/>
      <c r="U30" s="249"/>
      <c r="V30" s="249">
        <f>Sheet_VanDon!G27</f>
        <v>0</v>
      </c>
      <c r="W30" s="249" t="str">
        <f>Sheet_VanDon!I27</f>
        <v/>
      </c>
    </row>
    <row r="31" spans="13:23" x14ac:dyDescent="0.3">
      <c r="M31" s="249" t="str">
        <f>Sheet_DonBan!D27</f>
        <v/>
      </c>
      <c r="N31" s="249"/>
      <c r="O31" s="249"/>
      <c r="P31" s="249">
        <f>Sheet_DonBan!E27</f>
        <v>0</v>
      </c>
      <c r="Q31" s="249" t="str">
        <f>Sheet_DonBan!P27</f>
        <v/>
      </c>
      <c r="S31" s="249" t="str">
        <f>Sheet_VanDon!E28</f>
        <v/>
      </c>
      <c r="T31" s="249"/>
      <c r="U31" s="249"/>
      <c r="V31" s="249">
        <f>Sheet_VanDon!G28</f>
        <v>0</v>
      </c>
      <c r="W31" s="249" t="str">
        <f>Sheet_VanDon!I28</f>
        <v/>
      </c>
    </row>
    <row r="32" spans="13:23" x14ac:dyDescent="0.3">
      <c r="M32" s="249" t="str">
        <f>Sheet_DonBan!D28</f>
        <v/>
      </c>
      <c r="N32" s="21"/>
      <c r="O32" s="21"/>
      <c r="P32" s="249">
        <f>Sheet_DonBan!E28</f>
        <v>0</v>
      </c>
      <c r="Q32" s="249" t="str">
        <f>Sheet_DonBan!P28</f>
        <v/>
      </c>
      <c r="S32" s="249" t="str">
        <f>Sheet_VanDon!E29</f>
        <v/>
      </c>
      <c r="T32" s="21"/>
      <c r="U32" s="21"/>
      <c r="V32" s="249">
        <f>Sheet_VanDon!G29</f>
        <v>0</v>
      </c>
      <c r="W32" s="249" t="str">
        <f>Sheet_VanDon!I29</f>
        <v/>
      </c>
    </row>
    <row r="33" spans="13:23" x14ac:dyDescent="0.3">
      <c r="M33" s="249"/>
      <c r="N33" s="21"/>
      <c r="O33" s="21"/>
      <c r="P33" s="7"/>
      <c r="Q33" s="7"/>
      <c r="S33" s="249"/>
      <c r="T33" s="21"/>
      <c r="U33" s="21"/>
      <c r="V33" s="7"/>
      <c r="W33" s="7"/>
    </row>
    <row r="34" spans="13:23" ht="17.25" x14ac:dyDescent="0.3">
      <c r="M34" s="249" t="s">
        <v>709</v>
      </c>
      <c r="N34" s="249">
        <f>Sheet_DonBan!P30</f>
        <v>0</v>
      </c>
      <c r="O34" s="346"/>
      <c r="P34" s="249" t="s">
        <v>693</v>
      </c>
      <c r="Q34" s="249">
        <f>Sheet_DonBan!P35</f>
        <v>0</v>
      </c>
      <c r="S34" s="249" t="s">
        <v>709</v>
      </c>
      <c r="T34" s="249">
        <f>Sheet_VanDon!I31</f>
        <v>0</v>
      </c>
      <c r="V34" s="249" t="s">
        <v>721</v>
      </c>
      <c r="W34" s="249">
        <f>Sheet_VanDon!I33</f>
        <v>0</v>
      </c>
    </row>
    <row r="35" spans="13:23" ht="17.25" x14ac:dyDescent="0.3">
      <c r="M35" s="249" t="s">
        <v>721</v>
      </c>
      <c r="N35" s="249">
        <f>Sheet_DonBan!P34</f>
        <v>0</v>
      </c>
      <c r="O35" s="346"/>
      <c r="P35" s="249" t="s">
        <v>910</v>
      </c>
      <c r="Q35" s="382">
        <f>Sheet_DonBan!P36</f>
        <v>0</v>
      </c>
      <c r="S35" s="249" t="s">
        <v>754</v>
      </c>
      <c r="T35" s="249">
        <f>Sheet_VanDon!I32</f>
        <v>0</v>
      </c>
      <c r="V35" s="249" t="s">
        <v>693</v>
      </c>
      <c r="W35" s="249">
        <f>Sheet_VanDon!I34</f>
        <v>0</v>
      </c>
    </row>
    <row r="36" spans="13:23" x14ac:dyDescent="0.3">
      <c r="S36" s="249" t="s">
        <v>910</v>
      </c>
      <c r="T36" s="382">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J17"/>
  <sheetViews>
    <sheetView showGridLines="0" topLeftCell="A9" workbookViewId="0">
      <selection activeCell="I16" sqref="I16"/>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0"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row>
    <row r="2" spans="1:10" s="95" customFormat="1" ht="18" customHeight="1" x14ac:dyDescent="0.3">
      <c r="A2" s="271"/>
      <c r="B2" s="271"/>
      <c r="C2" s="271"/>
      <c r="D2" s="271"/>
      <c r="E2" s="271"/>
      <c r="F2" s="271"/>
      <c r="G2" s="271"/>
      <c r="H2" s="271"/>
      <c r="I2" s="271"/>
      <c r="J2" s="271"/>
    </row>
    <row r="3" spans="1:10" s="95" customFormat="1" ht="18" customHeight="1" outlineLevel="1" x14ac:dyDescent="0.3">
      <c r="A3" s="271"/>
      <c r="B3" s="271"/>
      <c r="C3" s="271"/>
      <c r="D3" s="112" t="s">
        <v>848</v>
      </c>
      <c r="E3" s="95" t="str" cm="1">
        <f t="array" ref="E3:G3">TRANSPOSE(_xlfn._xlws.SORT(_xlfn._xlws.FILTER(Table_NhaCungCap[Mã Đối tác],Table_NhaCungCap[Loại đối tác]=D3,"")))</f>
        <v>NCC1</v>
      </c>
      <c r="F3" s="271" t="str">
        <v>NCC2</v>
      </c>
      <c r="G3" s="271" t="str">
        <v>NCC3</v>
      </c>
      <c r="H3" s="271"/>
      <c r="I3" s="271"/>
      <c r="J3" s="271"/>
    </row>
    <row r="4" spans="1:10" s="95" customFormat="1" ht="18" customHeight="1" outlineLevel="1" x14ac:dyDescent="0.3">
      <c r="A4" s="271"/>
      <c r="B4" s="271"/>
      <c r="C4" s="271"/>
      <c r="D4" s="112" t="s">
        <v>37</v>
      </c>
      <c r="E4" s="95" t="str" cm="1">
        <f t="array" ref="E4">TRANSPOSE(_xlfn._xlws.SORT(_xlfn._xlws.FILTER(Table_NhaCungCap[Mã Đối tác],Table_NhaCungCap[Loại đối tác]=D4,"")))</f>
        <v/>
      </c>
      <c r="F4" s="271"/>
      <c r="G4" s="271"/>
      <c r="H4" s="271"/>
      <c r="I4" s="271"/>
      <c r="J4" s="271"/>
    </row>
    <row r="5" spans="1:10" s="95" customFormat="1" ht="18" customHeight="1" outlineLevel="1" x14ac:dyDescent="0.3">
      <c r="A5" s="271"/>
      <c r="B5" s="271"/>
      <c r="C5" s="271"/>
      <c r="D5" s="112" t="s">
        <v>211</v>
      </c>
      <c r="E5" s="95" t="str" cm="1">
        <f t="array" ref="E5">TRANSPOSE(_xlfn._xlws.SORT(_xlfn._xlws.FILTER(Table_NhaCungCap[Mã Đối tác],Table_NhaCungCap[Loại đối tác]=D5,"")))</f>
        <v/>
      </c>
      <c r="F5" s="271"/>
      <c r="G5" s="271"/>
      <c r="H5" s="271"/>
      <c r="I5" s="271"/>
      <c r="J5" s="271"/>
    </row>
    <row r="6" spans="1:10" s="95" customFormat="1" ht="18" customHeight="1" outlineLevel="1" x14ac:dyDescent="0.3">
      <c r="A6" s="271"/>
      <c r="B6" s="271"/>
      <c r="C6" s="271"/>
      <c r="D6" s="112" t="s">
        <v>849</v>
      </c>
      <c r="E6" s="95" t="str" cm="1">
        <f t="array" ref="E6">TRANSPOSE(_xlfn._xlws.SORT(_xlfn._xlws.FILTER(Table_NhaCungCap[Mã Đối tác],Table_NhaCungCap[Loại đối tác]=D6,"")))</f>
        <v/>
      </c>
      <c r="F6" s="271"/>
      <c r="G6" s="271"/>
      <c r="H6" s="271"/>
      <c r="I6" s="271"/>
      <c r="J6" s="271"/>
    </row>
    <row r="7" spans="1:10" s="95" customFormat="1" ht="18" customHeight="1" outlineLevel="1" x14ac:dyDescent="0.3">
      <c r="A7" s="271"/>
      <c r="B7" s="271"/>
      <c r="C7" s="271"/>
      <c r="D7" s="112" t="s">
        <v>850</v>
      </c>
      <c r="E7" s="95" t="str" cm="1">
        <f t="array" ref="E7">TRANSPOSE(_xlfn._xlws.SORT(_xlfn._xlws.FILTER(Table_NhaCungCap[Mã Đối tác],Table_NhaCungCap[Loại đối tác]=D7,"")))</f>
        <v/>
      </c>
      <c r="F7" s="271"/>
      <c r="G7" s="271"/>
      <c r="H7" s="271"/>
      <c r="I7" s="271"/>
      <c r="J7" s="271"/>
    </row>
    <row r="8" spans="1:10" s="95" customFormat="1" ht="18" customHeight="1" outlineLevel="1" x14ac:dyDescent="0.3">
      <c r="A8" s="271"/>
      <c r="B8" s="271"/>
      <c r="C8" s="271"/>
      <c r="D8" s="112" t="s">
        <v>140</v>
      </c>
      <c r="E8" s="95" t="str" cm="1">
        <f t="array" ref="E8">TRANSPOSE(_xlfn._xlws.SORT(_xlfn._xlws.FILTER(Table_NhaCungCap[Mã Đối tác],Table_NhaCungCap[Loại đối tác]=D8,"")))</f>
        <v/>
      </c>
      <c r="F8" s="271"/>
      <c r="G8" s="271"/>
      <c r="H8" s="271"/>
      <c r="I8" s="271"/>
      <c r="J8" s="271"/>
    </row>
    <row r="9" spans="1:10" s="95" customFormat="1" ht="18" customHeight="1" outlineLevel="1" x14ac:dyDescent="0.3">
      <c r="A9" s="271"/>
      <c r="B9" s="271"/>
      <c r="C9" s="271"/>
      <c r="D9" s="112" t="s">
        <v>851</v>
      </c>
      <c r="E9" s="95" t="str" cm="1">
        <f t="array" ref="E9">TRANSPOSE(_xlfn._xlws.SORT(_xlfn._xlws.FILTER(Table_NhaCungCap[Mã Đối tác],Table_NhaCungCap[Loại đối tác]=D9,"")))</f>
        <v/>
      </c>
      <c r="F9" s="271"/>
      <c r="G9" s="271"/>
      <c r="H9" s="271"/>
      <c r="I9" s="271"/>
      <c r="J9" s="271"/>
    </row>
    <row r="10" spans="1:10" s="95" customFormat="1" ht="18" customHeight="1" outlineLevel="1" x14ac:dyDescent="0.3">
      <c r="A10" s="271"/>
      <c r="B10" s="271"/>
      <c r="C10" s="271"/>
      <c r="D10" s="112" t="s">
        <v>852</v>
      </c>
      <c r="E10" s="95" t="str" cm="1">
        <f t="array" ref="E10">TRANSPOSE(_xlfn._xlws.SORT(_xlfn._xlws.FILTER(Table_NhaCungCap[Mã Đối tác],Table_NhaCungCap[Loại đối tác]=D10,"")))</f>
        <v/>
      </c>
      <c r="F10" s="271"/>
      <c r="G10" s="271"/>
      <c r="H10" s="271"/>
      <c r="I10" s="271"/>
      <c r="J10" s="271"/>
    </row>
    <row r="11" spans="1:10" s="95" customFormat="1" ht="18" customHeight="1" outlineLevel="1" x14ac:dyDescent="0.3">
      <c r="A11" s="271"/>
      <c r="B11" s="271"/>
      <c r="C11" s="271"/>
      <c r="D11" s="112" t="s">
        <v>853</v>
      </c>
      <c r="E11" s="95" t="str" cm="1">
        <f t="array" ref="E11">TRANSPOSE(_xlfn._xlws.SORT(_xlfn._xlws.FILTER(Table_NhaCungCap[Mã Đối tác],Table_NhaCungCap[Loại đối tác]=D11,"")))</f>
        <v/>
      </c>
      <c r="F11" s="271"/>
      <c r="G11" s="271"/>
      <c r="H11" s="271"/>
      <c r="I11" s="271"/>
      <c r="J11" s="271"/>
    </row>
    <row r="12" spans="1:10" s="95" customFormat="1" ht="18" customHeight="1" outlineLevel="1" x14ac:dyDescent="0.3">
      <c r="A12" s="271"/>
      <c r="B12" s="271"/>
      <c r="C12" s="271"/>
      <c r="D12" s="112" t="s">
        <v>854</v>
      </c>
      <c r="E12" s="95" t="str" cm="1">
        <f t="array" ref="E12">TRANSPOSE(_xlfn._xlws.SORT(_xlfn._xlws.FILTER(Table_NhaCungCap[Mã Đối tác],Table_NhaCungCap[Loại đối tác]=D12,"")))</f>
        <v/>
      </c>
      <c r="F12" s="271"/>
      <c r="G12" s="271"/>
      <c r="H12" s="271"/>
      <c r="I12" s="271"/>
      <c r="J12" s="271"/>
    </row>
    <row r="13" spans="1:10" s="95" customFormat="1" ht="18" customHeight="1" outlineLevel="1" x14ac:dyDescent="0.3">
      <c r="A13" s="271"/>
      <c r="B13" s="271"/>
      <c r="C13" s="271"/>
      <c r="D13" s="112" t="s">
        <v>806</v>
      </c>
      <c r="E13" s="271" t="str" cm="1">
        <f t="array" ref="E13:G13">TRANSPOSE(_xlfn._xlws.SORT(Table_NhaCungCap[Mã Đối tác]))</f>
        <v>NCC1</v>
      </c>
      <c r="F13" s="271" t="str">
        <v>NCC2</v>
      </c>
      <c r="G13" s="271" t="str">
        <v>NCC3</v>
      </c>
      <c r="H13" s="271"/>
      <c r="I13" s="271"/>
      <c r="J13" s="271"/>
    </row>
    <row r="14" spans="1:10" s="112" customFormat="1" ht="18" customHeight="1" x14ac:dyDescent="0.3">
      <c r="A14" s="272"/>
      <c r="B14" s="172" t="s">
        <v>698</v>
      </c>
      <c r="C14" s="172" t="s">
        <v>669</v>
      </c>
      <c r="D14" s="172" t="s">
        <v>855</v>
      </c>
      <c r="E14" s="172" t="s">
        <v>541</v>
      </c>
      <c r="F14" s="172" t="s">
        <v>793</v>
      </c>
      <c r="G14" s="172" t="s">
        <v>841</v>
      </c>
      <c r="H14" s="172" t="s">
        <v>267</v>
      </c>
      <c r="I14" s="172" t="s">
        <v>169</v>
      </c>
      <c r="J14" s="7" t="s">
        <v>883</v>
      </c>
    </row>
    <row r="15" spans="1:10" ht="18" customHeight="1" x14ac:dyDescent="0.3">
      <c r="A15" s="242"/>
      <c r="B15" s="261" t="s">
        <v>1170</v>
      </c>
      <c r="C15" s="261"/>
      <c r="D15" s="261" t="s">
        <v>848</v>
      </c>
      <c r="E15" s="261"/>
      <c r="F15" s="261"/>
      <c r="G15" s="261"/>
      <c r="H15" s="261"/>
      <c r="I15" s="115">
        <f>IFERROR(VLOOKUP(Table_NhaCungCap[[#This Row],[Mã Đối tác]],Table_PhaiTra[[Đối tác]:[Add]],COUNTA(Table_PhaiTra[[#Headers],[Đối tác]:[Add]])-1,0),0)</f>
        <v>-252902</v>
      </c>
      <c r="J15" s="261"/>
    </row>
    <row r="16" spans="1:10" ht="18" customHeight="1" x14ac:dyDescent="0.3">
      <c r="B16" s="261" t="s">
        <v>1169</v>
      </c>
      <c r="C16" s="261"/>
      <c r="D16" s="261" t="s">
        <v>848</v>
      </c>
      <c r="E16" s="261"/>
      <c r="F16" s="261"/>
      <c r="G16" s="261"/>
      <c r="H16" s="261"/>
      <c r="I16" s="115">
        <f>IFERROR(VLOOKUP(Table_NhaCungCap[[#This Row],[Mã Đối tác]],Table_PhaiTra[[Đối tác]:[Add]],COUNTA(Table_PhaiTra[[#Headers],[Đối tác]:[Add]])-1,0),0)</f>
        <v>-376901</v>
      </c>
      <c r="J16" s="261"/>
    </row>
    <row r="17" spans="2:10" ht="18" customHeight="1" x14ac:dyDescent="0.3">
      <c r="B17" s="261" t="s">
        <v>1168</v>
      </c>
      <c r="C17" s="261"/>
      <c r="D17" s="261" t="s">
        <v>848</v>
      </c>
      <c r="E17" s="261"/>
      <c r="F17" s="261"/>
      <c r="G17" s="261"/>
      <c r="H17" s="242"/>
      <c r="I17" s="18">
        <f>IFERROR(VLOOKUP(Table_NhaCungCap[[#This Row],[Mã Đối tác]],Table_PhaiTra[[Đối tác]:[Add]],COUNTA(Table_PhaiTra[[#Headers],[Đối tác]:[Add]])-1,0),0)</f>
        <v>430146</v>
      </c>
      <c r="J17" s="261"/>
    </row>
  </sheetData>
  <sheetProtection algorithmName="SHA-512" hashValue="Arlq729QzFFLp7meIMxFaOvsHkOvh4c9hbIDreeDX/J12ZxpTmqOz6BZOd+f5+WzXj6pA+fy2KlYaiIFctAo1w==" saltValue="R2K+QOxGGK+YuoPyjn9eRg==" spinCount="100000" sheet="1" scenarios="1" formatCells="0" formatColumns="0" formatRows="0" insertColumns="0" insertRows="0" deleteColumns="0" deleteRows="0" sort="0" autoFilter="0" pivotTables="0"/>
  <protectedRanges>
    <protectedRange sqref="A14:I14 A1:C13 P1:XFD13 D1:O2 D3:K13 B17:J1048576 A15:A1048576 K14:XFD1048576 B15:I16" name="Range1"/>
    <protectedRange sqref="J14:J16" name="Range1_1"/>
  </protectedRanges>
  <phoneticPr fontId="14" type="noConversion"/>
  <conditionalFormatting sqref="B15:B17">
    <cfRule type="duplicateValues" dxfId="186" priority="672"/>
  </conditionalFormatting>
  <dataValidations count="1">
    <dataValidation type="list" allowBlank="1" showInputMessage="1" showErrorMessage="1" sqref="D15:D17"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P3:XFD13 A3:K13 A14:XFD1048576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10" customFormat="1" ht="18" customHeight="1" x14ac:dyDescent="0.3">
      <c r="A1" s="309">
        <v>0</v>
      </c>
      <c r="B1" s="309">
        <f>+A1+1</f>
        <v>1</v>
      </c>
      <c r="C1" s="309">
        <f>+B1+1</f>
        <v>2</v>
      </c>
      <c r="D1" s="309">
        <f>+C1+1</f>
        <v>3</v>
      </c>
      <c r="E1" s="309">
        <f>+D1+1</f>
        <v>4</v>
      </c>
      <c r="F1" s="309"/>
      <c r="G1" s="309">
        <v>0</v>
      </c>
      <c r="H1" s="309">
        <f>+G1+1</f>
        <v>1</v>
      </c>
      <c r="I1" s="309">
        <f>+H1+1</f>
        <v>2</v>
      </c>
      <c r="J1" s="309">
        <f>+I1+1</f>
        <v>3</v>
      </c>
      <c r="K1" s="309">
        <f>+J1+1</f>
        <v>4</v>
      </c>
      <c r="L1" s="309"/>
      <c r="M1" s="309"/>
      <c r="N1" s="309"/>
      <c r="O1" s="309"/>
      <c r="P1" s="309"/>
      <c r="Q1" s="309"/>
      <c r="R1" s="309">
        <v>0</v>
      </c>
      <c r="S1" s="309">
        <f>+R1+1</f>
        <v>1</v>
      </c>
      <c r="T1" s="309">
        <f t="shared" ref="T1:Z1" si="0">+S1+1</f>
        <v>2</v>
      </c>
      <c r="U1" s="309">
        <f t="shared" si="0"/>
        <v>3</v>
      </c>
      <c r="V1" s="309">
        <f t="shared" si="0"/>
        <v>4</v>
      </c>
      <c r="W1" s="309">
        <f t="shared" si="0"/>
        <v>5</v>
      </c>
      <c r="X1" s="309">
        <f t="shared" si="0"/>
        <v>6</v>
      </c>
      <c r="Y1" s="309">
        <f t="shared" si="0"/>
        <v>7</v>
      </c>
      <c r="Z1" s="309">
        <f t="shared" si="0"/>
        <v>8</v>
      </c>
      <c r="AA1" s="309"/>
      <c r="AB1" s="309"/>
    </row>
    <row r="2" spans="1:29" s="112" customFormat="1" ht="18" customHeight="1" x14ac:dyDescent="0.3">
      <c r="A2" s="272"/>
      <c r="B2" s="272"/>
      <c r="C2" s="272"/>
      <c r="D2" s="272"/>
      <c r="E2" s="272"/>
      <c r="F2" s="272"/>
      <c r="G2" s="272"/>
      <c r="H2" s="272"/>
      <c r="I2" s="272"/>
      <c r="J2" s="272"/>
      <c r="K2" s="272"/>
      <c r="L2" s="272"/>
      <c r="M2" s="272"/>
      <c r="N2" s="272"/>
      <c r="O2" s="272"/>
      <c r="P2" s="272"/>
      <c r="Q2" s="272"/>
      <c r="R2" s="272"/>
      <c r="S2" s="271"/>
      <c r="T2" s="271"/>
      <c r="U2" s="271"/>
      <c r="V2" s="271"/>
      <c r="W2" s="271"/>
      <c r="X2" s="271"/>
      <c r="Y2" s="271"/>
      <c r="Z2" s="271"/>
      <c r="AA2" s="272"/>
      <c r="AB2" s="272"/>
    </row>
    <row r="3" spans="1:29" s="112" customFormat="1" ht="18" customHeight="1" outlineLevel="1" x14ac:dyDescent="0.3">
      <c r="A3" s="272"/>
      <c r="B3" s="112" t="s">
        <v>813</v>
      </c>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row>
    <row r="4" spans="1:29" s="112" customFormat="1" ht="18" customHeight="1" outlineLevel="1" x14ac:dyDescent="0.3">
      <c r="A4" s="272"/>
      <c r="B4" s="112" t="s">
        <v>806</v>
      </c>
      <c r="C4" s="272" cm="1">
        <f t="array" ref="C4">TRANSPOSE(_xlfn._xlws.SORT(Table_CauTruc_BoPhan[Tên bộ phận]))</f>
        <v>0</v>
      </c>
      <c r="D4" s="272"/>
      <c r="E4" s="272"/>
      <c r="F4" s="272"/>
      <c r="G4" s="272"/>
      <c r="H4" s="272"/>
      <c r="I4" s="272"/>
      <c r="J4" s="272"/>
      <c r="K4" s="272"/>
      <c r="L4" s="272"/>
      <c r="M4" s="272"/>
      <c r="N4" s="272"/>
      <c r="O4" s="272"/>
      <c r="P4" s="272"/>
      <c r="Q4" s="272"/>
      <c r="R4" s="272"/>
      <c r="S4" s="272"/>
      <c r="T4" s="272"/>
      <c r="U4" s="272"/>
      <c r="V4" s="272"/>
      <c r="W4" s="272"/>
      <c r="X4" s="272"/>
      <c r="Y4" s="272"/>
      <c r="Z4" s="272"/>
      <c r="AA4" s="272"/>
      <c r="AB4" s="272"/>
    </row>
    <row r="5" spans="1:29" s="112" customFormat="1" ht="18" customHeight="1" outlineLevel="1" x14ac:dyDescent="0.3">
      <c r="A5" s="272"/>
      <c r="B5" s="272"/>
      <c r="C5" s="272"/>
      <c r="D5" s="272"/>
      <c r="E5" s="272"/>
      <c r="F5" s="272"/>
      <c r="G5" s="112" t="s">
        <v>760</v>
      </c>
      <c r="H5" s="272"/>
      <c r="J5" s="272"/>
      <c r="K5" s="272"/>
      <c r="L5" s="272"/>
      <c r="M5" s="272"/>
      <c r="N5" s="272"/>
      <c r="O5" s="272"/>
      <c r="P5" s="272"/>
      <c r="Q5" s="272"/>
      <c r="R5" s="272"/>
      <c r="S5" s="272"/>
      <c r="T5" s="272"/>
      <c r="U5" s="272"/>
      <c r="V5" s="272"/>
      <c r="W5" s="272"/>
      <c r="X5" s="272"/>
      <c r="Y5" s="272"/>
      <c r="Z5" s="272"/>
      <c r="AA5" s="272"/>
      <c r="AB5" s="272"/>
    </row>
    <row r="6" spans="1:29" s="112" customFormat="1" ht="18" customHeight="1" outlineLevel="1" x14ac:dyDescent="0.3">
      <c r="A6" s="272"/>
      <c r="B6" s="272"/>
      <c r="C6" s="272"/>
      <c r="D6" s="272"/>
      <c r="E6" s="272"/>
      <c r="F6" s="272"/>
      <c r="G6" s="112" t="s">
        <v>806</v>
      </c>
      <c r="H6" s="272" cm="1">
        <f t="array" ref="H6">TRANSPOSE(_xlfn._xlws.SORT(Table_NhanVien[Mã NV]))</f>
        <v>0</v>
      </c>
      <c r="J6" s="272"/>
      <c r="K6" s="272"/>
      <c r="L6" s="272"/>
      <c r="M6" s="272"/>
      <c r="N6" s="272"/>
      <c r="O6" s="272"/>
      <c r="P6" s="272"/>
      <c r="Q6" s="272"/>
      <c r="R6" s="272"/>
      <c r="S6" s="272"/>
      <c r="T6" s="272"/>
      <c r="U6" s="272"/>
      <c r="V6" s="272"/>
      <c r="W6" s="272"/>
      <c r="X6" s="254"/>
      <c r="Y6" s="254"/>
      <c r="Z6" s="272"/>
      <c r="AA6" s="272"/>
      <c r="AB6" s="272"/>
    </row>
    <row r="7" spans="1:29" s="112" customFormat="1" ht="18" customHeight="1" x14ac:dyDescent="0.3">
      <c r="A7" s="272"/>
      <c r="B7" s="272"/>
      <c r="C7" s="272"/>
      <c r="D7" s="272"/>
      <c r="E7" s="272"/>
      <c r="F7" s="272"/>
      <c r="G7" s="272"/>
      <c r="H7" s="272"/>
      <c r="I7" s="272"/>
      <c r="J7" s="272"/>
      <c r="K7" s="272"/>
      <c r="L7" s="272"/>
      <c r="M7" s="272"/>
      <c r="N7" s="272"/>
      <c r="O7" s="272"/>
      <c r="P7" s="272"/>
      <c r="Q7" s="272"/>
      <c r="R7" s="272"/>
      <c r="S7" s="272"/>
      <c r="T7" s="272"/>
      <c r="U7" s="272"/>
      <c r="V7" s="272"/>
      <c r="W7" s="272"/>
      <c r="X7" s="254"/>
      <c r="Y7" s="254"/>
      <c r="Z7" s="272"/>
      <c r="AA7" s="272"/>
      <c r="AB7" s="272"/>
    </row>
    <row r="8" spans="1:29" s="112" customFormat="1" ht="18" customHeight="1" x14ac:dyDescent="0.3">
      <c r="A8" s="272"/>
      <c r="B8" s="272"/>
      <c r="C8" s="272"/>
      <c r="D8" s="272"/>
      <c r="E8" s="272"/>
      <c r="F8" s="272"/>
      <c r="G8" s="272"/>
      <c r="H8" s="272"/>
      <c r="I8" s="272"/>
      <c r="J8" s="272"/>
      <c r="K8" s="272"/>
      <c r="L8" s="272"/>
      <c r="M8" s="272"/>
      <c r="N8" s="272"/>
      <c r="O8" s="272"/>
      <c r="P8" s="272"/>
      <c r="Q8" s="272"/>
      <c r="R8" s="272"/>
      <c r="S8" s="272"/>
      <c r="T8" s="272"/>
      <c r="U8" s="272"/>
      <c r="V8" s="272"/>
      <c r="W8" s="272"/>
      <c r="X8" s="254"/>
      <c r="Y8" s="254"/>
      <c r="Z8" s="272"/>
      <c r="AA8" s="272"/>
      <c r="AB8" s="272"/>
    </row>
    <row r="9" spans="1:29" s="112" customFormat="1" ht="18" customHeight="1" x14ac:dyDescent="0.3">
      <c r="A9" s="272"/>
      <c r="B9" s="112" t="s">
        <v>807</v>
      </c>
      <c r="C9" s="112" t="s">
        <v>588</v>
      </c>
      <c r="D9" s="112" t="s">
        <v>808</v>
      </c>
      <c r="E9" s="7" t="s">
        <v>883</v>
      </c>
      <c r="F9" s="272"/>
      <c r="G9" s="112" t="s">
        <v>809</v>
      </c>
      <c r="H9" s="112" t="s">
        <v>810</v>
      </c>
      <c r="I9" s="112" t="s">
        <v>811</v>
      </c>
      <c r="J9" s="7" t="s">
        <v>883</v>
      </c>
      <c r="K9" s="7"/>
      <c r="L9" s="7" t="s">
        <v>814</v>
      </c>
      <c r="M9" s="7" t="s">
        <v>760</v>
      </c>
      <c r="N9" s="7" t="s">
        <v>1014</v>
      </c>
      <c r="O9" s="7" t="s">
        <v>1015</v>
      </c>
      <c r="P9" s="7" t="s">
        <v>1016</v>
      </c>
      <c r="Q9" s="7" t="s">
        <v>883</v>
      </c>
      <c r="R9" s="7"/>
      <c r="S9" s="272"/>
      <c r="T9" s="112" t="s">
        <v>35</v>
      </c>
      <c r="U9" s="112" t="s">
        <v>812</v>
      </c>
      <c r="V9" s="112" t="s">
        <v>760</v>
      </c>
      <c r="W9" s="112" t="s">
        <v>813</v>
      </c>
      <c r="X9" s="112" t="s">
        <v>588</v>
      </c>
      <c r="Y9" s="112" t="s">
        <v>814</v>
      </c>
      <c r="Z9" s="112" t="s">
        <v>815</v>
      </c>
      <c r="AA9" s="112" t="s">
        <v>1244</v>
      </c>
      <c r="AB9" s="112" t="s">
        <v>1240</v>
      </c>
      <c r="AC9" s="7" t="s">
        <v>883</v>
      </c>
    </row>
    <row r="10" spans="1:29" ht="18" customHeight="1" x14ac:dyDescent="0.3">
      <c r="A10" s="242"/>
      <c r="B10" s="242"/>
      <c r="C10" s="242"/>
      <c r="D10" s="242"/>
      <c r="E10" s="242"/>
      <c r="F10" s="242"/>
      <c r="G10" s="242"/>
      <c r="H10" s="242"/>
      <c r="I10" s="242"/>
      <c r="J10" s="242"/>
      <c r="K10" s="242"/>
      <c r="L10" s="242"/>
      <c r="M10" s="242"/>
      <c r="N10" s="242"/>
      <c r="O10" s="242"/>
      <c r="P10" s="248">
        <f>IFERROR(
COUNTIFS(Table_NhanVien[[#This Row],[Bộ phận]],Table_CauTruc_ViTri[[#This Row],[Bộ phận]],Table_NhanVien[[#This Row],[Vị trí]],Table_CauTruc_ViTri[[#This Row],[Vị trí]]),0)</f>
        <v>0</v>
      </c>
      <c r="Q10" s="242"/>
      <c r="R10" s="242"/>
      <c r="S10" s="242"/>
      <c r="T10" s="242"/>
      <c r="U10" s="242"/>
      <c r="V10" s="242" t="s">
        <v>806</v>
      </c>
      <c r="W10" s="248">
        <f>IFERROR(VLOOKUP(Table_NhanVien[[#This Row],[Bộ phận]],Table_CauTruc_BoPhan[],COUNTA(Table_CauTruc_BoPhan[[#Headers],[Tên bộ phận]:[Phòng trực thuộc]]),0),0)</f>
        <v>0</v>
      </c>
      <c r="X10" s="248">
        <f>IFERROR(
VLOOKUP(Table_NhanVien[[#This Row],[Phòng]],Table_CauTruc_PhongBan[],COUNTA(Table_CauTruc_PhongBan[[#Headers],[Tên phòng ban]:[Chức năng]]),0),0)</f>
        <v>0</v>
      </c>
      <c r="Y10" s="242"/>
      <c r="Z10" s="15"/>
      <c r="AA10" s="15"/>
      <c r="AB10" s="15"/>
      <c r="AC10" s="242"/>
    </row>
    <row r="11" spans="1:29" ht="18" customHeight="1" x14ac:dyDescent="0.3">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3"/>
      <c r="Y11" s="243"/>
      <c r="Z11" s="242"/>
      <c r="AA11" s="242"/>
    </row>
    <row r="12" spans="1:29" ht="18" customHeigh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3"/>
      <c r="Y12" s="243"/>
      <c r="Z12" s="242"/>
      <c r="AA12" s="242"/>
    </row>
    <row r="13" spans="1:29" ht="18" customHeight="1" collapsed="1" x14ac:dyDescent="0.3">
      <c r="A13" s="242"/>
      <c r="B13" s="242"/>
      <c r="C13" s="242"/>
      <c r="D13" s="242"/>
      <c r="E13" s="242"/>
      <c r="F13" s="242"/>
      <c r="G13" s="242"/>
      <c r="H13" s="242"/>
      <c r="I13" s="242"/>
      <c r="J13" s="242"/>
      <c r="K13" s="242"/>
      <c r="L13" s="242"/>
      <c r="M13" s="242"/>
      <c r="N13" s="242"/>
      <c r="O13" s="242"/>
      <c r="P13" s="242"/>
      <c r="Q13" s="242"/>
      <c r="R13" s="242"/>
      <c r="S13" s="242"/>
      <c r="T13" s="242"/>
      <c r="U13" s="242"/>
      <c r="V13" s="242"/>
      <c r="W13" s="242"/>
      <c r="X13" s="243"/>
      <c r="Y13" s="243"/>
      <c r="Z13" s="242"/>
      <c r="AA13" s="242"/>
    </row>
    <row r="14" spans="1:29" ht="18" customHeight="1" x14ac:dyDescent="0.3">
      <c r="A14" s="242"/>
      <c r="B14" s="242"/>
      <c r="C14" s="242"/>
      <c r="D14" s="242"/>
      <c r="E14" s="242"/>
      <c r="F14" s="242"/>
      <c r="G14" s="242"/>
      <c r="H14" s="242"/>
      <c r="I14" s="242"/>
      <c r="J14" s="242"/>
      <c r="K14" s="242"/>
      <c r="L14" s="242"/>
      <c r="M14" s="242"/>
      <c r="N14" s="242"/>
      <c r="O14" s="242"/>
      <c r="P14" s="242"/>
      <c r="Q14" s="242"/>
      <c r="R14" s="242"/>
      <c r="S14" s="242"/>
      <c r="T14" s="242"/>
      <c r="U14" s="242"/>
      <c r="V14" s="242"/>
      <c r="W14" s="242"/>
      <c r="X14" s="243"/>
      <c r="Y14" s="243"/>
      <c r="Z14" s="242"/>
      <c r="AA14" s="242"/>
    </row>
    <row r="15" spans="1:29" ht="18" customHeight="1" x14ac:dyDescent="0.3">
      <c r="A15" s="242"/>
      <c r="B15" s="242"/>
      <c r="C15" s="242"/>
      <c r="D15" s="242"/>
      <c r="E15" s="242"/>
      <c r="F15" s="242"/>
      <c r="G15" s="242"/>
      <c r="H15" s="242"/>
      <c r="I15" s="242"/>
      <c r="J15" s="242"/>
      <c r="K15" s="242"/>
      <c r="L15" s="242"/>
      <c r="N15" s="242"/>
      <c r="O15" s="242"/>
      <c r="P15" s="242"/>
      <c r="Q15" s="242"/>
      <c r="R15" s="242"/>
      <c r="S15" s="242"/>
      <c r="T15" s="242"/>
      <c r="U15" s="242"/>
      <c r="V15" s="242"/>
      <c r="W15" s="242"/>
      <c r="X15" s="243"/>
      <c r="Y15" s="243"/>
      <c r="Z15" s="242"/>
      <c r="AA15" s="242"/>
    </row>
    <row r="16" spans="1:29" ht="18" customHeight="1" x14ac:dyDescent="0.3">
      <c r="A16" s="242"/>
      <c r="B16" s="242"/>
      <c r="C16" s="242"/>
      <c r="D16" s="242"/>
      <c r="E16" s="242"/>
      <c r="F16" s="242"/>
      <c r="G16" s="242"/>
      <c r="H16" s="242"/>
      <c r="I16" s="242"/>
      <c r="J16" s="242"/>
      <c r="K16" s="242"/>
      <c r="L16" s="242"/>
      <c r="M16" s="242"/>
      <c r="N16" s="242"/>
      <c r="O16" s="242"/>
      <c r="P16" s="242"/>
      <c r="Q16" s="242"/>
      <c r="R16" s="242"/>
      <c r="S16" s="242"/>
      <c r="T16" s="242"/>
      <c r="U16" s="242"/>
      <c r="V16" s="242"/>
      <c r="W16" s="242"/>
      <c r="X16" s="243"/>
      <c r="Y16" s="243"/>
      <c r="Z16" s="242"/>
      <c r="AA16" s="242"/>
    </row>
    <row r="17" spans="1:27" ht="18" customHeight="1" x14ac:dyDescent="0.3">
      <c r="A17" s="242"/>
      <c r="B17" s="242"/>
      <c r="C17" s="242"/>
      <c r="D17" s="242"/>
      <c r="E17" s="242"/>
      <c r="F17" s="242"/>
      <c r="G17" s="242"/>
      <c r="H17" s="242"/>
      <c r="I17" s="242"/>
      <c r="J17" s="242"/>
      <c r="K17" s="242"/>
      <c r="L17" s="242"/>
      <c r="M17" s="242"/>
      <c r="N17" s="242"/>
      <c r="O17" s="242"/>
      <c r="P17" s="242"/>
      <c r="Q17" s="242"/>
      <c r="R17" s="242"/>
      <c r="S17" s="242"/>
      <c r="T17" s="242"/>
      <c r="U17" s="242"/>
      <c r="V17" s="242"/>
      <c r="W17" s="242"/>
      <c r="X17" s="243"/>
      <c r="Y17" s="243"/>
      <c r="Z17" s="242"/>
      <c r="AA17" s="242"/>
    </row>
    <row r="18" spans="1:27" ht="18" customHeight="1" x14ac:dyDescent="0.3">
      <c r="A18" s="242"/>
      <c r="B18" s="242"/>
      <c r="C18" s="242"/>
      <c r="D18" s="242"/>
      <c r="E18" s="242"/>
      <c r="F18" s="242"/>
      <c r="G18" s="242"/>
      <c r="H18" s="242"/>
      <c r="I18" s="242"/>
      <c r="J18" s="242"/>
      <c r="K18" s="242"/>
      <c r="L18" s="242"/>
      <c r="M18" s="242"/>
      <c r="N18" s="242"/>
      <c r="O18" s="242"/>
      <c r="P18" s="242"/>
      <c r="Q18" s="242"/>
      <c r="R18" s="242"/>
      <c r="S18" s="242"/>
      <c r="T18" s="242"/>
      <c r="U18" s="242"/>
      <c r="V18" s="242"/>
      <c r="W18" s="242"/>
      <c r="X18" s="243"/>
      <c r="Y18" s="243"/>
      <c r="Z18" s="242"/>
      <c r="AA18" s="242"/>
    </row>
    <row r="19" spans="1:27" ht="18" customHeight="1" x14ac:dyDescent="0.3">
      <c r="A19" s="242"/>
      <c r="B19" s="242"/>
      <c r="C19" s="242"/>
      <c r="D19" s="242"/>
      <c r="E19" s="242"/>
      <c r="F19" s="242"/>
      <c r="G19" s="242"/>
      <c r="H19" s="242"/>
      <c r="I19" s="242"/>
      <c r="J19" s="242"/>
      <c r="K19" s="242"/>
      <c r="L19" s="242"/>
      <c r="M19" s="242"/>
      <c r="N19" s="242"/>
      <c r="O19" s="242"/>
      <c r="P19" s="242"/>
      <c r="Q19" s="242"/>
      <c r="R19" s="242"/>
      <c r="S19" s="242"/>
      <c r="T19" s="242"/>
      <c r="U19" s="242"/>
      <c r="V19" s="242"/>
      <c r="W19" s="242"/>
      <c r="X19" s="243"/>
      <c r="Y19" s="243"/>
      <c r="Z19" s="242"/>
      <c r="AA19" s="242"/>
    </row>
    <row r="20" spans="1:27" ht="18" customHeight="1" x14ac:dyDescent="0.3">
      <c r="A20" s="242"/>
      <c r="B20" s="242"/>
      <c r="C20" s="242"/>
      <c r="D20" s="242"/>
      <c r="E20" s="242"/>
      <c r="F20" s="242"/>
      <c r="G20" s="242"/>
      <c r="H20" s="242"/>
      <c r="I20" s="242"/>
      <c r="J20" s="242"/>
      <c r="K20" s="242"/>
      <c r="L20" s="242"/>
      <c r="M20" s="242"/>
      <c r="N20" s="242"/>
      <c r="O20" s="242"/>
      <c r="P20" s="242"/>
      <c r="Q20" s="242"/>
      <c r="R20" s="242"/>
      <c r="S20" s="242"/>
      <c r="T20" s="242"/>
      <c r="U20" s="242"/>
      <c r="V20" s="242"/>
      <c r="W20" s="242"/>
      <c r="X20" s="243"/>
      <c r="Y20" s="243"/>
      <c r="Z20" s="242"/>
      <c r="AA20" s="242"/>
    </row>
    <row r="21" spans="1:27" ht="18" customHeight="1" x14ac:dyDescent="0.3">
      <c r="A21" s="242"/>
      <c r="B21" s="242"/>
      <c r="C21" s="242"/>
      <c r="D21" s="242"/>
      <c r="E21" s="242"/>
      <c r="F21" s="242"/>
      <c r="G21" s="242"/>
      <c r="H21" s="242"/>
      <c r="I21" s="242"/>
      <c r="J21" s="242"/>
      <c r="K21" s="242"/>
      <c r="L21" s="242"/>
      <c r="M21" s="242"/>
      <c r="N21" s="242"/>
      <c r="O21" s="242"/>
      <c r="P21" s="242"/>
      <c r="Q21" s="242"/>
      <c r="R21" s="242"/>
      <c r="S21" s="242"/>
      <c r="T21" s="242"/>
      <c r="U21" s="242"/>
      <c r="V21" s="242"/>
      <c r="W21" s="242"/>
      <c r="X21" s="243"/>
      <c r="Y21" s="243"/>
      <c r="Z21" s="242"/>
      <c r="AA21" s="242"/>
    </row>
    <row r="22" spans="1:27" ht="18" customHeight="1" x14ac:dyDescent="0.3">
      <c r="A22" s="242"/>
      <c r="B22" s="242"/>
      <c r="C22" s="242"/>
      <c r="D22" s="242"/>
      <c r="E22" s="242"/>
      <c r="F22" s="242"/>
      <c r="G22" s="242"/>
      <c r="H22" s="242"/>
      <c r="I22" s="242"/>
      <c r="J22" s="242"/>
      <c r="K22" s="242"/>
      <c r="L22" s="242"/>
      <c r="M22" s="242"/>
      <c r="N22" s="242"/>
      <c r="O22" s="242"/>
      <c r="P22" s="242"/>
      <c r="Q22" s="242"/>
      <c r="R22" s="249"/>
      <c r="S22" s="242"/>
      <c r="T22" s="242"/>
      <c r="U22" s="242"/>
      <c r="V22" s="242"/>
      <c r="W22" s="242"/>
      <c r="X22" s="243"/>
      <c r="Y22" s="243"/>
      <c r="Z22" s="242"/>
      <c r="AA22" s="242"/>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70"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10" customFormat="1" ht="22.5" customHeight="1" x14ac:dyDescent="0.3">
      <c r="G1" s="309">
        <v>0</v>
      </c>
      <c r="H1" s="309">
        <f t="shared" ref="H1:X1" si="0">+G1+1</f>
        <v>1</v>
      </c>
      <c r="I1" s="309">
        <f t="shared" si="0"/>
        <v>2</v>
      </c>
      <c r="J1" s="309">
        <f t="shared" si="0"/>
        <v>3</v>
      </c>
      <c r="K1" s="309">
        <f t="shared" si="0"/>
        <v>4</v>
      </c>
      <c r="L1" s="309">
        <f t="shared" si="0"/>
        <v>5</v>
      </c>
      <c r="M1" s="309">
        <f t="shared" si="0"/>
        <v>6</v>
      </c>
      <c r="N1" s="309">
        <f t="shared" si="0"/>
        <v>7</v>
      </c>
      <c r="O1" s="309">
        <f t="shared" si="0"/>
        <v>8</v>
      </c>
      <c r="P1" s="309">
        <f t="shared" si="0"/>
        <v>9</v>
      </c>
      <c r="Q1" s="309">
        <f t="shared" si="0"/>
        <v>10</v>
      </c>
      <c r="R1" s="309">
        <f t="shared" si="0"/>
        <v>11</v>
      </c>
      <c r="S1" s="309">
        <f t="shared" si="0"/>
        <v>12</v>
      </c>
      <c r="T1" s="309">
        <f t="shared" si="0"/>
        <v>13</v>
      </c>
      <c r="U1" s="309">
        <f t="shared" si="0"/>
        <v>14</v>
      </c>
      <c r="V1" s="309">
        <f t="shared" si="0"/>
        <v>15</v>
      </c>
      <c r="W1" s="309">
        <f t="shared" si="0"/>
        <v>16</v>
      </c>
      <c r="X1" s="309">
        <f t="shared" si="0"/>
        <v>17</v>
      </c>
      <c r="Y1" s="309"/>
      <c r="Z1" s="309"/>
      <c r="AA1" s="309"/>
      <c r="AB1" s="309"/>
      <c r="AC1" s="309"/>
      <c r="AD1" s="309"/>
    </row>
    <row r="2" spans="7:30" s="112" customFormat="1" ht="18" customHeight="1" x14ac:dyDescent="0.3">
      <c r="G2" s="272"/>
      <c r="H2" s="272"/>
      <c r="I2" s="272"/>
      <c r="J2" s="272"/>
      <c r="K2" s="272"/>
      <c r="L2" s="272"/>
      <c r="M2" s="272"/>
      <c r="N2" s="272"/>
      <c r="O2" s="272"/>
      <c r="P2" s="272"/>
      <c r="Q2" s="272"/>
      <c r="R2" s="272"/>
      <c r="S2" s="272"/>
      <c r="T2" s="272"/>
      <c r="U2" s="272"/>
      <c r="V2" s="272"/>
      <c r="W2" s="272"/>
      <c r="X2" s="272"/>
      <c r="Y2" s="272"/>
      <c r="Z2" s="272"/>
      <c r="AA2" s="272"/>
      <c r="AB2" s="272"/>
      <c r="AC2" s="272"/>
      <c r="AD2" s="272"/>
    </row>
    <row r="3" spans="7:30" s="310" customFormat="1" ht="18" customHeight="1" outlineLevel="1" x14ac:dyDescent="0.3">
      <c r="G3" s="309"/>
      <c r="H3" s="309"/>
      <c r="I3" s="309"/>
      <c r="J3" s="309"/>
      <c r="K3" s="310" t="s">
        <v>816</v>
      </c>
      <c r="L3" s="310" t="str" cm="1">
        <f t="array" ref="L3">TRANSPOSE(_xlfn._xlws.SORT(_xlfn._xlws.FILTER(Table_TSCD[Mã Tài sản],Table_TSCD[Phân loại]=K3,"")))</f>
        <v/>
      </c>
      <c r="M3" s="309"/>
      <c r="N3" s="309"/>
      <c r="O3" s="309"/>
      <c r="P3" s="309"/>
      <c r="Q3" s="309"/>
      <c r="R3" s="309"/>
      <c r="S3" s="309"/>
      <c r="T3" s="309"/>
      <c r="U3" s="309"/>
      <c r="V3" s="309"/>
      <c r="W3" s="309"/>
      <c r="X3" s="309"/>
      <c r="Y3" s="309"/>
      <c r="Z3" s="309"/>
      <c r="AA3" s="309"/>
      <c r="AB3" s="309"/>
      <c r="AC3" s="309"/>
      <c r="AD3" s="309"/>
    </row>
    <row r="4" spans="7:30" s="310" customFormat="1" ht="18" customHeight="1" outlineLevel="1" x14ac:dyDescent="0.3">
      <c r="G4" s="309"/>
      <c r="H4" s="519"/>
      <c r="I4" s="309"/>
      <c r="J4" s="309"/>
      <c r="K4" s="310" t="s">
        <v>817</v>
      </c>
      <c r="L4" s="310" t="str" cm="1">
        <f t="array" ref="L4">TRANSPOSE(_xlfn._xlws.SORT(_xlfn._xlws.FILTER(Table_TSCD[Mã Tài sản],Table_TSCD[Phân loại]=K4,"")))</f>
        <v>TS1</v>
      </c>
      <c r="M4" s="309"/>
      <c r="N4" s="309"/>
      <c r="O4" s="309"/>
      <c r="P4" s="309"/>
      <c r="Q4" s="309"/>
      <c r="R4" s="309"/>
      <c r="S4" s="309"/>
      <c r="T4" s="309"/>
      <c r="U4" s="309"/>
      <c r="V4" s="309"/>
      <c r="W4" s="309"/>
      <c r="X4" s="309"/>
      <c r="Y4" s="309"/>
      <c r="Z4" s="309"/>
      <c r="AA4" s="309"/>
      <c r="AB4" s="309"/>
      <c r="AC4" s="309"/>
      <c r="AD4" s="309"/>
    </row>
    <row r="5" spans="7:30" s="310" customFormat="1" ht="18" customHeight="1" outlineLevel="1" x14ac:dyDescent="0.3">
      <c r="G5" s="309"/>
      <c r="H5" s="519"/>
      <c r="I5" s="309"/>
      <c r="J5" s="309"/>
      <c r="K5" s="310" t="s">
        <v>818</v>
      </c>
      <c r="L5" s="310" t="str" cm="1">
        <f t="array" ref="L5">TRANSPOSE(_xlfn._xlws.SORT(_xlfn._xlws.FILTER(Table_TSCD[Mã Tài sản],Table_TSCD[Phân loại]=K5,"")))</f>
        <v>TS2</v>
      </c>
      <c r="M5" s="309"/>
      <c r="N5" s="309"/>
      <c r="O5" s="309"/>
      <c r="P5" s="309"/>
      <c r="Q5" s="309"/>
      <c r="R5" s="309"/>
      <c r="S5" s="309"/>
      <c r="T5" s="309"/>
      <c r="U5" s="309"/>
      <c r="V5" s="309"/>
      <c r="W5" s="309"/>
      <c r="X5" s="309"/>
      <c r="Y5" s="309"/>
      <c r="Z5" s="309"/>
      <c r="AA5" s="309"/>
      <c r="AB5" s="309"/>
      <c r="AC5" s="309"/>
      <c r="AD5" s="309"/>
    </row>
    <row r="6" spans="7:30" s="310" customFormat="1" ht="18" customHeight="1" outlineLevel="1" x14ac:dyDescent="0.3">
      <c r="G6" s="309"/>
      <c r="H6" s="519"/>
      <c r="I6" s="309"/>
      <c r="J6" s="309"/>
      <c r="K6" s="310" t="s">
        <v>819</v>
      </c>
      <c r="L6" s="310" t="str" cm="1">
        <f t="array" ref="L6">TRANSPOSE(_xlfn._xlws.SORT(_xlfn._xlws.FILTER(Table_TSCD[Mã Tài sản],Table_TSCD[Phân loại]=K6,"")))</f>
        <v>TS3</v>
      </c>
      <c r="M6" s="309"/>
      <c r="N6" s="309"/>
      <c r="O6" s="309"/>
      <c r="P6" s="309"/>
      <c r="Q6" s="309"/>
      <c r="R6" s="309"/>
      <c r="S6" s="309"/>
      <c r="T6" s="309"/>
      <c r="U6" s="309"/>
      <c r="V6" s="309"/>
      <c r="W6" s="309"/>
      <c r="X6" s="309"/>
      <c r="Y6" s="309"/>
      <c r="Z6" s="309"/>
      <c r="AA6" s="309"/>
      <c r="AB6" s="309"/>
      <c r="AC6" s="309"/>
      <c r="AD6" s="309"/>
    </row>
    <row r="7" spans="7:30" s="310" customFormat="1" ht="18" customHeight="1" outlineLevel="1" x14ac:dyDescent="0.3">
      <c r="G7" s="309"/>
      <c r="H7" s="519"/>
      <c r="I7" s="309"/>
      <c r="J7" s="309"/>
      <c r="K7" s="310" t="s">
        <v>820</v>
      </c>
      <c r="L7" s="310" t="str" cm="1">
        <f t="array" ref="L7">TRANSPOSE(_xlfn._xlws.SORT(_xlfn._xlws.FILTER(Table_TSCD[Mã Tài sản],Table_TSCD[Phân loại]=K7,"")))</f>
        <v>TS4</v>
      </c>
      <c r="M7" s="309"/>
      <c r="N7" s="309"/>
      <c r="O7" s="309"/>
      <c r="P7" s="309"/>
      <c r="Q7" s="309"/>
      <c r="R7" s="309"/>
      <c r="S7" s="309"/>
      <c r="T7" s="309"/>
      <c r="U7" s="309"/>
      <c r="V7" s="309"/>
      <c r="W7" s="309"/>
      <c r="X7" s="309"/>
      <c r="AC7" s="309"/>
      <c r="AD7" s="309"/>
    </row>
    <row r="8" spans="7:30" s="310" customFormat="1" ht="18" customHeight="1" outlineLevel="1" x14ac:dyDescent="0.3">
      <c r="G8" s="309"/>
      <c r="H8" s="519"/>
      <c r="I8" s="309"/>
      <c r="J8" s="309"/>
      <c r="K8" s="310" t="s">
        <v>821</v>
      </c>
      <c r="L8" s="310" t="str" cm="1">
        <f t="array" ref="L8">TRANSPOSE(_xlfn._xlws.SORT(_xlfn._xlws.FILTER(Table_TSCD[Mã Tài sản],Table_TSCD[Phân loại]=K8,"")))</f>
        <v/>
      </c>
      <c r="M8" s="309"/>
      <c r="N8" s="309"/>
      <c r="O8" s="309"/>
      <c r="P8" s="309"/>
      <c r="Q8" s="309"/>
      <c r="R8" s="309"/>
      <c r="S8" s="309"/>
      <c r="T8" s="309"/>
      <c r="U8" s="309"/>
      <c r="V8" s="309"/>
      <c r="W8" s="309"/>
      <c r="X8" s="309"/>
      <c r="AC8" s="309"/>
      <c r="AD8" s="309"/>
    </row>
    <row r="9" spans="7:30" s="310" customFormat="1" ht="18" customHeight="1" outlineLevel="1" x14ac:dyDescent="0.3">
      <c r="G9" s="309"/>
      <c r="H9" s="519"/>
      <c r="I9" s="309"/>
      <c r="J9" s="309"/>
      <c r="K9" s="310" t="s">
        <v>822</v>
      </c>
      <c r="L9" s="309"/>
      <c r="M9" s="309"/>
      <c r="N9" s="309"/>
      <c r="O9" s="309"/>
      <c r="P9" s="309"/>
      <c r="Q9" s="309"/>
      <c r="R9" s="309"/>
      <c r="S9" s="309"/>
      <c r="T9" s="309"/>
      <c r="U9" s="309"/>
      <c r="V9" s="309"/>
      <c r="W9" s="309"/>
      <c r="X9" s="309"/>
      <c r="AC9" s="309"/>
      <c r="AD9" s="309"/>
    </row>
    <row r="10" spans="7:30" s="310" customFormat="1" ht="18" customHeight="1" outlineLevel="1" x14ac:dyDescent="0.3">
      <c r="G10" s="309"/>
      <c r="H10" s="519"/>
      <c r="I10" s="309"/>
      <c r="J10" s="309"/>
      <c r="K10" s="310" t="s">
        <v>823</v>
      </c>
      <c r="L10" s="310" t="str" cm="1">
        <f t="array" ref="L10">TRANSPOSE(_xlfn._xlws.SORT(_xlfn._xlws.FILTER(Table_TSCD[Mã Tài sản],Table_TSCD[Phân loại]=K10,"")))</f>
        <v/>
      </c>
      <c r="M10" s="309"/>
      <c r="N10" s="309"/>
      <c r="O10" s="309"/>
      <c r="P10" s="309"/>
      <c r="Q10" s="309"/>
      <c r="R10" s="309"/>
      <c r="S10" s="309"/>
      <c r="T10" s="309"/>
      <c r="U10" s="309"/>
      <c r="V10" s="309"/>
      <c r="W10" s="309"/>
      <c r="X10" s="309"/>
      <c r="AC10" s="309"/>
      <c r="AD10" s="309"/>
    </row>
    <row r="11" spans="7:30" s="310" customFormat="1" ht="18" customHeight="1" outlineLevel="1" x14ac:dyDescent="0.3">
      <c r="G11" s="309"/>
      <c r="H11" s="309"/>
      <c r="I11" s="309"/>
      <c r="J11" s="309"/>
      <c r="K11" s="310" t="s">
        <v>824</v>
      </c>
      <c r="L11" s="310" t="str" cm="1">
        <f t="array" ref="L11">TRANSPOSE(_xlfn._xlws.SORT(_xlfn._xlws.FILTER(Table_TSCD[Mã Tài sản],Table_TSCD[Phân loại]=K11,"")))</f>
        <v>TS6</v>
      </c>
      <c r="M11" s="309"/>
      <c r="N11" s="309"/>
      <c r="O11" s="309"/>
      <c r="P11" s="309"/>
      <c r="Q11" s="309"/>
      <c r="R11" s="309"/>
      <c r="S11" s="309"/>
      <c r="T11" s="309"/>
      <c r="U11" s="309"/>
      <c r="V11" s="309"/>
      <c r="W11" s="309"/>
      <c r="X11" s="309"/>
      <c r="AC11" s="309"/>
      <c r="AD11" s="309"/>
    </row>
    <row r="12" spans="7:30" s="310" customFormat="1" ht="18" customHeight="1" outlineLevel="1" x14ac:dyDescent="0.3">
      <c r="G12" s="309"/>
      <c r="H12" s="309"/>
      <c r="I12" s="309"/>
      <c r="J12" s="309"/>
      <c r="K12" s="310" t="s">
        <v>825</v>
      </c>
      <c r="L12" s="310" t="str" cm="1">
        <f t="array" ref="L12">TRANSPOSE(_xlfn._xlws.SORT(_xlfn._xlws.FILTER(Table_TSCD[Mã Tài sản],Table_TSCD[Phân loại]=K12,"")))</f>
        <v/>
      </c>
      <c r="M12" s="309"/>
      <c r="N12" s="309"/>
      <c r="O12" s="309"/>
      <c r="P12" s="309"/>
      <c r="Q12" s="309"/>
      <c r="R12" s="309"/>
      <c r="S12" s="309"/>
      <c r="T12" s="309"/>
      <c r="U12" s="309"/>
      <c r="V12" s="309"/>
      <c r="W12" s="309"/>
      <c r="X12" s="309"/>
      <c r="AC12" s="309"/>
      <c r="AD12" s="309"/>
    </row>
    <row r="13" spans="7:30" s="310" customFormat="1" ht="18" customHeight="1" outlineLevel="1" x14ac:dyDescent="0.3">
      <c r="G13" s="309"/>
      <c r="H13" s="309"/>
      <c r="I13" s="309"/>
      <c r="J13" s="309"/>
      <c r="K13" s="310" t="s">
        <v>826</v>
      </c>
      <c r="L13" s="310" t="str" cm="1">
        <f t="array" ref="L13">TRANSPOSE(_xlfn._xlws.SORT(_xlfn._xlws.FILTER(Table_TSCD[Mã Tài sản],Table_TSCD[Phân loại]=K13,"")))</f>
        <v/>
      </c>
      <c r="M13" s="309"/>
      <c r="N13" s="309"/>
      <c r="O13" s="309"/>
      <c r="P13" s="309"/>
      <c r="Q13" s="309"/>
      <c r="R13" s="309"/>
      <c r="S13" s="309"/>
      <c r="T13" s="309"/>
      <c r="U13" s="309"/>
      <c r="V13" s="309"/>
      <c r="W13" s="309"/>
      <c r="X13" s="309"/>
      <c r="Z13" s="309"/>
      <c r="AA13" s="309"/>
      <c r="AB13" s="309"/>
      <c r="AC13" s="309"/>
      <c r="AD13" s="309"/>
    </row>
    <row r="14" spans="7:30" s="310" customFormat="1" ht="18" customHeight="1" outlineLevel="1" collapsed="1" x14ac:dyDescent="0.3">
      <c r="G14" s="309"/>
      <c r="H14" s="309"/>
      <c r="I14" s="309"/>
      <c r="J14" s="309"/>
      <c r="K14" s="310" t="s">
        <v>806</v>
      </c>
      <c r="L14" s="309" t="str" cm="1">
        <f t="array" ref="L14:Q14">TRANSPOSE(_xlfn._xlws.SORT(Table_TSCD[Mã Tài sản]))</f>
        <v>TS1</v>
      </c>
      <c r="M14" s="309" t="str">
        <v>TS2</v>
      </c>
      <c r="N14" s="309" t="str">
        <v>TS3</v>
      </c>
      <c r="O14" s="309" t="str">
        <v>TS4</v>
      </c>
      <c r="P14" s="309" t="str">
        <v>TS5</v>
      </c>
      <c r="Q14" s="309" t="str">
        <v>TS6</v>
      </c>
      <c r="R14" s="309"/>
      <c r="S14" s="309"/>
      <c r="T14" s="309"/>
      <c r="U14" s="309"/>
      <c r="V14" s="309"/>
      <c r="W14" s="309"/>
      <c r="X14" s="309"/>
      <c r="Y14" s="309"/>
      <c r="Z14" s="309"/>
      <c r="AA14" s="309"/>
      <c r="AB14" s="309"/>
      <c r="AC14" s="309"/>
      <c r="AD14" s="309"/>
    </row>
    <row r="15" spans="7:30" s="112" customFormat="1" ht="18" customHeight="1" outlineLevel="1" x14ac:dyDescent="0.3">
      <c r="G15" s="272"/>
      <c r="H15" s="272"/>
      <c r="I15" s="272"/>
      <c r="J15" s="272"/>
      <c r="L15" s="272"/>
      <c r="M15" s="272"/>
      <c r="N15" s="272"/>
      <c r="O15" s="272"/>
      <c r="P15" s="272"/>
      <c r="Q15" s="272"/>
      <c r="R15" s="272"/>
      <c r="S15" s="272"/>
      <c r="T15" s="272"/>
      <c r="U15" s="272"/>
      <c r="V15" s="272"/>
      <c r="W15" s="272"/>
      <c r="X15" s="272"/>
      <c r="Y15" s="272"/>
      <c r="Z15" s="272"/>
      <c r="AA15" s="272"/>
      <c r="AB15" s="272"/>
      <c r="AC15" s="272"/>
      <c r="AD15" s="272"/>
    </row>
    <row r="16" spans="7:30" s="112" customFormat="1" ht="18" customHeight="1" outlineLevel="1" x14ac:dyDescent="0.3">
      <c r="G16" s="272"/>
      <c r="H16" s="516" t="s">
        <v>1144</v>
      </c>
      <c r="I16" s="272"/>
      <c r="J16" s="272"/>
      <c r="K16" s="518" t="s">
        <v>1133</v>
      </c>
      <c r="L16" s="272"/>
      <c r="M16" s="272"/>
      <c r="N16" s="272"/>
      <c r="O16" s="272"/>
      <c r="P16" s="272"/>
      <c r="Q16" s="272"/>
      <c r="R16" s="272"/>
      <c r="S16" s="272"/>
      <c r="T16" s="272"/>
      <c r="U16" s="272"/>
      <c r="V16" s="272"/>
      <c r="W16" s="272"/>
      <c r="X16" s="272"/>
      <c r="Y16" s="272"/>
      <c r="Z16" s="272"/>
      <c r="AA16" s="272"/>
      <c r="AB16" s="272"/>
      <c r="AC16" s="272"/>
      <c r="AD16" s="272"/>
    </row>
    <row r="17" spans="2:30" s="112" customFormat="1" ht="18" customHeight="1" outlineLevel="1" x14ac:dyDescent="0.3">
      <c r="G17" s="272"/>
      <c r="H17" s="516" t="s">
        <v>1149</v>
      </c>
      <c r="K17" s="517">
        <f>VLOOKUP($K$16,Table_TSCD[],COUNTA(Table_TSCD[[#Headers],[Mã Tài sản]:[Giá trị sổ sách]]),0)</f>
        <v>500000000</v>
      </c>
      <c r="L17" s="272"/>
      <c r="M17" s="272"/>
      <c r="N17" s="272"/>
      <c r="O17" s="272"/>
      <c r="P17" s="272"/>
      <c r="Q17" s="272"/>
      <c r="R17" s="272"/>
      <c r="S17" s="272"/>
      <c r="T17" s="272"/>
      <c r="U17" s="272"/>
      <c r="V17" s="272"/>
      <c r="W17" s="272"/>
      <c r="X17" s="272"/>
      <c r="Y17" s="272"/>
      <c r="Z17" s="272"/>
      <c r="AA17" s="272"/>
      <c r="AB17" s="272"/>
      <c r="AC17" s="272"/>
      <c r="AD17" s="272"/>
    </row>
    <row r="18" spans="2:30" s="112" customFormat="1" ht="18" customHeight="1" outlineLevel="1" x14ac:dyDescent="0.3">
      <c r="G18" s="272"/>
      <c r="H18" s="516" t="s">
        <v>1145</v>
      </c>
      <c r="I18" s="272"/>
      <c r="J18" s="272"/>
      <c r="K18" s="517">
        <f>VLOOKUP($K$16,Table_TSCD[],COUNTA(Table_TSCD[[#Headers],[Mã Tài sản]:[Giá trị khấu hao (tháng)]]),0)</f>
        <v>8333333.333333333</v>
      </c>
      <c r="L18" s="272"/>
      <c r="M18" s="272"/>
      <c r="N18" s="272"/>
      <c r="O18" s="272"/>
      <c r="P18" s="272"/>
      <c r="Q18" s="272"/>
      <c r="R18" s="272"/>
      <c r="S18" s="272"/>
      <c r="T18" s="272"/>
      <c r="U18" s="272"/>
      <c r="V18" s="272"/>
      <c r="W18" s="272"/>
      <c r="X18" s="272"/>
      <c r="Y18" s="272"/>
      <c r="Z18" s="272"/>
      <c r="AA18" s="272"/>
      <c r="AB18" s="272"/>
      <c r="AC18" s="272"/>
      <c r="AD18" s="272"/>
    </row>
    <row r="19" spans="2:30" s="112" customFormat="1" ht="18" customHeight="1" outlineLevel="1" x14ac:dyDescent="0.3">
      <c r="G19" s="272"/>
      <c r="H19" s="516" t="s">
        <v>1146</v>
      </c>
      <c r="I19" s="272"/>
      <c r="J19" s="272"/>
      <c r="K19" s="520">
        <f ca="1">VLOOKUP($K$16,Table_TSCD[],COUNTA(Table_TSCD[[#Headers],[Mã Tài sản]:[Tỷ lệ khấu hao]]),0)</f>
        <v>0.34387405886379196</v>
      </c>
      <c r="L19" s="272"/>
      <c r="M19" s="272"/>
      <c r="N19" s="272"/>
      <c r="O19" s="272"/>
      <c r="P19" s="272"/>
      <c r="Q19" s="272"/>
      <c r="R19" s="272"/>
      <c r="S19" s="272"/>
      <c r="T19" s="272"/>
      <c r="U19" s="272"/>
      <c r="V19" s="272"/>
      <c r="W19" s="272"/>
      <c r="X19" s="272"/>
      <c r="Y19" s="272"/>
      <c r="Z19" s="272"/>
      <c r="AA19" s="272"/>
      <c r="AB19" s="272"/>
      <c r="AC19" s="272"/>
      <c r="AD19" s="272"/>
    </row>
    <row r="20" spans="2:30" s="112" customFormat="1" ht="18" customHeight="1" outlineLevel="1" x14ac:dyDescent="0.3">
      <c r="G20" s="272"/>
      <c r="H20" s="516" t="s">
        <v>1147</v>
      </c>
      <c r="I20" s="272"/>
      <c r="J20" s="272"/>
      <c r="K20" s="521">
        <f>VLOOKUP($K$16,Table_TSCD[],COUNTA(Table_TSCD[[#Headers],[Mã Tài sản]:[Ngày kết thúc]]),0)</f>
        <v>47226</v>
      </c>
      <c r="L20" s="272"/>
      <c r="M20" s="272"/>
      <c r="N20" s="272"/>
      <c r="O20" s="272"/>
      <c r="P20" s="272"/>
      <c r="Q20" s="272"/>
      <c r="R20" s="272"/>
      <c r="S20" s="272"/>
      <c r="T20" s="272"/>
      <c r="U20" s="272"/>
      <c r="V20" s="272"/>
      <c r="W20" s="272"/>
      <c r="X20" s="272"/>
      <c r="Y20" s="272"/>
      <c r="Z20" s="272"/>
      <c r="AA20" s="272"/>
      <c r="AB20" s="272"/>
      <c r="AC20" s="272"/>
      <c r="AD20" s="272"/>
    </row>
    <row r="21" spans="2:30" s="112" customFormat="1" ht="18" customHeight="1" outlineLevel="1" x14ac:dyDescent="0.3">
      <c r="G21" s="272"/>
      <c r="H21" s="516" t="s">
        <v>1148</v>
      </c>
      <c r="I21" s="272"/>
      <c r="J21" s="272"/>
      <c r="K21" s="517">
        <f ca="1">K20-TODAY()</f>
        <v>1198</v>
      </c>
      <c r="L21" s="272"/>
      <c r="M21" s="272"/>
      <c r="N21" s="272"/>
      <c r="O21" s="272"/>
      <c r="P21" s="272"/>
      <c r="Q21" s="272"/>
      <c r="R21" s="272"/>
      <c r="S21" s="272"/>
      <c r="T21" s="272"/>
      <c r="U21" s="272"/>
      <c r="V21" s="272"/>
      <c r="W21" s="272"/>
      <c r="X21" s="272"/>
      <c r="Y21" s="272"/>
      <c r="Z21" s="272"/>
      <c r="AA21" s="272"/>
      <c r="AB21" s="272"/>
      <c r="AC21" s="272"/>
      <c r="AD21" s="272"/>
    </row>
    <row r="22" spans="2:30" s="112" customFormat="1" ht="18" customHeight="1" outlineLevel="1" x14ac:dyDescent="0.3">
      <c r="G22" s="272"/>
      <c r="H22" s="272"/>
      <c r="I22" s="272"/>
      <c r="J22" s="272"/>
      <c r="L22" s="272"/>
      <c r="M22" s="272"/>
      <c r="N22" s="272"/>
      <c r="O22" s="272"/>
      <c r="P22" s="272"/>
      <c r="Q22" s="272"/>
      <c r="R22" s="272"/>
      <c r="S22" s="272"/>
      <c r="T22" s="272"/>
      <c r="U22" s="272"/>
      <c r="V22" s="272"/>
      <c r="W22" s="272"/>
      <c r="X22" s="272"/>
      <c r="Y22" s="272"/>
      <c r="Z22" s="272"/>
      <c r="AA22" s="272"/>
      <c r="AB22" s="272"/>
      <c r="AC22" s="272"/>
      <c r="AD22" s="272"/>
    </row>
    <row r="23" spans="2:30" s="112" customFormat="1" ht="16.5" x14ac:dyDescent="0.3">
      <c r="B23" s="97" t="s">
        <v>23</v>
      </c>
      <c r="C23" t="s">
        <v>865</v>
      </c>
      <c r="D23" t="s">
        <v>1142</v>
      </c>
      <c r="E23" t="s">
        <v>1143</v>
      </c>
      <c r="G23" s="272"/>
      <c r="H23" s="112" t="s">
        <v>827</v>
      </c>
      <c r="I23" s="112" t="s">
        <v>828</v>
      </c>
      <c r="J23" s="112" t="s">
        <v>588</v>
      </c>
      <c r="K23" s="112" t="s">
        <v>773</v>
      </c>
      <c r="L23" s="112" t="s">
        <v>829</v>
      </c>
      <c r="M23" s="112" t="s">
        <v>830</v>
      </c>
      <c r="N23" s="112" t="s">
        <v>831</v>
      </c>
      <c r="O23" s="112" t="s">
        <v>832</v>
      </c>
      <c r="P23" s="112" t="s">
        <v>833</v>
      </c>
      <c r="Q23" s="112" t="s">
        <v>834</v>
      </c>
      <c r="R23" s="112" t="s">
        <v>835</v>
      </c>
      <c r="S23" s="112" t="s">
        <v>836</v>
      </c>
      <c r="T23" s="112" t="s">
        <v>661</v>
      </c>
      <c r="U23" s="112" t="s">
        <v>837</v>
      </c>
      <c r="V23" s="112" t="s">
        <v>838</v>
      </c>
      <c r="W23" s="112" t="s">
        <v>710</v>
      </c>
      <c r="X23" s="112" t="s">
        <v>686</v>
      </c>
      <c r="Y23" s="112" t="s">
        <v>1137</v>
      </c>
      <c r="Z23" s="112" t="s">
        <v>1138</v>
      </c>
      <c r="AA23" s="514" t="s">
        <v>1139</v>
      </c>
      <c r="AB23" s="112" t="s">
        <v>1140</v>
      </c>
      <c r="AC23" s="112" t="s">
        <v>1141</v>
      </c>
      <c r="AD23" s="7" t="s">
        <v>883</v>
      </c>
    </row>
    <row r="24" spans="2:30" ht="16.5" x14ac:dyDescent="0.3">
      <c r="B24" s="98" t="s">
        <v>818</v>
      </c>
      <c r="C24" s="511">
        <v>5000000000</v>
      </c>
      <c r="D24" s="511">
        <v>440109514.03148526</v>
      </c>
      <c r="E24" s="515">
        <v>8.8021902806297056E-2</v>
      </c>
      <c r="G24" s="242"/>
      <c r="H24" s="242" t="s">
        <v>1131</v>
      </c>
      <c r="I24" s="242"/>
      <c r="J24" s="242" t="s">
        <v>765</v>
      </c>
      <c r="K24" s="242" t="s">
        <v>824</v>
      </c>
      <c r="L24" s="15"/>
      <c r="M24" s="242"/>
      <c r="N24" s="15">
        <v>350000000</v>
      </c>
      <c r="O24" s="407">
        <v>45175</v>
      </c>
      <c r="P24" s="15">
        <v>10</v>
      </c>
      <c r="Q24" s="18">
        <f>Table_TSCD[[#This Row],[Năm khấu hao]]*12</f>
        <v>120</v>
      </c>
      <c r="R24" s="407">
        <v>45175</v>
      </c>
      <c r="S24" s="407"/>
      <c r="T24" s="270">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9"/>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853</v>
      </c>
      <c r="Z24" s="18">
        <f ca="1">MIN(Table_TSCD[[#This Row],[Giá trị sổ sách]],Table_TSCD[[#This Row],[Giá trị sổ sách]]/(Table_TSCD[[#This Row],[Tháng khấu hao]]*365.25/12)*Table_TSCD[[#This Row],[Số ngày vận hành]])</f>
        <v>81738535.249828875</v>
      </c>
      <c r="AA24" s="71">
        <f ca="1">Table_TSCD[[#This Row],[Khấu hao lũy kế theo ngày]]/Table_TSCD[[#This Row],[Giá trị sổ sách]]</f>
        <v>0.2335386721423682</v>
      </c>
      <c r="AB24" s="18">
        <f ca="1">Table_TSCD[[#This Row],[Giá trị sổ sách]]-Table_TSCD[[#This Row],[Khấu hao lũy kế theo ngày]]</f>
        <v>268261464.75017112</v>
      </c>
      <c r="AC24" s="18">
        <f ca="1">MAX(0,IF(ISBLANK(Table_TSCD[[#This Row],[Ngày vận hành]]),0,
IF(ISBLANK(Table_TSCD[[#This Row],[Ngày thanh lý]]),
Table_TSCD[[#This Row],[Ngày kết thúc]]-TODAY(),0
)))</f>
        <v>2800</v>
      </c>
      <c r="AD24" s="242"/>
    </row>
    <row r="25" spans="2:30" ht="16.5" x14ac:dyDescent="0.3">
      <c r="B25" s="510" t="s">
        <v>1135</v>
      </c>
      <c r="C25" s="511">
        <v>5000000000</v>
      </c>
      <c r="D25" s="511">
        <v>440109514.03148526</v>
      </c>
      <c r="E25" s="515">
        <v>8.8021902806297056E-2</v>
      </c>
      <c r="G25" s="7" t="s">
        <v>1009</v>
      </c>
      <c r="H25" s="242" t="s">
        <v>1132</v>
      </c>
      <c r="I25" s="242"/>
      <c r="J25" s="242" t="s">
        <v>766</v>
      </c>
      <c r="K25" s="242" t="s">
        <v>822</v>
      </c>
      <c r="L25" s="15"/>
      <c r="M25" s="242"/>
      <c r="N25" s="15">
        <v>25000000</v>
      </c>
      <c r="O25" s="407">
        <v>45336</v>
      </c>
      <c r="P25" s="15">
        <v>3</v>
      </c>
      <c r="Q25" s="18">
        <f>Table_TSCD[[#This Row],[Năm khấu hao]]*12</f>
        <v>36</v>
      </c>
      <c r="R25" s="407">
        <v>45336</v>
      </c>
      <c r="S25" s="407"/>
      <c r="T25" s="270">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9"/>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692</v>
      </c>
      <c r="Z25" s="18">
        <f ca="1">MIN(Table_TSCD[[#This Row],[Giá trị sổ sách]],Table_TSCD[[#This Row],[Giá trị sổ sách]]/(Table_TSCD[[#This Row],[Tháng khấu hao]]*365.25/12)*Table_TSCD[[#This Row],[Số ngày vận hành]])</f>
        <v>15788272.872461785</v>
      </c>
      <c r="AA25" s="71">
        <f ca="1">Table_TSCD[[#This Row],[Khấu hao lũy kế theo ngày]]/Table_TSCD[[#This Row],[Giá trị sổ sách]]</f>
        <v>0.63153091489847135</v>
      </c>
      <c r="AB25" s="18">
        <f ca="1">Table_TSCD[[#This Row],[Giá trị sổ sách]]-Table_TSCD[[#This Row],[Khấu hao lũy kế theo ngày]]</f>
        <v>9211727.1275382154</v>
      </c>
      <c r="AC25" s="18">
        <f ca="1">MAX(0,IF(ISBLANK(Table_TSCD[[#This Row],[Ngày vận hành]]),0,
IF(ISBLANK(Table_TSCD[[#This Row],[Ngày thanh lý]]),
Table_TSCD[[#This Row],[Ngày kết thúc]]-TODAY(),0
)))</f>
        <v>404</v>
      </c>
      <c r="AD25" s="242"/>
    </row>
    <row r="26" spans="2:30" ht="16.5" x14ac:dyDescent="0.3">
      <c r="B26" s="98" t="s">
        <v>817</v>
      </c>
      <c r="C26" s="511">
        <v>3000000000</v>
      </c>
      <c r="D26" s="511">
        <v>269733059.54825461</v>
      </c>
      <c r="E26" s="515">
        <v>8.9911019849418197E-2</v>
      </c>
      <c r="H26" s="242" t="s">
        <v>1133</v>
      </c>
      <c r="I26" s="242"/>
      <c r="J26" s="242" t="s">
        <v>766</v>
      </c>
      <c r="K26" s="242" t="s">
        <v>820</v>
      </c>
      <c r="L26" s="15"/>
      <c r="M26" s="242"/>
      <c r="N26" s="15">
        <v>500000000</v>
      </c>
      <c r="O26" s="407">
        <v>45336</v>
      </c>
      <c r="P26" s="15">
        <v>5</v>
      </c>
      <c r="Q26" s="18">
        <f>Table_TSCD[[#This Row],[Năm khấu hao]]*12</f>
        <v>60</v>
      </c>
      <c r="R26" s="407">
        <v>45400</v>
      </c>
      <c r="S26" s="407"/>
      <c r="T26" s="270">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9"/>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628</v>
      </c>
      <c r="Z26" s="18">
        <f ca="1">MIN(Table_TSCD[[#This Row],[Giá trị sổ sách]],Table_TSCD[[#This Row],[Giá trị sổ sách]]/(Table_TSCD[[#This Row],[Tháng khấu hao]]*365.25/12)*Table_TSCD[[#This Row],[Số ngày vận hành]])</f>
        <v>171937029.43189597</v>
      </c>
      <c r="AA26" s="71">
        <f ca="1">Table_TSCD[[#This Row],[Khấu hao lũy kế theo ngày]]/Table_TSCD[[#This Row],[Giá trị sổ sách]]</f>
        <v>0.34387405886379196</v>
      </c>
      <c r="AB26" s="18">
        <f ca="1">Table_TSCD[[#This Row],[Giá trị sổ sách]]-Table_TSCD[[#This Row],[Khấu hao lũy kế theo ngày]]</f>
        <v>328062970.56810403</v>
      </c>
      <c r="AC26" s="18">
        <f ca="1">MAX(0,IF(ISBLANK(Table_TSCD[[#This Row],[Ngày vận hành]]),0,
IF(ISBLANK(Table_TSCD[[#This Row],[Ngày thanh lý]]),
Table_TSCD[[#This Row],[Ngày kết thúc]]-TODAY(),0
)))</f>
        <v>1198</v>
      </c>
      <c r="AD26" s="242"/>
    </row>
    <row r="27" spans="2:30" ht="16.5" x14ac:dyDescent="0.3">
      <c r="B27" s="510" t="s">
        <v>1136</v>
      </c>
      <c r="C27" s="511">
        <v>3000000000</v>
      </c>
      <c r="D27" s="511">
        <v>269733059.54825461</v>
      </c>
      <c r="E27" s="515">
        <v>8.9911019849418197E-2</v>
      </c>
      <c r="H27" s="242" t="s">
        <v>1134</v>
      </c>
      <c r="I27" s="242"/>
      <c r="J27" s="242" t="s">
        <v>765</v>
      </c>
      <c r="K27" s="242" t="s">
        <v>819</v>
      </c>
      <c r="L27" s="15"/>
      <c r="M27" s="242"/>
      <c r="N27" s="15">
        <v>1000000000</v>
      </c>
      <c r="O27" s="407">
        <v>45223</v>
      </c>
      <c r="P27" s="15">
        <v>10</v>
      </c>
      <c r="Q27" s="18">
        <f>Table_TSCD[[#This Row],[Năm khấu hao]]*12</f>
        <v>120</v>
      </c>
      <c r="R27" s="407">
        <v>45223</v>
      </c>
      <c r="S27" s="407"/>
      <c r="T27" s="270">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9"/>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805</v>
      </c>
      <c r="Z27" s="18">
        <f ca="1">MIN(Table_TSCD[[#This Row],[Giá trị sổ sách]],Table_TSCD[[#This Row],[Giá trị sổ sách]]/(Table_TSCD[[#This Row],[Tháng khấu hao]]*365.25/12)*Table_TSCD[[#This Row],[Số ngày vận hành]])</f>
        <v>220396988.36413416</v>
      </c>
      <c r="AA27" s="71">
        <f ca="1">Table_TSCD[[#This Row],[Khấu hao lũy kế theo ngày]]/Table_TSCD[[#This Row],[Giá trị sổ sách]]</f>
        <v>0.22039698836413416</v>
      </c>
      <c r="AB27" s="18">
        <f ca="1">Table_TSCD[[#This Row],[Giá trị sổ sách]]-Table_TSCD[[#This Row],[Khấu hao lũy kế theo ngày]]</f>
        <v>779603011.63586581</v>
      </c>
      <c r="AC27" s="18">
        <f ca="1">MAX(0,IF(ISBLANK(Table_TSCD[[#This Row],[Ngày vận hành]]),0,
IF(ISBLANK(Table_TSCD[[#This Row],[Ngày thanh lý]]),
Table_TSCD[[#This Row],[Ngày kết thúc]]-TODAY(),0
)))</f>
        <v>2848</v>
      </c>
      <c r="AD27" s="242"/>
    </row>
    <row r="28" spans="2:30" ht="16.5" x14ac:dyDescent="0.3">
      <c r="B28" s="98" t="s">
        <v>819</v>
      </c>
      <c r="C28" s="511">
        <v>1000000000</v>
      </c>
      <c r="D28" s="511">
        <v>162902121.83436003</v>
      </c>
      <c r="E28" s="515">
        <v>0.16290212183436004</v>
      </c>
      <c r="H28" s="242" t="s">
        <v>1135</v>
      </c>
      <c r="I28" s="242"/>
      <c r="J28" s="242" t="s">
        <v>595</v>
      </c>
      <c r="K28" s="242" t="s">
        <v>818</v>
      </c>
      <c r="L28" s="15"/>
      <c r="M28" s="242"/>
      <c r="N28" s="15">
        <v>5000000000</v>
      </c>
      <c r="O28" s="407">
        <v>45175</v>
      </c>
      <c r="P28" s="15">
        <v>20</v>
      </c>
      <c r="Q28" s="18">
        <f>Table_TSCD[[#This Row],[Năm khấu hao]]*12</f>
        <v>240</v>
      </c>
      <c r="R28" s="407">
        <v>45175</v>
      </c>
      <c r="S28" s="407"/>
      <c r="T28" s="270">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9"/>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853</v>
      </c>
      <c r="Z28" s="18">
        <f ca="1">MIN(Table_TSCD[[#This Row],[Giá trị sổ sách]],Table_TSCD[[#This Row],[Giá trị sổ sách]]/(Table_TSCD[[#This Row],[Tháng khấu hao]]*365.25/12)*Table_TSCD[[#This Row],[Số ngày vận hành]])</f>
        <v>583846680.35592055</v>
      </c>
      <c r="AA28" s="71">
        <f ca="1">Table_TSCD[[#This Row],[Khấu hao lũy kế theo ngày]]/Table_TSCD[[#This Row],[Giá trị sổ sách]]</f>
        <v>0.11676933607118412</v>
      </c>
      <c r="AB28" s="18">
        <f ca="1">Table_TSCD[[#This Row],[Giá trị sổ sách]]-Table_TSCD[[#This Row],[Khấu hao lũy kế theo ngày]]</f>
        <v>4416153319.6440792</v>
      </c>
      <c r="AC28" s="18">
        <f ca="1">MAX(0,IF(ISBLANK(Table_TSCD[[#This Row],[Ngày vận hành]]),0,
IF(ISBLANK(Table_TSCD[[#This Row],[Ngày thanh lý]]),
Table_TSCD[[#This Row],[Ngày kết thúc]]-TODAY(),0
)))</f>
        <v>6452</v>
      </c>
      <c r="AD28" s="242"/>
    </row>
    <row r="29" spans="2:30" ht="16.5" x14ac:dyDescent="0.3">
      <c r="B29" s="510" t="s">
        <v>1134</v>
      </c>
      <c r="C29" s="511">
        <v>1000000000</v>
      </c>
      <c r="D29" s="511">
        <v>162902121.83436003</v>
      </c>
      <c r="E29" s="515">
        <v>0.16290212183436004</v>
      </c>
      <c r="H29" s="242" t="s">
        <v>1136</v>
      </c>
      <c r="I29" s="242"/>
      <c r="J29" s="242" t="s">
        <v>595</v>
      </c>
      <c r="K29" s="242" t="s">
        <v>817</v>
      </c>
      <c r="L29" s="15"/>
      <c r="M29" s="242"/>
      <c r="N29" s="15">
        <v>3000000000</v>
      </c>
      <c r="O29" s="407">
        <v>44997</v>
      </c>
      <c r="P29" s="15">
        <v>25</v>
      </c>
      <c r="Q29" s="18">
        <f>Table_TSCD[[#This Row],[Năm khấu hao]]*12</f>
        <v>300</v>
      </c>
      <c r="R29" s="407">
        <v>44997</v>
      </c>
      <c r="S29" s="407"/>
      <c r="T29" s="270">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9"/>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1031</v>
      </c>
      <c r="Z29" s="18">
        <f ca="1">MIN(Table_TSCD[[#This Row],[Giá trị sổ sách]],Table_TSCD[[#This Row],[Giá trị sổ sách]]/(Table_TSCD[[#This Row],[Tháng khấu hao]]*365.25/12)*Table_TSCD[[#This Row],[Số ngày vận hành]])</f>
        <v>338726899.38398361</v>
      </c>
      <c r="AA29" s="71">
        <f ca="1">Table_TSCD[[#This Row],[Khấu hao lũy kế theo ngày]]/Table_TSCD[[#This Row],[Giá trị sổ sách]]</f>
        <v>0.11290896646132786</v>
      </c>
      <c r="AB29" s="18">
        <f ca="1">Table_TSCD[[#This Row],[Giá trị sổ sách]]-Table_TSCD[[#This Row],[Khấu hao lũy kế theo ngày]]</f>
        <v>2661273100.6160164</v>
      </c>
      <c r="AC29" s="18">
        <f ca="1">MAX(0,IF(ISBLANK(Table_TSCD[[#This Row],[Ngày vận hành]]),0,
IF(ISBLANK(Table_TSCD[[#This Row],[Ngày thanh lý]]),
Table_TSCD[[#This Row],[Ngày kết thúc]]-TODAY(),0
)))</f>
        <v>8100</v>
      </c>
      <c r="AD29" s="242"/>
    </row>
    <row r="30" spans="2:30" ht="16.5" x14ac:dyDescent="0.3">
      <c r="B30" s="98" t="s">
        <v>820</v>
      </c>
      <c r="C30" s="511">
        <v>500000000</v>
      </c>
      <c r="D30" s="511">
        <v>114442162.90212183</v>
      </c>
      <c r="E30" s="515">
        <v>0.22888432580424364</v>
      </c>
    </row>
    <row r="31" spans="2:30" ht="16.5" x14ac:dyDescent="0.3">
      <c r="B31" s="510" t="s">
        <v>1133</v>
      </c>
      <c r="C31" s="511">
        <v>500000000</v>
      </c>
      <c r="D31" s="511">
        <v>114442162.90212183</v>
      </c>
      <c r="E31" s="515">
        <v>0.22888432580424364</v>
      </c>
    </row>
    <row r="32" spans="2:30" ht="16.5" x14ac:dyDescent="0.3">
      <c r="B32" s="98" t="s">
        <v>824</v>
      </c>
      <c r="C32" s="511">
        <v>350000000</v>
      </c>
      <c r="D32" s="511">
        <v>61615331.964407936</v>
      </c>
      <c r="E32" s="515">
        <v>0.17604380561259411</v>
      </c>
      <c r="N32" s="7"/>
    </row>
    <row r="33" spans="2:14" ht="16.5" x14ac:dyDescent="0.3">
      <c r="B33" s="510" t="s">
        <v>1131</v>
      </c>
      <c r="C33" s="511">
        <v>350000000</v>
      </c>
      <c r="D33" s="511">
        <v>61615331.964407936</v>
      </c>
      <c r="E33" s="515">
        <v>0.17604380561259411</v>
      </c>
      <c r="N33" s="7"/>
    </row>
    <row r="34" spans="2:14" ht="16.5" x14ac:dyDescent="0.3">
      <c r="B34" s="98" t="s">
        <v>822</v>
      </c>
      <c r="C34" s="511">
        <v>25000000</v>
      </c>
      <c r="D34" s="511">
        <v>10997033.994980607</v>
      </c>
      <c r="E34" s="515">
        <v>0.43988135979922427</v>
      </c>
      <c r="N34" s="7"/>
    </row>
    <row r="35" spans="2:14" ht="16.5" x14ac:dyDescent="0.3">
      <c r="B35" s="510" t="s">
        <v>1132</v>
      </c>
      <c r="C35" s="511">
        <v>25000000</v>
      </c>
      <c r="D35" s="511">
        <v>10997033.994980607</v>
      </c>
      <c r="E35" s="515">
        <v>0.43988135979922427</v>
      </c>
      <c r="N35" s="7"/>
    </row>
    <row r="36" spans="2:14" ht="16.5" x14ac:dyDescent="0.3">
      <c r="B36" s="98" t="s">
        <v>1112</v>
      </c>
      <c r="C36" s="511">
        <v>9875000000</v>
      </c>
      <c r="D36" s="511">
        <v>1059799224.2756101</v>
      </c>
      <c r="E36" s="515">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10" customFormat="1" ht="22.5" customHeight="1" x14ac:dyDescent="0.3">
      <c r="B1" s="309">
        <v>0</v>
      </c>
      <c r="C1" s="309">
        <f t="shared" ref="C1:G1" si="0">+B1+1</f>
        <v>1</v>
      </c>
      <c r="D1" s="309">
        <f t="shared" si="0"/>
        <v>2</v>
      </c>
      <c r="E1" s="309">
        <f t="shared" si="0"/>
        <v>3</v>
      </c>
      <c r="F1" s="309">
        <f t="shared" si="0"/>
        <v>4</v>
      </c>
      <c r="G1" s="309">
        <f t="shared" si="0"/>
        <v>5</v>
      </c>
      <c r="H1" s="309"/>
      <c r="I1" s="309">
        <f>+G1+1</f>
        <v>6</v>
      </c>
      <c r="J1" s="309"/>
    </row>
    <row r="2" spans="2:10" s="95" customFormat="1" ht="18" customHeight="1" x14ac:dyDescent="0.3">
      <c r="B2" s="271"/>
      <c r="C2" s="271"/>
      <c r="D2" s="271"/>
      <c r="E2" s="271"/>
      <c r="F2" s="271"/>
      <c r="G2" s="271"/>
      <c r="H2" s="271"/>
      <c r="I2" s="271"/>
      <c r="J2" s="271"/>
    </row>
    <row r="3" spans="2:10" s="95" customFormat="1" ht="18" hidden="1" customHeight="1" outlineLevel="1" x14ac:dyDescent="0.3">
      <c r="B3" s="271"/>
      <c r="C3" s="271"/>
      <c r="D3" s="271"/>
      <c r="E3" s="112" t="s">
        <v>139</v>
      </c>
      <c r="F3" s="95" t="str" cm="1">
        <f t="array" ref="F3:G3">TRANSPOSE(_xlfn._xlws.SORT(_xlfn._xlws.FILTER(Table_NguyenLieu[Mã Nguyên liệu],Table_NguyenLieu[Chức năng]=E3,"")))</f>
        <v>NL1</v>
      </c>
      <c r="G3" s="271" t="str">
        <v>NL2</v>
      </c>
      <c r="H3" s="271"/>
      <c r="I3" s="271"/>
      <c r="J3" s="271"/>
    </row>
    <row r="4" spans="2:10" s="95" customFormat="1" ht="18" hidden="1" customHeight="1" outlineLevel="1" x14ac:dyDescent="0.3">
      <c r="B4" s="271"/>
      <c r="C4" s="271"/>
      <c r="D4" s="271"/>
      <c r="E4" s="95" t="s">
        <v>595</v>
      </c>
      <c r="F4" s="95" t="str" cm="1">
        <f t="array" ref="F4">TRANSPOSE(_xlfn._xlws.SORT(_xlfn._xlws.FILTER(Table_NguyenLieu[Mã Nguyên liệu],Table_NguyenLieu[Chức năng]=E4,"")))</f>
        <v/>
      </c>
      <c r="G4" s="271"/>
      <c r="H4" s="271"/>
      <c r="I4" s="271"/>
      <c r="J4" s="271"/>
    </row>
    <row r="5" spans="2:10" s="95" customFormat="1" ht="18" hidden="1" customHeight="1" outlineLevel="1" x14ac:dyDescent="0.3">
      <c r="B5" s="271"/>
      <c r="C5" s="271"/>
      <c r="D5" s="271"/>
      <c r="E5" s="95" t="s">
        <v>765</v>
      </c>
      <c r="F5" s="95" t="str" cm="1">
        <f t="array" ref="F5">TRANSPOSE(_xlfn._xlws.SORT(_xlfn._xlws.FILTER(Table_NguyenLieu[Mã Nguyên liệu],Table_NguyenLieu[Chức năng]=E5,"")))</f>
        <v/>
      </c>
      <c r="G5" s="271"/>
      <c r="H5" s="271"/>
      <c r="I5" s="271"/>
      <c r="J5" s="271"/>
    </row>
    <row r="6" spans="2:10" s="95" customFormat="1" ht="18" hidden="1" customHeight="1" outlineLevel="1" x14ac:dyDescent="0.3">
      <c r="B6" s="271"/>
      <c r="C6" s="271"/>
      <c r="D6" s="271"/>
      <c r="E6" s="95" t="s">
        <v>766</v>
      </c>
      <c r="F6" s="95" t="str" cm="1">
        <f t="array" ref="F6">TRANSPOSE(_xlfn._xlws.SORT(_xlfn._xlws.FILTER(Table_NguyenLieu[Mã Nguyên liệu],Table_NguyenLieu[Chức năng]=E6,"")))</f>
        <v/>
      </c>
      <c r="G6" s="271"/>
      <c r="H6" s="271"/>
      <c r="I6" s="271"/>
      <c r="J6" s="271"/>
    </row>
    <row r="7" spans="2:10" s="95" customFormat="1" ht="18" hidden="1" customHeight="1" outlineLevel="1" x14ac:dyDescent="0.3">
      <c r="B7" s="271"/>
      <c r="C7" s="271"/>
      <c r="D7" s="271"/>
      <c r="E7" s="95" t="s">
        <v>806</v>
      </c>
      <c r="F7" s="271" t="str" cm="1">
        <f t="array" ref="F7:G7">TRANSPOSE(_xlfn._xlws.SORT(Table_NguyenLieu[Mã Nguyên liệu]))</f>
        <v>NL1</v>
      </c>
      <c r="G7" s="271" t="str">
        <v>NL2</v>
      </c>
      <c r="H7" s="271"/>
      <c r="I7" s="271"/>
      <c r="J7" s="271"/>
    </row>
    <row r="8" spans="2:10" s="112" customFormat="1" ht="18" customHeight="1" collapsed="1" x14ac:dyDescent="0.3">
      <c r="B8" s="272"/>
      <c r="C8" s="172" t="s">
        <v>679</v>
      </c>
      <c r="D8" s="172" t="s">
        <v>842</v>
      </c>
      <c r="E8" s="172" t="s">
        <v>588</v>
      </c>
      <c r="F8" s="172" t="s">
        <v>322</v>
      </c>
      <c r="G8" s="174" t="s">
        <v>710</v>
      </c>
      <c r="H8" s="548" t="s">
        <v>1243</v>
      </c>
      <c r="I8" s="172" t="s">
        <v>17</v>
      </c>
      <c r="J8" s="7" t="s">
        <v>883</v>
      </c>
    </row>
    <row r="9" spans="2:10" ht="18" customHeight="1" x14ac:dyDescent="0.3">
      <c r="B9" s="242"/>
      <c r="C9" s="261" t="s">
        <v>1163</v>
      </c>
      <c r="D9" s="261"/>
      <c r="E9" s="261" t="s">
        <v>139</v>
      </c>
      <c r="F9" s="261"/>
      <c r="H9" s="446"/>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61"/>
    </row>
    <row r="10" spans="2:10" ht="18" customHeight="1" x14ac:dyDescent="0.3">
      <c r="C10" s="261" t="s">
        <v>1162</v>
      </c>
      <c r="D10" s="261"/>
      <c r="E10" s="261" t="s">
        <v>139</v>
      </c>
      <c r="F10" s="261"/>
      <c r="G10" s="43"/>
      <c r="H10" s="446"/>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2"/>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8"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10" customFormat="1" ht="22.5" customHeight="1" x14ac:dyDescent="0.3">
      <c r="A1" s="309">
        <v>0</v>
      </c>
      <c r="B1" s="309">
        <f>+A1+1</f>
        <v>1</v>
      </c>
      <c r="C1" s="309">
        <f t="shared" ref="C1:H1" si="0">+B1+1</f>
        <v>2</v>
      </c>
      <c r="D1" s="309">
        <f t="shared" si="0"/>
        <v>3</v>
      </c>
      <c r="E1" s="309">
        <f t="shared" si="0"/>
        <v>4</v>
      </c>
      <c r="F1" s="309">
        <f t="shared" si="0"/>
        <v>5</v>
      </c>
      <c r="G1" s="309">
        <f t="shared" si="0"/>
        <v>6</v>
      </c>
      <c r="H1" s="309">
        <f t="shared" si="0"/>
        <v>7</v>
      </c>
      <c r="I1" s="309">
        <f>+H1+1</f>
        <v>8</v>
      </c>
      <c r="J1" s="309">
        <f>+I1+1</f>
        <v>9</v>
      </c>
      <c r="K1" s="309">
        <f>+J1+1</f>
        <v>10</v>
      </c>
      <c r="L1" s="309">
        <f>+K1+1</f>
        <v>11</v>
      </c>
      <c r="M1" s="309">
        <f>+L1+1</f>
        <v>12</v>
      </c>
      <c r="N1" s="309"/>
      <c r="O1" s="309"/>
      <c r="P1" s="309"/>
      <c r="Q1" s="309"/>
    </row>
    <row r="2" spans="1:17" s="112" customFormat="1" ht="18" customHeight="1" x14ac:dyDescent="0.3">
      <c r="A2" s="272"/>
      <c r="B2" s="272"/>
      <c r="C2" s="272"/>
      <c r="D2" s="272"/>
      <c r="E2" s="272"/>
      <c r="F2" s="272"/>
      <c r="G2" s="272"/>
      <c r="H2" s="272"/>
      <c r="I2" s="272"/>
      <c r="J2" s="272"/>
      <c r="K2" s="272"/>
      <c r="L2" s="272"/>
      <c r="M2" s="272"/>
      <c r="N2" s="272"/>
      <c r="O2" s="272"/>
      <c r="P2" s="272"/>
      <c r="Q2" s="272"/>
    </row>
    <row r="3" spans="1:17" s="112" customFormat="1" ht="18" hidden="1" customHeight="1" outlineLevel="1" x14ac:dyDescent="0.3">
      <c r="A3" s="272"/>
      <c r="B3" s="272"/>
      <c r="C3" s="272"/>
      <c r="D3" s="272"/>
      <c r="E3" s="272"/>
      <c r="F3" s="272"/>
      <c r="G3" s="272"/>
      <c r="H3" s="272"/>
      <c r="I3" s="272"/>
      <c r="J3" s="272"/>
      <c r="K3" s="272"/>
      <c r="L3" s="272"/>
      <c r="M3" s="272"/>
      <c r="N3" s="272"/>
      <c r="O3" s="272"/>
      <c r="P3" s="112" t="s">
        <v>571</v>
      </c>
      <c r="Q3" s="112" t="str" cm="1">
        <f t="array" ref="Q3">TRANSPOSE(_xlfn._xlws.SORT(_xlfn._xlws.FILTER(Table_ChuongTrinh[Mã Chương trình],Table_ChuongTrinh[Đối tượng CK]=P3,"")))</f>
        <v/>
      </c>
    </row>
    <row r="4" spans="1:17" s="112" customFormat="1" ht="18" hidden="1" customHeight="1" outlineLevel="1" x14ac:dyDescent="0.3">
      <c r="A4" s="272"/>
      <c r="B4" s="272"/>
      <c r="C4" s="272"/>
      <c r="D4" s="272"/>
      <c r="E4" s="272"/>
      <c r="F4" s="272"/>
      <c r="G4" s="272"/>
      <c r="H4" s="272"/>
      <c r="I4" s="272"/>
      <c r="J4" s="272"/>
      <c r="K4" s="272"/>
      <c r="L4" s="272"/>
      <c r="M4" s="272"/>
      <c r="N4" s="272"/>
      <c r="O4" s="272"/>
      <c r="P4" s="112" t="s">
        <v>543</v>
      </c>
      <c r="Q4" s="112" t="str" cm="1">
        <f t="array" ref="Q4">TRANSPOSE(_xlfn._xlws.SORT(_xlfn._xlws.FILTER(Table_ChuongTrinh[Mã Chương trình],Table_ChuongTrinh[Đối tượng CK]=P4,"")))</f>
        <v/>
      </c>
    </row>
    <row r="5" spans="1:17" s="170" customFormat="1" ht="18" customHeight="1" collapsed="1" x14ac:dyDescent="0.3">
      <c r="A5" s="252"/>
      <c r="B5" s="112" t="s">
        <v>860</v>
      </c>
      <c r="C5" s="112" t="s">
        <v>861</v>
      </c>
      <c r="D5" s="112" t="s">
        <v>862</v>
      </c>
      <c r="E5" s="112" t="s">
        <v>251</v>
      </c>
      <c r="F5" s="112" t="s">
        <v>252</v>
      </c>
      <c r="G5" s="112" t="s">
        <v>690</v>
      </c>
      <c r="H5" s="112" t="s">
        <v>691</v>
      </c>
      <c r="I5" s="112" t="s">
        <v>30</v>
      </c>
      <c r="J5" s="112" t="s">
        <v>863</v>
      </c>
      <c r="K5" s="112" t="s">
        <v>929</v>
      </c>
      <c r="L5" s="112" t="s">
        <v>191</v>
      </c>
      <c r="M5" s="112" t="s">
        <v>134</v>
      </c>
      <c r="N5" s="7" t="s">
        <v>883</v>
      </c>
      <c r="O5" s="252"/>
      <c r="P5" s="252"/>
      <c r="Q5" s="252"/>
    </row>
    <row r="6" spans="1:17" ht="18" customHeight="1" x14ac:dyDescent="0.3">
      <c r="A6" s="273"/>
      <c r="B6" s="242" t="s">
        <v>1007</v>
      </c>
      <c r="C6" s="242"/>
      <c r="D6" s="242"/>
      <c r="E6" s="340"/>
      <c r="F6" s="340"/>
      <c r="G6" s="31"/>
      <c r="H6" s="15"/>
      <c r="I6" s="15"/>
      <c r="J6" s="15"/>
      <c r="K6" s="15"/>
      <c r="L6" s="15"/>
      <c r="M6" s="15"/>
      <c r="N6" s="242"/>
      <c r="O6" s="273"/>
      <c r="P6" s="273"/>
      <c r="Q6" s="273"/>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2" customFormat="1" x14ac:dyDescent="0.3">
      <c r="A3" s="301">
        <v>0</v>
      </c>
      <c r="B3" s="301">
        <v>1</v>
      </c>
      <c r="C3" s="301">
        <v>2</v>
      </c>
      <c r="D3" s="301">
        <v>3</v>
      </c>
      <c r="E3" s="301">
        <v>4</v>
      </c>
      <c r="F3" s="301">
        <v>5</v>
      </c>
      <c r="G3" s="301"/>
    </row>
    <row r="4" spans="1:7" x14ac:dyDescent="0.3">
      <c r="A4" s="273"/>
      <c r="B4" s="7" t="s">
        <v>47</v>
      </c>
      <c r="C4" s="7" t="s">
        <v>886</v>
      </c>
      <c r="D4" s="7" t="s">
        <v>885</v>
      </c>
      <c r="E4" s="7" t="s">
        <v>34</v>
      </c>
      <c r="F4" s="7" t="s">
        <v>157</v>
      </c>
      <c r="G4" s="7" t="s">
        <v>883</v>
      </c>
    </row>
    <row r="5" spans="1:7" x14ac:dyDescent="0.3">
      <c r="A5" s="273"/>
      <c r="B5" s="242"/>
      <c r="C5" s="242"/>
      <c r="D5" s="242"/>
      <c r="E5" s="242"/>
      <c r="F5" s="45"/>
      <c r="G5" s="242"/>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10" customFormat="1" ht="22.5" customHeight="1" x14ac:dyDescent="0.3">
      <c r="A1" s="309">
        <v>0</v>
      </c>
      <c r="B1" s="309">
        <f>+A1+1</f>
        <v>1</v>
      </c>
      <c r="C1" s="309">
        <f>+B1+1</f>
        <v>2</v>
      </c>
      <c r="D1" s="309">
        <f>+C1+1</f>
        <v>3</v>
      </c>
      <c r="E1" s="309"/>
    </row>
    <row r="2" spans="1:5" s="95" customFormat="1" ht="18" customHeight="1" x14ac:dyDescent="0.3">
      <c r="A2" s="271"/>
      <c r="B2" s="271"/>
      <c r="C2" s="271"/>
      <c r="D2" s="271"/>
      <c r="E2" s="271"/>
    </row>
    <row r="3" spans="1:5" s="95" customFormat="1" ht="18" customHeight="1" outlineLevel="1" x14ac:dyDescent="0.3">
      <c r="A3" s="271"/>
      <c r="B3" s="271"/>
      <c r="C3" s="271"/>
      <c r="D3" s="95" t="s">
        <v>888</v>
      </c>
      <c r="E3" s="95" t="str" cm="1">
        <f t="array" ref="E3">TRANSPOSE(_xlfn._xlws.SORT(_xlfn._xlws.FILTER(Table_Kenh[Mã Kênh],Table_Kenh[Nhóm Kênh]=D3,"")))</f>
        <v/>
      </c>
    </row>
    <row r="4" spans="1:5" s="95" customFormat="1" ht="18" customHeight="1" outlineLevel="1" x14ac:dyDescent="0.3">
      <c r="A4" s="271"/>
      <c r="B4" s="271"/>
      <c r="C4" s="271"/>
      <c r="D4" s="95" t="s">
        <v>806</v>
      </c>
      <c r="E4" s="271" t="str" cm="1">
        <f t="array" ref="E4">TRANSPOSE(_xlfn._xlws.SORT(Table_Kenh[Mã Kênh]))</f>
        <v>A</v>
      </c>
    </row>
    <row r="5" spans="1:5" s="112" customFormat="1" ht="18" customHeight="1" x14ac:dyDescent="0.3">
      <c r="A5" s="272"/>
      <c r="B5" s="171" t="s">
        <v>34</v>
      </c>
      <c r="C5" s="171" t="s">
        <v>858</v>
      </c>
      <c r="D5" s="171" t="s">
        <v>859</v>
      </c>
      <c r="E5" s="7" t="s">
        <v>883</v>
      </c>
    </row>
    <row r="6" spans="1:5" ht="18" customHeight="1" x14ac:dyDescent="0.3">
      <c r="A6" s="242"/>
      <c r="B6" s="242" t="s">
        <v>1007</v>
      </c>
      <c r="C6" s="242"/>
      <c r="D6" s="242"/>
      <c r="E6" s="242"/>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918</v>
      </c>
      <c r="G2" s="423">
        <v>90</v>
      </c>
    </row>
    <row r="3" spans="2:8" ht="18" customHeight="1" x14ac:dyDescent="0.3">
      <c r="F3" s="7" t="s">
        <v>1027</v>
      </c>
      <c r="G3" s="423">
        <v>180</v>
      </c>
    </row>
    <row r="4" spans="2:8" ht="18" customHeight="1" x14ac:dyDescent="0.3">
      <c r="B4" s="7" t="s">
        <v>912</v>
      </c>
      <c r="C4" s="7" t="s">
        <v>913</v>
      </c>
      <c r="D4" s="7" t="s">
        <v>914</v>
      </c>
      <c r="E4" s="7" t="s">
        <v>915</v>
      </c>
      <c r="F4" s="7" t="s">
        <v>916</v>
      </c>
      <c r="G4" s="7" t="s">
        <v>917</v>
      </c>
      <c r="H4" s="7" t="s">
        <v>883</v>
      </c>
    </row>
    <row r="5" spans="2:8" ht="18" customHeight="1" x14ac:dyDescent="0.3">
      <c r="B5" s="7" t="s">
        <v>919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920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921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922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923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924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L8"/>
  <sheetViews>
    <sheetView showGridLines="0" workbookViewId="0">
      <selection activeCell="K6" sqref="K6"/>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10" width="9.75" style="7" customWidth="1"/>
    <col min="11" max="11" width="7" style="7" bestFit="1" customWidth="1"/>
    <col min="12" max="12" width="6.75" style="7" bestFit="1" customWidth="1"/>
    <col min="13" max="16384" width="9" style="7"/>
  </cols>
  <sheetData>
    <row r="1" spans="1:12"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c r="K1" s="309">
        <f>+I1+1</f>
        <v>9</v>
      </c>
      <c r="L1" s="309"/>
    </row>
    <row r="2" spans="1:12" s="95" customFormat="1" ht="18" customHeight="1" x14ac:dyDescent="0.3">
      <c r="A2" s="271"/>
      <c r="B2" s="271"/>
      <c r="C2" s="271"/>
      <c r="D2" s="271"/>
      <c r="E2" s="271"/>
      <c r="F2" s="271"/>
      <c r="G2" s="271"/>
      <c r="H2" s="271"/>
      <c r="I2" s="271"/>
      <c r="J2" s="271"/>
      <c r="K2" s="271"/>
      <c r="L2" s="271"/>
    </row>
    <row r="3" spans="1:12" s="95" customFormat="1" ht="18" customHeight="1" outlineLevel="1" x14ac:dyDescent="0.3">
      <c r="A3" s="271"/>
      <c r="B3" s="271"/>
      <c r="C3" s="271"/>
      <c r="D3" s="95" t="s">
        <v>856</v>
      </c>
      <c r="E3" s="95" t="str" cm="1">
        <f t="array" ref="E3">TRANSPOSE(_xlfn._xlws.SORT(_xlfn._xlws.FILTER(Table_KhachHang[Mã KH],Table_KhachHang[Phân khúc]=D3,"")))</f>
        <v/>
      </c>
      <c r="F3" s="271"/>
      <c r="G3" s="271"/>
      <c r="H3" s="271"/>
      <c r="I3" s="271"/>
      <c r="J3" s="271"/>
      <c r="K3" s="271"/>
      <c r="L3" s="271"/>
    </row>
    <row r="4" spans="1:12" s="95" customFormat="1" ht="18" customHeight="1" outlineLevel="1" x14ac:dyDescent="0.3">
      <c r="A4" s="271"/>
      <c r="B4" s="271"/>
      <c r="C4" s="271"/>
      <c r="D4" s="95" t="s">
        <v>806</v>
      </c>
      <c r="E4" s="271" t="str" cm="1">
        <f t="array" ref="E4:G4">TRANSPOSE(_xlfn._xlws.SORT(Table_KhachHang[Mã KH]))</f>
        <v>KH1</v>
      </c>
      <c r="F4" s="271" t="str">
        <v>KH2</v>
      </c>
      <c r="G4" s="271" t="str">
        <v>KH3</v>
      </c>
      <c r="H4" s="271"/>
      <c r="I4" s="271"/>
      <c r="J4" s="271"/>
      <c r="K4" s="271"/>
      <c r="L4" s="271"/>
    </row>
    <row r="5" spans="1:12" s="112" customFormat="1" ht="18" customHeight="1" x14ac:dyDescent="0.3">
      <c r="A5" s="272"/>
      <c r="B5" s="112" t="s">
        <v>24</v>
      </c>
      <c r="C5" s="112" t="s">
        <v>857</v>
      </c>
      <c r="D5" s="112" t="s">
        <v>25</v>
      </c>
      <c r="E5" s="112" t="s">
        <v>541</v>
      </c>
      <c r="F5" s="112" t="s">
        <v>793</v>
      </c>
      <c r="G5" s="112" t="s">
        <v>792</v>
      </c>
      <c r="H5" s="112" t="s">
        <v>882</v>
      </c>
      <c r="I5" s="112" t="s">
        <v>26</v>
      </c>
      <c r="J5" s="112" t="s">
        <v>928</v>
      </c>
      <c r="K5" s="112" t="s">
        <v>169</v>
      </c>
      <c r="L5" s="112" t="s">
        <v>883</v>
      </c>
    </row>
    <row r="6" spans="1:12" ht="18" customHeight="1" x14ac:dyDescent="0.3">
      <c r="A6" s="242"/>
      <c r="B6" s="242" t="s">
        <v>1207</v>
      </c>
      <c r="C6" s="242"/>
      <c r="D6" s="242"/>
      <c r="E6" s="242"/>
      <c r="F6" s="242"/>
      <c r="G6" s="242"/>
      <c r="H6" s="242"/>
      <c r="I6" s="242"/>
      <c r="J6" s="340"/>
      <c r="K6" s="18">
        <f>IFERROR(VLOOKUP(Table_KhachHang[[#This Row],[Mã KH]],Table_PhaiThu[#All],COUNTA(Table_PhaiThu[#Headers])-1,0),0)</f>
        <v>-800000</v>
      </c>
      <c r="L6" s="242"/>
    </row>
    <row r="7" spans="1:12" ht="18" customHeight="1" x14ac:dyDescent="0.3">
      <c r="B7" s="242" t="s">
        <v>1206</v>
      </c>
      <c r="C7" s="242"/>
      <c r="D7" s="242"/>
      <c r="E7" s="242"/>
      <c r="F7" s="242"/>
      <c r="G7" s="242"/>
      <c r="H7" s="242"/>
      <c r="I7" s="242"/>
      <c r="J7" s="340"/>
      <c r="K7" s="18">
        <f>IFERROR(VLOOKUP(Table_KhachHang[[#This Row],[Mã KH]],Table_PhaiThu[#All],COUNTA(Table_PhaiThu[#Headers])-1,0),0)</f>
        <v>300000</v>
      </c>
      <c r="L7" s="242"/>
    </row>
    <row r="8" spans="1:12" ht="18" customHeight="1" x14ac:dyDescent="0.3">
      <c r="B8" s="242" t="s">
        <v>1205</v>
      </c>
      <c r="C8" s="242"/>
      <c r="D8" s="242"/>
      <c r="E8" s="242"/>
      <c r="F8" s="242"/>
      <c r="G8" s="242"/>
      <c r="H8" s="242"/>
      <c r="I8" s="242"/>
      <c r="J8" s="340"/>
      <c r="K8" s="18">
        <f>IFERROR(VLOOKUP(Table_KhachHang[[#This Row],[Mã KH]],Table_PhaiThu[#All],COUNTA(Table_PhaiThu[#Headers])-1,0),0)</f>
        <v>400000</v>
      </c>
      <c r="L8" s="242"/>
    </row>
  </sheetData>
  <sheetProtection algorithmName="SHA-512" hashValue="QE4k2tU9Otyze+uL5NSQjgLuDiDe6FWFABLxxMcOIk8OBWft51W4KDMQ1VWcTsOa1TTBhyeqPCJiCmhZEd3rBA==" saltValue="3xaviSuegJwEmkG20c3org==" spinCount="100000" sheet="1" scenarios="1" formatCells="0" formatColumns="0" formatRows="0" insertColumns="0" insertRows="0" deleteColumns="0" deleteRows="0" sort="0" autoFilter="0" pivotTables="0"/>
  <protectedRanges>
    <protectedRange sqref="P1:XFD4 L1:O2 L8:L1048576 L3:M4 M5:XFD1048576 A1:K1048576" name="Range1"/>
    <protectedRange sqref="L5 L7 L6" name="Range1_1"/>
  </protectedRanges>
  <phoneticPr fontId="14" type="noConversion"/>
  <conditionalFormatting sqref="B6:B8">
    <cfRule type="duplicateValues" dxfId="47"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9525</xdr:colOff>
                    <xdr:row>0</xdr:row>
                    <xdr:rowOff>114300</xdr:rowOff>
                  </from>
                  <to>
                    <xdr:col>7</xdr:col>
                    <xdr:colOff>485775</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523875</xdr:colOff>
                    <xdr:row>0</xdr:row>
                    <xdr:rowOff>114300</xdr:rowOff>
                  </from>
                  <to>
                    <xdr:col>8</xdr:col>
                    <xdr:colOff>257175</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12</xdr:col>
                    <xdr:colOff>66675</xdr:colOff>
                    <xdr:row>3</xdr:row>
                    <xdr:rowOff>114300</xdr:rowOff>
                  </from>
                  <to>
                    <xdr:col>12</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12</xdr:col>
                    <xdr:colOff>619125</xdr:colOff>
                    <xdr:row>3</xdr:row>
                    <xdr:rowOff>114300</xdr:rowOff>
                  </from>
                  <to>
                    <xdr:col>13</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P3:XFD4 L3:M4 L1:XFD2 A1:K4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10" customFormat="1" ht="22.5" customHeight="1" x14ac:dyDescent="0.3">
      <c r="A1" s="309">
        <v>0</v>
      </c>
      <c r="B1" s="309"/>
      <c r="C1" s="309"/>
      <c r="D1" s="309"/>
      <c r="E1" s="309"/>
      <c r="F1" s="309"/>
      <c r="G1" s="309">
        <f>+A5+1</f>
        <v>1</v>
      </c>
      <c r="H1" s="309">
        <f>+G1+1</f>
        <v>2</v>
      </c>
      <c r="I1" s="309">
        <f>+H1+1</f>
        <v>3</v>
      </c>
      <c r="J1" s="309">
        <f>+I1+1</f>
        <v>4</v>
      </c>
      <c r="K1" s="309">
        <f>+J1+1</f>
        <v>5</v>
      </c>
      <c r="L1" s="309"/>
      <c r="M1" s="309">
        <f>+K1+1</f>
        <v>6</v>
      </c>
      <c r="N1" s="309"/>
      <c r="O1" s="309"/>
      <c r="P1" s="309"/>
    </row>
    <row r="2" spans="1:16" s="112" customFormat="1" ht="18" customHeight="1" x14ac:dyDescent="0.3">
      <c r="A2" s="272"/>
      <c r="B2" s="272"/>
      <c r="C2" s="272"/>
      <c r="D2" s="272"/>
      <c r="E2" s="272"/>
      <c r="F2" s="272"/>
      <c r="G2" s="272"/>
      <c r="H2" s="272"/>
      <c r="I2" s="272"/>
      <c r="J2" s="272"/>
      <c r="K2" s="272"/>
      <c r="L2" s="272"/>
      <c r="M2" s="272"/>
      <c r="N2" s="272"/>
      <c r="O2" s="272"/>
      <c r="P2" s="272"/>
    </row>
    <row r="3" spans="1:16" s="112" customFormat="1" ht="18" customHeight="1" outlineLevel="1" x14ac:dyDescent="0.3">
      <c r="A3" s="272"/>
      <c r="B3" s="173" t="s">
        <v>29</v>
      </c>
      <c r="C3" s="173" t="s">
        <v>58</v>
      </c>
      <c r="D3" s="173" t="s">
        <v>62</v>
      </c>
      <c r="E3" s="173" t="s">
        <v>281</v>
      </c>
      <c r="F3" s="272"/>
      <c r="G3" s="272"/>
      <c r="H3" s="272"/>
      <c r="I3" s="272"/>
      <c r="J3" s="272"/>
      <c r="K3" s="272"/>
      <c r="L3" s="272"/>
      <c r="M3" s="272"/>
      <c r="N3" s="272"/>
      <c r="O3" s="272"/>
      <c r="P3" s="272"/>
    </row>
    <row r="4" spans="1:16" s="112" customFormat="1" ht="18" customHeight="1" outlineLevel="1" x14ac:dyDescent="0.3">
      <c r="A4" s="272"/>
      <c r="B4" s="272"/>
      <c r="C4" s="274"/>
      <c r="D4" s="274"/>
      <c r="E4" s="272"/>
      <c r="F4" s="272"/>
      <c r="G4" s="272"/>
      <c r="H4" s="272"/>
      <c r="I4" s="272"/>
      <c r="J4" s="272"/>
      <c r="K4" s="272"/>
      <c r="L4" s="272"/>
      <c r="M4" s="272"/>
      <c r="N4" s="272"/>
      <c r="O4" s="272"/>
      <c r="P4" s="272"/>
    </row>
    <row r="5" spans="1:16" s="112" customFormat="1" ht="18" customHeight="1" outlineLevel="1" x14ac:dyDescent="0.3">
      <c r="A5" s="272"/>
      <c r="B5" s="274"/>
      <c r="C5" s="272"/>
      <c r="D5" s="272"/>
      <c r="E5" s="112" t="s">
        <v>281</v>
      </c>
      <c r="F5" s="272"/>
      <c r="G5" s="272"/>
      <c r="H5" s="272"/>
      <c r="I5" s="272"/>
      <c r="J5" s="272"/>
      <c r="K5" s="272"/>
      <c r="L5" s="272"/>
      <c r="M5" s="272"/>
      <c r="N5" s="272"/>
      <c r="O5" s="272"/>
      <c r="P5" s="272"/>
    </row>
    <row r="6" spans="1:16" s="112" customFormat="1" ht="18" customHeight="1" outlineLevel="1" x14ac:dyDescent="0.3">
      <c r="A6" s="272"/>
      <c r="B6" s="272"/>
      <c r="C6" s="272"/>
      <c r="D6" s="272"/>
      <c r="E6" s="272"/>
      <c r="F6" s="112" t="s">
        <v>843</v>
      </c>
      <c r="G6" s="112" t="str" cm="1">
        <f t="array" ref="G6">TRANSPOSE(_xlfn._xlws.SORT(_xlfn._xlws.FILTER(Table_SKU[Mã SKU],Table_SKU[Loại hình]=F6,"")))</f>
        <v>HH1</v>
      </c>
      <c r="H6" s="272"/>
      <c r="I6" s="272"/>
      <c r="J6" s="272"/>
      <c r="K6" s="272"/>
      <c r="L6" s="272"/>
      <c r="M6" s="272"/>
      <c r="N6" s="272"/>
      <c r="O6" s="272"/>
      <c r="P6" s="272"/>
    </row>
    <row r="7" spans="1:16" s="112" customFormat="1" ht="18" customHeight="1" outlineLevel="1" x14ac:dyDescent="0.3">
      <c r="A7" s="272"/>
      <c r="B7" s="272"/>
      <c r="C7" s="272"/>
      <c r="D7" s="272"/>
      <c r="E7" s="272"/>
      <c r="F7" s="112" t="s">
        <v>844</v>
      </c>
      <c r="G7" s="112" t="str" cm="1">
        <f t="array" ref="G7:H7">TRANSPOSE(_xlfn._xlws.SORT(_xlfn._xlws.FILTER(Table_SKU[Mã SKU],Table_SKU[Loại hình]=F7,"")))</f>
        <v>TP1</v>
      </c>
      <c r="H7" s="272" t="str">
        <v>TP2</v>
      </c>
      <c r="I7" s="272"/>
      <c r="J7" s="272"/>
      <c r="K7" s="272"/>
      <c r="L7" s="272"/>
      <c r="M7" s="272"/>
      <c r="N7" s="272"/>
      <c r="O7" s="272"/>
      <c r="P7" s="272"/>
    </row>
    <row r="8" spans="1:16" s="112" customFormat="1" ht="18" customHeight="1" outlineLevel="1" x14ac:dyDescent="0.3">
      <c r="A8" s="272"/>
      <c r="B8" s="272"/>
      <c r="C8" s="272"/>
      <c r="D8" s="272"/>
      <c r="E8" s="272"/>
      <c r="F8" s="112" t="s">
        <v>150</v>
      </c>
      <c r="G8" s="112" t="str" cm="1">
        <f t="array" ref="G8">TRANSPOSE(_xlfn._xlws.SORT(_xlfn._xlws.FILTER(Table_SKU[Mã SKU],Table_SKU[Loại hình]=F8,"")))</f>
        <v/>
      </c>
      <c r="H8" s="272"/>
      <c r="I8" s="272"/>
      <c r="J8" s="272"/>
      <c r="K8" s="272"/>
      <c r="L8" s="272"/>
      <c r="M8" s="272"/>
      <c r="N8" s="272"/>
      <c r="O8" s="272"/>
      <c r="P8" s="272"/>
    </row>
    <row r="9" spans="1:16" s="112" customFormat="1" ht="18" customHeight="1" outlineLevel="1" x14ac:dyDescent="0.3">
      <c r="A9" s="272"/>
      <c r="B9" s="272"/>
      <c r="C9" s="272"/>
      <c r="D9" s="272"/>
      <c r="E9" s="272"/>
      <c r="F9" s="112" t="s">
        <v>806</v>
      </c>
      <c r="G9" s="272" t="str" cm="1">
        <f t="array" ref="G9:I9">TRANSPOSE(_xlfn._xlws.SORT(Table_SKU[Mã SKU]))</f>
        <v>HH1</v>
      </c>
      <c r="H9" s="272" t="str">
        <v>TP1</v>
      </c>
      <c r="I9" s="272" t="str">
        <v>TP2</v>
      </c>
      <c r="J9" s="272"/>
      <c r="K9" s="272"/>
      <c r="L9" s="272"/>
      <c r="M9" s="272"/>
      <c r="N9" s="272"/>
      <c r="O9" s="272"/>
      <c r="P9" s="272"/>
    </row>
    <row r="10" spans="1:16" ht="18" customHeight="1" x14ac:dyDescent="0.3">
      <c r="A10" s="242"/>
      <c r="B10" s="437" t="s">
        <v>29</v>
      </c>
      <c r="C10" s="438" t="s">
        <v>58</v>
      </c>
      <c r="D10" s="438" t="s">
        <v>62</v>
      </c>
      <c r="E10" s="437" t="s">
        <v>845</v>
      </c>
      <c r="F10" s="437" t="s">
        <v>846</v>
      </c>
      <c r="G10" s="437" t="s">
        <v>31</v>
      </c>
      <c r="H10" s="437" t="s">
        <v>707</v>
      </c>
      <c r="I10" s="437" t="s">
        <v>322</v>
      </c>
      <c r="J10" s="437" t="s">
        <v>847</v>
      </c>
      <c r="K10" s="437" t="s">
        <v>710</v>
      </c>
      <c r="L10" s="548" t="s">
        <v>1243</v>
      </c>
      <c r="M10" s="172" t="s">
        <v>17</v>
      </c>
      <c r="N10" s="7" t="s">
        <v>883</v>
      </c>
      <c r="O10" s="242"/>
      <c r="P10" s="248"/>
    </row>
    <row r="11" spans="1:16" ht="18" customHeight="1" x14ac:dyDescent="0.3">
      <c r="A11" s="242"/>
      <c r="B11" s="242"/>
      <c r="C11" s="242"/>
      <c r="D11" s="242"/>
      <c r="E11" s="242"/>
      <c r="F11" s="242" t="s">
        <v>844</v>
      </c>
      <c r="G11" s="249" t="s">
        <v>1161</v>
      </c>
      <c r="H11" s="242"/>
      <c r="I11" s="242"/>
      <c r="J11" s="15">
        <v>500000</v>
      </c>
      <c r="L11" s="446"/>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2"/>
      <c r="O11" s="242"/>
      <c r="P11" s="248"/>
    </row>
    <row r="12" spans="1:16" ht="18" customHeight="1" x14ac:dyDescent="0.3">
      <c r="A12" s="242"/>
      <c r="B12" s="242"/>
      <c r="C12" s="242"/>
      <c r="D12" s="242"/>
      <c r="E12" s="242"/>
      <c r="F12" s="242" t="s">
        <v>844</v>
      </c>
      <c r="G12" s="249" t="s">
        <v>1160</v>
      </c>
      <c r="H12" s="242"/>
      <c r="I12" s="242"/>
      <c r="J12" s="15">
        <v>300000</v>
      </c>
      <c r="L12" s="446"/>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2"/>
      <c r="O12" s="242"/>
      <c r="P12" s="248"/>
    </row>
    <row r="13" spans="1:16" ht="18" customHeight="1" x14ac:dyDescent="0.3">
      <c r="A13" s="242"/>
      <c r="B13" s="242"/>
      <c r="C13" s="242"/>
      <c r="D13" s="242"/>
      <c r="E13" s="242"/>
      <c r="F13" s="242" t="s">
        <v>843</v>
      </c>
      <c r="G13" s="249" t="s">
        <v>1159</v>
      </c>
      <c r="H13" s="242"/>
      <c r="I13" s="242"/>
      <c r="J13" s="15">
        <v>100000</v>
      </c>
      <c r="K13" s="45"/>
      <c r="L13" s="549"/>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2"/>
      <c r="O13" s="242"/>
      <c r="P13" s="248"/>
    </row>
    <row r="14" spans="1:16" ht="18" customHeight="1" x14ac:dyDescent="0.3">
      <c r="A14" s="242"/>
      <c r="B14" s="242"/>
      <c r="C14" s="242"/>
      <c r="D14" s="242"/>
      <c r="E14" s="242"/>
      <c r="F14" s="242"/>
      <c r="G14" s="242"/>
      <c r="H14" s="242"/>
      <c r="I14" s="242"/>
      <c r="J14" s="242"/>
      <c r="K14" s="242"/>
      <c r="L14" s="242"/>
      <c r="M14" s="242"/>
      <c r="N14" s="242"/>
      <c r="O14" s="242"/>
      <c r="P14" s="248"/>
    </row>
    <row r="15" spans="1:16" ht="18" customHeight="1" x14ac:dyDescent="0.3">
      <c r="A15" s="242"/>
      <c r="B15" s="242"/>
      <c r="C15" s="242"/>
      <c r="D15" s="242"/>
      <c r="E15" s="242"/>
      <c r="F15" s="242"/>
      <c r="G15" s="242"/>
      <c r="H15" s="242"/>
      <c r="I15" s="242"/>
      <c r="J15" s="242"/>
      <c r="K15" s="242"/>
      <c r="L15" s="242"/>
      <c r="M15" s="242"/>
      <c r="N15" s="242"/>
      <c r="O15" s="242"/>
      <c r="P15" s="248"/>
    </row>
    <row r="16" spans="1:16" ht="18" customHeight="1" x14ac:dyDescent="0.3">
      <c r="A16" s="242"/>
      <c r="B16" s="242"/>
      <c r="C16" s="242"/>
      <c r="D16" s="242"/>
      <c r="E16" s="242"/>
      <c r="F16" s="242"/>
      <c r="G16" s="242"/>
      <c r="H16" s="242"/>
      <c r="I16" s="242"/>
      <c r="J16" s="242"/>
      <c r="K16" s="242"/>
      <c r="L16" s="242"/>
      <c r="M16" s="242"/>
      <c r="N16" s="242"/>
      <c r="O16" s="242"/>
      <c r="P16" s="248"/>
    </row>
    <row r="17" spans="1:16" ht="18" customHeight="1" x14ac:dyDescent="0.3">
      <c r="A17" s="242"/>
      <c r="B17" s="242"/>
      <c r="C17" s="242"/>
      <c r="D17" s="242"/>
      <c r="E17" s="242"/>
      <c r="F17" s="242"/>
      <c r="G17" s="242"/>
      <c r="H17" s="242"/>
      <c r="I17" s="242"/>
      <c r="J17" s="242"/>
      <c r="K17" s="242"/>
      <c r="L17" s="242"/>
      <c r="M17" s="242"/>
      <c r="N17" s="242"/>
      <c r="O17" s="242"/>
      <c r="P17" s="248"/>
    </row>
    <row r="18" spans="1:16" ht="18" customHeight="1" x14ac:dyDescent="0.3">
      <c r="A18" s="242"/>
      <c r="B18" s="242"/>
      <c r="C18" s="242"/>
      <c r="D18" s="242"/>
      <c r="E18" s="242"/>
      <c r="F18" s="242"/>
      <c r="G18" s="242"/>
      <c r="H18" s="242"/>
      <c r="I18" s="242"/>
      <c r="J18" s="242"/>
      <c r="K18" s="242"/>
      <c r="L18" s="242"/>
      <c r="M18" s="242"/>
      <c r="N18" s="242"/>
      <c r="O18" s="242"/>
      <c r="P18" s="248"/>
    </row>
    <row r="19" spans="1:16" ht="18" customHeight="1" x14ac:dyDescent="0.3">
      <c r="A19" s="242"/>
      <c r="B19" s="242"/>
      <c r="C19" s="242"/>
      <c r="D19" s="242"/>
      <c r="E19" s="242"/>
      <c r="F19" s="242"/>
      <c r="G19" s="242"/>
      <c r="H19" s="242"/>
      <c r="I19" s="242"/>
      <c r="J19" s="242"/>
      <c r="K19" s="242"/>
      <c r="L19" s="242"/>
      <c r="M19" s="242"/>
      <c r="N19" s="242"/>
      <c r="O19" s="242"/>
      <c r="P19" s="248"/>
    </row>
    <row r="20" spans="1:16" ht="18" customHeight="1" x14ac:dyDescent="0.3">
      <c r="A20" s="242"/>
      <c r="B20" s="242"/>
      <c r="C20" s="242"/>
      <c r="D20" s="242"/>
      <c r="E20" s="242"/>
      <c r="F20" s="242"/>
      <c r="G20" s="242"/>
      <c r="H20" s="242"/>
      <c r="I20" s="242"/>
      <c r="J20" s="242"/>
      <c r="K20" s="242"/>
      <c r="L20" s="242"/>
      <c r="M20" s="242"/>
      <c r="N20" s="242"/>
      <c r="O20" s="242"/>
      <c r="P20" s="248"/>
    </row>
    <row r="21" spans="1:16" ht="18" customHeight="1" x14ac:dyDescent="0.3">
      <c r="B21" s="242"/>
      <c r="C21" s="242"/>
      <c r="D21" s="242"/>
      <c r="E21" s="242"/>
      <c r="F21" s="242"/>
      <c r="G21" s="242"/>
      <c r="H21" s="242"/>
      <c r="I21" s="242"/>
      <c r="J21" s="242"/>
      <c r="K21" s="242"/>
      <c r="L21" s="242"/>
      <c r="M21" s="242"/>
      <c r="N21" s="242"/>
    </row>
    <row r="22" spans="1:16" ht="18" customHeight="1" x14ac:dyDescent="0.3">
      <c r="B22" s="242"/>
      <c r="C22" s="242"/>
      <c r="D22" s="242"/>
      <c r="E22" s="242"/>
      <c r="F22" s="242"/>
      <c r="G22" s="242"/>
      <c r="H22" s="242"/>
      <c r="I22" s="242"/>
      <c r="J22" s="242"/>
      <c r="K22" s="242"/>
      <c r="L22" s="242"/>
      <c r="M22" s="242"/>
      <c r="N22" s="242"/>
    </row>
    <row r="23" spans="1:16" ht="18" customHeight="1" x14ac:dyDescent="0.3">
      <c r="B23" s="242"/>
      <c r="C23" s="242"/>
      <c r="D23" s="242"/>
      <c r="E23" s="242"/>
      <c r="F23" s="242"/>
      <c r="G23" s="242"/>
      <c r="H23" s="242"/>
      <c r="I23" s="242"/>
      <c r="J23" s="242"/>
      <c r="K23" s="242"/>
      <c r="L23" s="242"/>
      <c r="M23" s="242"/>
      <c r="N23" s="242"/>
    </row>
    <row r="24" spans="1:16" ht="18" customHeight="1" x14ac:dyDescent="0.3">
      <c r="B24" s="242"/>
      <c r="C24" s="242"/>
      <c r="D24" s="242"/>
      <c r="E24" s="242"/>
      <c r="F24" s="242"/>
      <c r="G24" s="242"/>
      <c r="H24" s="242"/>
      <c r="I24" s="242"/>
      <c r="J24" s="242"/>
      <c r="K24" s="242"/>
      <c r="L24" s="242"/>
      <c r="M24" s="242"/>
      <c r="N24" s="242"/>
    </row>
    <row r="25" spans="1:16" ht="18" customHeight="1" x14ac:dyDescent="0.3">
      <c r="B25" s="242"/>
      <c r="C25" s="242"/>
      <c r="D25" s="242"/>
      <c r="E25" s="242"/>
      <c r="F25" s="242"/>
      <c r="G25" s="242"/>
      <c r="H25" s="242"/>
      <c r="I25" s="242"/>
      <c r="J25" s="242"/>
      <c r="K25" s="242"/>
      <c r="L25" s="242"/>
      <c r="M25" s="242"/>
      <c r="N25" s="242"/>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301">
        <v>0</v>
      </c>
      <c r="B2" s="301">
        <f>+A2+1</f>
        <v>1</v>
      </c>
      <c r="C2" s="301">
        <f>+B2+1</f>
        <v>2</v>
      </c>
      <c r="D2" s="301">
        <f>+C2+1</f>
        <v>3</v>
      </c>
      <c r="E2" s="301">
        <f>+D2+1</f>
        <v>4</v>
      </c>
      <c r="F2" s="301"/>
    </row>
    <row r="3" spans="1:6" ht="18" customHeight="1" x14ac:dyDescent="0.3">
      <c r="A3" s="242"/>
      <c r="B3" s="42" t="s">
        <v>839</v>
      </c>
      <c r="C3" s="42" t="s">
        <v>840</v>
      </c>
      <c r="D3" s="42" t="s">
        <v>793</v>
      </c>
      <c r="E3" s="42" t="s">
        <v>841</v>
      </c>
      <c r="F3" s="42" t="s">
        <v>883</v>
      </c>
    </row>
    <row r="4" spans="1:6" ht="18" customHeight="1" x14ac:dyDescent="0.3">
      <c r="A4" s="242"/>
      <c r="B4" s="261" t="s">
        <v>1165</v>
      </c>
      <c r="C4" s="261"/>
      <c r="D4" s="261"/>
      <c r="E4" s="261"/>
      <c r="F4" s="242"/>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  
</file>

<file path=customXml/item3.xml>�� 
</file>

<file path=customXml/item4.xml>�� 
</file>

<file path=customXml/item5.xml>�� � � � � � � � � i � �  d � i �m   s �  d � �� �  l � � � � � i � �  l � i � i � i �n   c � � � � � � �p     �  �  �  �  l ��  �  � �� �i   t �� � �� �t   � � �  l � � �  l �� �  t � � � � �n   v � �  s u � �  l � � � �i   t �� � � � � �  t �n   � �  t � � � � � � � � � � � �  l �� � � � � � �  s u � � � � � � � � � �� �  l � � � �� �  l � � � �  l � �n   � � �p     �  �  �  �  l ��  �  � 
</file>

<file path=customXml/item6.xml>��   
</file>

<file path=customXml/item7.xml>��   
</file>

<file path=customXml/item8.xml>��   
</file>

<file path=customXml/item9.xml>�� 
</file>

<file path=customXml/item10.xml>�� �� �i   t �� � �� �t   � � �  l � � �  l �� �  t � � �� �i   t �� � �� �t   � � �  l � � �  l �� �  t � � 
</file>

<file path=customXml/item11.xml>�� 
</file>

<file path=customXml/item12.xml>��   
</file>

<file path=customXml/item13.xml>�� 
</file>

<file path=customXml/item14.xml>�� � � � � � �    � � � � � � 
</file>

<file path=customXml/item15.xml>�� 
</file>

<file path=customXml/item16.xml>��   
</file>

<file path=customXml/item17.xml>��   
</file>

<file path=customXml/item18.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19.xml>�� � � � �� �  l � � � � i �m   s �  d � � �n   c � � �p    � � � � i � �  d �  �  �  �  �  l ��  �  � i � i �  l � i � i � � � � �� �  l � � � � i �m   s �  d � � �n   c � � �p    � � � � i � �  d �  �  �  �  �  l ��  �  � i � i �  l � i � i � 
</file>

<file path=customXml/item20.xml>��   
</file>

<file path=customXml/item21.xml>�� 
</file>

<file path=customXml/item22.xml>�� � � � � � � � � � � 
</file>

<file path=customXml/item23.xml>�� � � �n   v � �  s u � �  l � � � � �n   v � �  s u � �  l � � 
</file>

<file path=customXml/item24.xml>�� 
</file>

<file path=customXml/item25.xml>��   
</file>

<file path=customXml/item26.xml>�� 
</file>

<file path=customXml/item27.xml>��   
</file>

<file path=customXml/item28.xml>��   
</file>

<file path=customXml/item29.xml>�� � � � � 
</file>

<file path=customXml/item30.xml>�� 
</file>

<file path=customXml/item31.xml>��   
</file>

<file path=customXml/item32.xml>�� 
</file>

<file path=customXml/item33.xml>�� 
</file>

<file path=customXml/item34.xml>�� � � �  t �n   � �  t � � � � � � �i   t �� � � � � � � �  l �� � � � � � �  s u � � � � � � � � � �� �  l � � � �� �  l � � � �  l � �n   � � �p     �  �  �  �  l ��  �  � � � � � �  t �n   � �  t � � � � � � �i   t �� � � � � � � �  l �� � � � � � �  s u � � � � � � � � � �� �  l � � � �� �  l � � � �  l � �n   � � �p     �  �  �  �  l ��  �  � � � 
</file>

<file path=customXml/item35.xml>�� �n   �u   t � �n   �u   t � �  �u   t � �i   h � �  �  �u   t � �   � �n   �u   t � �n   �u   t � �  �u   t � �i   h � �  �  �u   t � �   � 
</file>

<file path=customXml/item36.xml>��   
</file>

<file path=customXml/item37.xml>�� 
</file>

<file path=customXml/itemProps1.xml><?xml version="1.0" encoding="utf-8"?>
<ds:datastoreItem xmlns:ds="http://schemas.openxmlformats.org/officeDocument/2006/customXml" ds:itemID="{9B4A4A44-C59B-4F5C-909F-85355EDEA872}">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E745100C-1AC8-468E-84F7-3659A806CA45}">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EBE38DC9-93F1-4A40-AB85-9004638D48E2}">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9E94C942-6F7D-4A68-9432-23867B043DC6}">
  <ds:schemaRefs/>
</ds:datastoreItem>
</file>

<file path=customXml/itemProps8.xml><?xml version="1.0" encoding="utf-8"?>
<ds:datastoreItem xmlns:ds="http://schemas.openxmlformats.org/officeDocument/2006/customXml" ds:itemID="{E74E3CE3-A8E6-4CD2-832B-7027C80CBB62}">
  <ds:schemaRefs/>
</ds:datastoreItem>
</file>

<file path=customXml/itemProps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2C9CC992-EC0C-4200-865B-A4059F2340A6}">
  <ds:schemaRefs/>
</ds:datastoreItem>
</file>

<file path=customXml/itemProps14.xml><?xml version="1.0" encoding="utf-8"?>
<ds:datastoreItem xmlns:ds="http://schemas.openxmlformats.org/officeDocument/2006/customXml" ds:itemID="{33BFCAE0-8CBE-4C1C-BB72-272DFFB7588D}">
  <ds:schemaRefs/>
</ds:datastoreItem>
</file>

<file path=customXml/itemProps15.xml><?xml version="1.0" encoding="utf-8"?>
<ds:datastoreItem xmlns:ds="http://schemas.openxmlformats.org/officeDocument/2006/customXml" ds:itemID="{921600D5-C528-4F77-BA88-1963C63E993C}">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9DC923F4-1EC5-4B94-BAB9-67A144899A21}">
  <ds:schemaRefs/>
</ds:datastoreItem>
</file>

<file path=customXml/itemProps18.xml><?xml version="1.0" encoding="utf-8"?>
<ds:datastoreItem xmlns:ds="http://schemas.openxmlformats.org/officeDocument/2006/customXml" ds:itemID="{1567CD95-8E3F-4FEC-A530-84B69C2E9371}">
  <ds:schemaRefs/>
</ds:datastoreItem>
</file>

<file path=customXml/itemProps19.xml><?xml version="1.0" encoding="utf-8"?>
<ds:datastoreItem xmlns:ds="http://schemas.openxmlformats.org/officeDocument/2006/customXml" ds:itemID="{1C3D8E49-708C-47DB-80E1-F53F4A0673AC}">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F2145A25-FC67-4E71-99E4-ED21FC90E8A2}">
  <ds:schemaRefs/>
</ds:datastoreItem>
</file>

<file path=customXml/itemProps23.xml><?xml version="1.0" encoding="utf-8"?>
<ds:datastoreItem xmlns:ds="http://schemas.openxmlformats.org/officeDocument/2006/customXml" ds:itemID="{584F28E9-849A-497A-B7B7-AE2BAA06EB0A}">
  <ds:schemaRefs/>
</ds:datastoreItem>
</file>

<file path=customXml/itemProps24.xml><?xml version="1.0" encoding="utf-8"?>
<ds:datastoreItem xmlns:ds="http://schemas.openxmlformats.org/officeDocument/2006/customXml" ds:itemID="{4A386E9B-34CA-4A07-A92C-A4B96BAD6F19}">
  <ds:schemaRefs/>
</ds:datastoreItem>
</file>

<file path=customXml/itemProps25.xml><?xml version="1.0" encoding="utf-8"?>
<ds:datastoreItem xmlns:ds="http://schemas.openxmlformats.org/officeDocument/2006/customXml" ds:itemID="{C07E275B-476F-4C8C-82D7-F2E5F7E682DF}">
  <ds:schemaRefs/>
</ds:datastoreItem>
</file>

<file path=customXml/itemProps26.xml><?xml version="1.0" encoding="utf-8"?>
<ds:datastoreItem xmlns:ds="http://schemas.openxmlformats.org/officeDocument/2006/customXml" ds:itemID="{D7E9DCE9-0DA0-4A5D-AF00-69BF42ADE111}">
  <ds:schemaRefs/>
</ds:datastoreItem>
</file>

<file path=customXml/itemProps2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0.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3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2.xml><?xml version="1.0" encoding="utf-8"?>
<ds:datastoreItem xmlns:ds="http://schemas.openxmlformats.org/officeDocument/2006/customXml" ds:itemID="{1DB546EC-0D51-4752-AEDC-C3609675D25A}">
  <ds:schemaRefs/>
</ds:datastoreItem>
</file>

<file path=customXml/itemProps33.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4.xml><?xml version="1.0" encoding="utf-8"?>
<ds:datastoreItem xmlns:ds="http://schemas.openxmlformats.org/officeDocument/2006/customXml" ds:itemID="{21C78F33-EDA8-4986-95A6-4E56FC7C8EE8}">
  <ds:schemaRefs/>
</ds:datastoreItem>
</file>

<file path=customXml/itemProps3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6.xml><?xml version="1.0" encoding="utf-8"?>
<ds:datastoreItem xmlns:ds="http://schemas.openxmlformats.org/officeDocument/2006/customXml" ds:itemID="{104A6CAF-8CC0-4F12-8051-31E2340CC4C2}">
  <ds:schemaRefs/>
</ds:datastoreItem>
</file>

<file path=customXml/itemProps37.xml><?xml version="1.0" encoding="utf-8"?>
<ds:datastoreItem xmlns:ds="http://schemas.openxmlformats.org/officeDocument/2006/customXml" ds:itemID="{45ED2FBC-7CC2-4A2F-9354-35AE03D4F0BA}">
  <ds:schemaRefs>
    <ds:schemaRef ds:uri="http://gemini/pivotcustomization/LinkedTableUpdate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98</vt:i4>
      </vt:variant>
    </vt:vector>
  </HeadingPairs>
  <TitlesOfParts>
    <vt:vector size="101" baseType="lpstr">
      <vt:lpstr>EULA</vt:lpstr>
      <vt:lpstr>Contents</vt:lpstr>
      <vt:lpstr>Code</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2026-01-06T04:03:03Z</dcterms:modified>
  <cp:category/>
  <cp:contentStatus/>
</cp:coreProperties>
</file>