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drawings/drawing39.xml" ContentType="application/vnd.openxmlformats-officedocument.drawing+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drawings/drawing40.xml" ContentType="application/vnd.openxmlformats-officedocument.drawing+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tables/table106.xml" ContentType="application/vnd.openxmlformats-officedocument.spreadsheetml.table+xml"/>
  <Override PartName="/xl/drawings/drawing41.xml" ContentType="application/vnd.openxmlformats-officedocument.drawing+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tables/table111.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tables/table112.xml" ContentType="application/vnd.openxmlformats-officedocument.spreadsheetml.table+xml"/>
  <Override PartName="/xl/drawings/drawing44.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tables/table113.xml" ContentType="application/vnd.openxmlformats-officedocument.spreadsheetml.table+xml"/>
  <Override PartName="/xl/drawings/drawing45.xml" ContentType="application/vnd.openxmlformats-officedocument.drawing+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tables/table114.xml" ContentType="application/vnd.openxmlformats-officedocument.spreadsheetml.table+xml"/>
  <Override PartName="/xl/drawings/drawing46.xml" ContentType="application/vnd.openxmlformats-officedocument.drawing+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tables/table115.xml" ContentType="application/vnd.openxmlformats-officedocument.spreadsheetml.table+xml"/>
  <Override PartName="/xl/drawings/drawing47.xml" ContentType="application/vnd.openxmlformats-officedocument.drawing+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tables/table116.xml" ContentType="application/vnd.openxmlformats-officedocument.spreadsheetml.table+xml"/>
  <Override PartName="/xl/drawings/drawing48.xml" ContentType="application/vnd.openxmlformats-officedocument.drawing+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tables/table117.xml" ContentType="application/vnd.openxmlformats-officedocument.spreadsheetml.table+xml"/>
  <Override PartName="/xl/drawings/drawing49.xml" ContentType="application/vnd.openxmlformats-officedocument.drawing+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tables/table118.xml" ContentType="application/vnd.openxmlformats-officedocument.spreadsheetml.table+xml"/>
  <Override PartName="/xl/tables/table119.xml" ContentType="application/vnd.openxmlformats-officedocument.spreadsheetml.table+xml"/>
  <Override PartName="/xl/drawings/drawing50.xml" ContentType="application/vnd.openxmlformats-officedocument.drawing+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tables/table12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ownloads\"/>
    </mc:Choice>
  </mc:AlternateContent>
  <xr:revisionPtr revIDLastSave="0" documentId="8_{E9483577-23CC-4C5D-A025-8E7ADE5EA2E9}" xr6:coauthVersionLast="47" xr6:coauthVersionMax="47" xr10:uidLastSave="{00000000-0000-0000-0000-000000000000}"/>
  <workbookProtection workbookAlgorithmName="SHA-512" workbookHashValue="IgDGPkAjhYCpQ/i5EbxwE0j3b7qjPzv+BaG/CAD/WJpJ12Y+ESaadm8OCHtbOcXgPXRcvUHPpOV4KG4lzGYmyg==" workbookSaltValue="sv1KDUozzFpI7+0Yl6SL7Q==" workbookSpinCount="100000" lockStructure="1"/>
  <bookViews>
    <workbookView xWindow="-120" yWindow="-120" windowWidth="29040" windowHeight="15720" tabRatio="717" firstSheet="2" activeTab="2"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state="veryHidden" r:id="rId14"/>
    <sheet name="Sheet_PhaiThu" sheetId="46" state="veryHidden" r:id="rId15"/>
    <sheet name="Sheet_PhaiTra" sheetId="47" state="veryHidden"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state="veryHidden" r:id="rId22"/>
    <sheet name="Sheet_ChamCong" sheetId="61" state="veryHidden" r:id="rId23"/>
    <sheet name="Sheet_KPIBanHang" sheetId="52" state="veryHidden" r:id="rId24"/>
    <sheet name="Sheet_KhauHao" sheetId="63" state="veryHidden" r:id="rId25"/>
    <sheet name="Sheet_NopNS" sheetId="54" state="veryHidden" r:id="rId26"/>
    <sheet name="Sheet_LaiVay" sheetId="64" state="veryHidden" r:id="rId27"/>
    <sheet name="Sheet_PhaiThuDauTu" sheetId="65" state="veryHidden" r:id="rId28"/>
    <sheet name="Sheet_Main" sheetId="29" state="veryHidden" r:id="rId29"/>
    <sheet name="Sheet_DonMua" sheetId="10" state="veryHidden" r:id="rId30"/>
    <sheet name="Sheet_DonBan" sheetId="6" state="veryHidden" r:id="rId31"/>
    <sheet name="Sheet_VanDon" sheetId="13" state="veryHidden"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state="veryHidden" r:id="rId40"/>
    <sheet name="Code" sheetId="81" r:id="rId41"/>
    <sheet name="Sheet_DoiTac" sheetId="9" state="veryHidden" r:id="rId42"/>
    <sheet name="Sheet_CauTruc" sheetId="55" state="veryHidden" r:id="rId43"/>
    <sheet name="Sheet_TSCD" sheetId="37" state="veryHidden"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10" hidden="1">Dashboard_SanPham!$BJ$8:$BJ$9</definedName>
    <definedName name="_xlchart.v1.11" hidden="1">Dashboard_SanPham!$BK$7</definedName>
    <definedName name="_xlchart.v1.12" hidden="1">Dashboard_SanPham!$BL$8:$BL$9</definedName>
    <definedName name="_xlchart.v1.13" hidden="1">Dashboard_KPI!$BM$5:$BM$7</definedName>
    <definedName name="_xlchart.v1.14" hidden="1">Dashboard_KPI!$BN$4</definedName>
    <definedName name="_xlchart.v1.15" hidden="1">Dashboard_KPI!$BN$5:$BN$7</definedName>
    <definedName name="_xlchart.v1.16" hidden="1">Dashboard_KPI!$BH$5:$BH$6</definedName>
    <definedName name="_xlchart.v1.17" hidden="1">Dashboard_KPI!$BI$4</definedName>
    <definedName name="_xlchart.v1.18" hidden="1">Dashboard_KPI!$BI$5:$BI$6</definedName>
    <definedName name="_xlchart.v1.19" hidden="1">Dashboard_KPI!$BM$5:$BM$7</definedName>
    <definedName name="_xlchart.v1.20" hidden="1">Dashboard_KPI!$BO$4</definedName>
    <definedName name="_xlchart.v1.21" hidden="1">Dashboard_KPI!$BO$5:$BO$7</definedName>
    <definedName name="_xlchart.v1.22" hidden="1">Dashboard_KPI!$BH$5:$BH$6</definedName>
    <definedName name="_xlchart.v1.23" hidden="1">Dashboard_KPI!$BJ$5:$BJ$6</definedName>
    <definedName name="_xlchart.v1.24" hidden="1">Dashboard_ChuongTrinh!$BD$6:$BD$6</definedName>
    <definedName name="_xlchart.v1.25" hidden="1">Dashboard_ChuongTrinh!$BF$6:$BF$6</definedName>
    <definedName name="_xlchart.v1.26" hidden="1">Dashboard_ChuongTrinh!$AY$6:$AY$6</definedName>
    <definedName name="_xlchart.v1.27" hidden="1">Dashboard_ChuongTrinh!$BA$6:$BA$6</definedName>
    <definedName name="_xlchart.v1.4" hidden="1">Dashboard_ThiTruong!$BJ$8:$BJ$10</definedName>
    <definedName name="_xlchart.v1.5" hidden="1">Dashboard_ThiTruong!$BK$8:$BK$10</definedName>
    <definedName name="_xlchart.v5.0" hidden="1">Dashboard_ThiTruong!$BF$7</definedName>
    <definedName name="_xlchart.v5.1" hidden="1">Dashboard_ThiTruong!$BF$8:$BF$14</definedName>
    <definedName name="_xlchart.v5.2" hidden="1">Dashboard_ThiTruong!$BG$8:$BG$14</definedName>
    <definedName name="_xlchart.v5.3" hidden="1">Dashboard_ThiTruong!$H$37</definedName>
    <definedName name="_xlchart.v5.6" hidden="1">Dashboard_SanPham!$BF$7</definedName>
    <definedName name="_xlchart.v5.7" hidden="1">Dashboard_SanPham!$BF$8:$BF$14</definedName>
    <definedName name="_xlchart.v5.8" hidden="1">Dashboard_SanPham!$BG$8:$BG$14</definedName>
    <definedName name="_xlchart.v5.9" hidden="1">Dashboard_SanPham!$H$37</definedName>
    <definedName name="_xlcn.WorksheetConnection_Dashboard.xlsxRef_Dates1" hidden="1">Ref_Dates[]</definedName>
    <definedName name="_xlcn.WorksheetConnection_Dashboard.xlsxRef_Periods1" hidden="1">Ref_Periods[]</definedName>
    <definedName name="_xlcn.WorksheetConnection_Dashboard.xlsxTable_ChuongTrinh1" hidden="1">Table_ChuongTrinh[]</definedName>
    <definedName name="_xlcn.WorksheetConnection_Dashboard.xlsxTable_Datafeed1" hidden="1">Table_Datafeed[]</definedName>
    <definedName name="_xlcn.WorksheetConnection_Dashboard.xlsxTable_DonBan1" hidden="1">Table_DonBan[]</definedName>
    <definedName name="_xlcn.WorksheetConnection_Dashboard.xlsxTable_Kenh1" hidden="1">Table_Kenh[]</definedName>
    <definedName name="_xlcn.WorksheetConnection_Dashboard.xlsxTable_KhachHang1" hidden="1">Table_KhachHang[]</definedName>
    <definedName name="_xlcn.WorksheetConnection_Dashboard.xlsxTable_KPI1" hidden="1">Table_KPI[]</definedName>
    <definedName name="_xlcn.WorksheetConnection_Dashboard.xlsxTable_Main1" hidden="1">Table_Main[]</definedName>
    <definedName name="_xlcn.WorksheetConnection_Dashboard.xlsxTable_NhanVien1" hidden="1">Table_NhanVien[]</definedName>
    <definedName name="_xlcn.WorksheetConnection_Dashboard.xlsxTable_SKU1"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PRODUCT" hidden="1" xlm="1">#NAME?</definedName>
    <definedName name="_xleta.SUM" hidden="1" xlm="1">#NAME?</definedName>
    <definedName name="_xleta.SUMPRODUCT" hidden="1" xlm="1">#NAME?</definedName>
    <definedName name="_xleta.VLOOKUP"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0" r:id="rId53"/>
    <pivotCache cacheId="1" r:id="rId54"/>
    <pivotCache cacheId="2" r:id="rId55"/>
    <pivotCache cacheId="3" r:id="rId56"/>
    <pivotCache cacheId="4" r:id="rId57"/>
    <pivotCache cacheId="5" r:id="rId58"/>
    <pivotCache cacheId="6" r:id="rId59"/>
    <pivotCache cacheId="7" r:id="rId60"/>
    <pivotCache cacheId="8" r:id="rId61"/>
    <pivotCache cacheId="9" r:id="rId62"/>
    <pivotCache cacheId="10" r:id="rId63"/>
    <pivotCache cacheId="11" r:id="rId64"/>
    <pivotCache cacheId="12" r:id="rId65"/>
    <pivotCache cacheId="13" r:id="rId66"/>
    <pivotCache cacheId="14" r:id="rId67"/>
    <pivotCache cacheId="15" r:id="rId68"/>
  </pivotCaches>
  <extLst>
    <ext xmlns:x14="http://schemas.microsoft.com/office/spreadsheetml/2009/9/main" uri="{876F7934-8845-4945-9796-88D515C7AA90}">
      <x14:pivotCaches>
        <pivotCache cacheId="16"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7" r:id="rId74"/>
        <pivotCache cacheId="18" r:id="rId75"/>
        <pivotCache cacheId="19"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5" i="29" l="1"/>
  <c r="AG7" i="29"/>
  <c r="AG8" i="29"/>
  <c r="AG9" i="29"/>
  <c r="AG10" i="29"/>
  <c r="AG11" i="29"/>
  <c r="AG12" i="29"/>
  <c r="AG13" i="29"/>
  <c r="AG14" i="29"/>
  <c r="AG15" i="29"/>
  <c r="AG19" i="29"/>
  <c r="AG20" i="29"/>
  <c r="AG21" i="29"/>
  <c r="AG25" i="29"/>
  <c r="AG26" i="29"/>
  <c r="AG28" i="29"/>
  <c r="AG29" i="29"/>
  <c r="AG32" i="29"/>
  <c r="AG34" i="29"/>
  <c r="AG35" i="29"/>
  <c r="AG36" i="29"/>
  <c r="AG37" i="29"/>
  <c r="AG38" i="29"/>
  <c r="AG40" i="29"/>
  <c r="AG41" i="29"/>
  <c r="AG45" i="29"/>
  <c r="AG46" i="29"/>
  <c r="AG49" i="29"/>
  <c r="AG51" i="29"/>
  <c r="AG52" i="29"/>
  <c r="AG53" i="29"/>
  <c r="AG54" i="29"/>
  <c r="AG57" i="29"/>
  <c r="AG59" i="29"/>
  <c r="AG60" i="29"/>
  <c r="AG62" i="29"/>
  <c r="AG65" i="29"/>
  <c r="AG66" i="29"/>
  <c r="AG67" i="29"/>
  <c r="AG68" i="29"/>
  <c r="AG69" i="29"/>
  <c r="AG71" i="29"/>
  <c r="AG72" i="29"/>
  <c r="AG73" i="29"/>
  <c r="AG74" i="29"/>
  <c r="AG75" i="29"/>
  <c r="AG76" i="29"/>
  <c r="AG77" i="29"/>
  <c r="AG78" i="29"/>
  <c r="AG79" i="29"/>
  <c r="AG80" i="29"/>
  <c r="AG81" i="29"/>
  <c r="AF5" i="29"/>
  <c r="AF6" i="29"/>
  <c r="AF7" i="29"/>
  <c r="AF8" i="29"/>
  <c r="AF9" i="29"/>
  <c r="AF10" i="29"/>
  <c r="AF11" i="29"/>
  <c r="AF12" i="29"/>
  <c r="AF13" i="29"/>
  <c r="AF14" i="29"/>
  <c r="AF15" i="29"/>
  <c r="AF16" i="29"/>
  <c r="AF17" i="29"/>
  <c r="AF18" i="29"/>
  <c r="AF19" i="29"/>
  <c r="AF20" i="29"/>
  <c r="AF21" i="29"/>
  <c r="AF22" i="29"/>
  <c r="AF23" i="29"/>
  <c r="AF24" i="29"/>
  <c r="AF25" i="29"/>
  <c r="AF26" i="29"/>
  <c r="AF27" i="29"/>
  <c r="AF28" i="29"/>
  <c r="AF29" i="29"/>
  <c r="AF30" i="29"/>
  <c r="AF31" i="29"/>
  <c r="AF32" i="29"/>
  <c r="AF33" i="29"/>
  <c r="AF34" i="29"/>
  <c r="AF35" i="29"/>
  <c r="AF36" i="29"/>
  <c r="AF37" i="29"/>
  <c r="AF38" i="29"/>
  <c r="AF39" i="29"/>
  <c r="AF40" i="29"/>
  <c r="AF41" i="29"/>
  <c r="AF42" i="29"/>
  <c r="AF43" i="29"/>
  <c r="AF44" i="29"/>
  <c r="AF45" i="29"/>
  <c r="AF46" i="29"/>
  <c r="AF47" i="29"/>
  <c r="AF48" i="29"/>
  <c r="AF49" i="29"/>
  <c r="AF50" i="29"/>
  <c r="AF51" i="29"/>
  <c r="AF52" i="29"/>
  <c r="AF53" i="29"/>
  <c r="AF54" i="29"/>
  <c r="AF55" i="29"/>
  <c r="AF56" i="29"/>
  <c r="AF57" i="29"/>
  <c r="AF58" i="29"/>
  <c r="AF59" i="29"/>
  <c r="AF60" i="29"/>
  <c r="AF61" i="29"/>
  <c r="AF62" i="29"/>
  <c r="AF63" i="29"/>
  <c r="AF64" i="29"/>
  <c r="AF65" i="29"/>
  <c r="AF66" i="29"/>
  <c r="AF67" i="29"/>
  <c r="AF68" i="29"/>
  <c r="AF69" i="29"/>
  <c r="AF70" i="29"/>
  <c r="AF71" i="29"/>
  <c r="AF72" i="29"/>
  <c r="AF73" i="29"/>
  <c r="AF74" i="29"/>
  <c r="AF75" i="29"/>
  <c r="AF76" i="29"/>
  <c r="AF77" i="29"/>
  <c r="AF78" i="29"/>
  <c r="AF79" i="29"/>
  <c r="AF80" i="29"/>
  <c r="AF81" i="29"/>
  <c r="AG3" i="29"/>
  <c r="AF3" i="29"/>
  <c r="F116" i="32" l="1" a="1"/>
  <c r="F116" i="32" s="1"/>
  <c r="E116" i="32" a="1"/>
  <c r="E116" i="32" s="1"/>
  <c r="P116" i="32" a="1"/>
  <c r="P116" i="32" s="1"/>
  <c r="O116" i="32" a="1"/>
  <c r="O116" i="32" s="1"/>
  <c r="K116" i="32" a="1"/>
  <c r="K116" i="32" s="1"/>
  <c r="J116" i="32" a="1"/>
  <c r="J116" i="32" s="1"/>
  <c r="T46" i="40" l="1" a="1"/>
  <c r="T46" i="40" s="1"/>
  <c r="G13" i="54" a="1"/>
  <c r="G13" i="54" s="1"/>
  <c r="V23" i="49" a="1"/>
  <c r="V23" i="49" s="1"/>
  <c r="C20" i="35" l="1"/>
  <c r="D20" i="35"/>
  <c r="Q20" i="35"/>
  <c r="R20" i="35" s="1"/>
  <c r="O20" i="35"/>
  <c r="T20" i="35" l="1"/>
  <c r="I19" i="9"/>
  <c r="I15" i="9"/>
  <c r="I16" i="9"/>
  <c r="I17" i="9"/>
  <c r="I18" i="9"/>
  <c r="I20" i="9"/>
  <c r="I21" i="9"/>
  <c r="I22" i="9"/>
  <c r="C13" i="68" l="1" a="1"/>
  <c r="C13" i="68" s="1"/>
  <c r="S13" i="68" a="1"/>
  <c r="S13" i="68" s="1"/>
  <c r="E12" i="32" a="1"/>
  <c r="E12" i="32" s="1"/>
  <c r="J12" i="32" a="1"/>
  <c r="J12" i="32" s="1"/>
  <c r="K12" i="32" a="1"/>
  <c r="K12" i="32" s="1"/>
  <c r="K31" i="32" a="1"/>
  <c r="K31" i="32" s="1"/>
  <c r="O18" i="35"/>
  <c r="J31" i="32" l="1" a="1"/>
  <c r="J31" i="32" s="1"/>
  <c r="E31" i="32" a="1"/>
  <c r="E31" i="32" s="1"/>
  <c r="S49" i="68" a="1"/>
  <c r="S49" i="68" s="1"/>
  <c r="O3" i="52" l="1" a="1"/>
  <c r="O3" i="52" s="1"/>
  <c r="O5" i="52" a="1"/>
  <c r="O5" i="52" s="1"/>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s="1"/>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s="1"/>
  <c r="F23" i="29" a="1"/>
  <c r="F23" i="29" s="1"/>
  <c r="F24" i="29" a="1"/>
  <c r="F24" i="29" s="1"/>
  <c r="F25" i="29" a="1"/>
  <c r="F25" i="29" s="1"/>
  <c r="F26" i="29" a="1"/>
  <c r="F26" i="29" s="1"/>
  <c r="F27" i="29" a="1"/>
  <c r="F27" i="29" s="1"/>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s="1"/>
  <c r="F47" i="29" a="1"/>
  <c r="F47" i="29" s="1"/>
  <c r="F48" i="29" a="1"/>
  <c r="F48" i="29" s="1"/>
  <c r="F49" i="29" a="1"/>
  <c r="F49" i="29" s="1"/>
  <c r="F50" i="29" a="1"/>
  <c r="F50" i="29" s="1"/>
  <c r="F51" i="29" a="1"/>
  <c r="F51" i="29" s="1"/>
  <c r="F52" i="29" a="1"/>
  <c r="F52" i="29" s="1"/>
  <c r="F53" i="29" a="1"/>
  <c r="F53" i="29" s="1"/>
  <c r="F54" i="29" a="1"/>
  <c r="F54" i="29" s="1"/>
  <c r="F55" i="29" a="1"/>
  <c r="F55" i="29" s="1"/>
  <c r="F56" i="29" a="1"/>
  <c r="F56" i="29" s="1"/>
  <c r="F57" i="29" a="1"/>
  <c r="F57" i="29" s="1"/>
  <c r="F58" i="29" a="1"/>
  <c r="F58" i="29" s="1"/>
  <c r="F59" i="29" a="1"/>
  <c r="F59" i="29" s="1"/>
  <c r="F60" i="29" a="1"/>
  <c r="F60" i="29" s="1"/>
  <c r="F61" i="29" a="1"/>
  <c r="F61" i="29" s="1"/>
  <c r="F62" i="29" a="1"/>
  <c r="F62" i="29" s="1"/>
  <c r="F63" i="29" a="1"/>
  <c r="F63" i="29" s="1"/>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s="1"/>
  <c r="E8" i="29" a="1"/>
  <c r="E8" i="29" s="1"/>
  <c r="E9" i="29" a="1"/>
  <c r="E9" i="29" s="1"/>
  <c r="E10" i="29" a="1"/>
  <c r="E10" i="29" s="1"/>
  <c r="E11" i="29" a="1"/>
  <c r="E11" i="29" s="1"/>
  <c r="E12" i="29" a="1"/>
  <c r="E12" i="29" s="1"/>
  <c r="E13" i="29" a="1"/>
  <c r="E13" i="29" s="1"/>
  <c r="E14" i="29" a="1"/>
  <c r="E14" i="29" s="1"/>
  <c r="E15" i="29" a="1"/>
  <c r="E15" i="29" s="1"/>
  <c r="E16" i="29" a="1"/>
  <c r="E16" i="29" s="1"/>
  <c r="E17" i="29" a="1"/>
  <c r="E17" i="29" s="1"/>
  <c r="E18" i="29" a="1"/>
  <c r="E18" i="29" s="1"/>
  <c r="E19" i="29" a="1"/>
  <c r="E19" i="29" s="1"/>
  <c r="E20" i="29" a="1"/>
  <c r="E20" i="29" s="1"/>
  <c r="E21" i="29" a="1"/>
  <c r="E21" i="29" s="1"/>
  <c r="E22" i="29" a="1"/>
  <c r="E22" i="29" s="1"/>
  <c r="E23" i="29" a="1"/>
  <c r="E23" i="29" s="1"/>
  <c r="E24" i="29" a="1"/>
  <c r="E24" i="29" s="1"/>
  <c r="E25" i="29" a="1"/>
  <c r="E25" i="29" s="1"/>
  <c r="E26" i="29" a="1"/>
  <c r="E26" i="29" s="1"/>
  <c r="E27" i="29" a="1"/>
  <c r="E27" i="29" s="1"/>
  <c r="E28" i="29" a="1"/>
  <c r="E28" i="29" s="1"/>
  <c r="E29" i="29" a="1"/>
  <c r="E29" i="29" s="1"/>
  <c r="E30" i="29" a="1"/>
  <c r="E30" i="29" s="1"/>
  <c r="E31" i="29" a="1"/>
  <c r="E31" i="29" s="1"/>
  <c r="E32" i="29" a="1"/>
  <c r="E32" i="29" s="1"/>
  <c r="E33" i="29" a="1"/>
  <c r="E33" i="29" s="1"/>
  <c r="E34" i="29" a="1"/>
  <c r="E34" i="29" s="1"/>
  <c r="E35" i="29" a="1"/>
  <c r="E35" i="29" s="1"/>
  <c r="E36" i="29" a="1"/>
  <c r="E36" i="29" s="1"/>
  <c r="E37" i="29" a="1"/>
  <c r="E37" i="29" s="1"/>
  <c r="E38" i="29" a="1"/>
  <c r="E38" i="29" s="1"/>
  <c r="E39" i="29" a="1"/>
  <c r="E39" i="29" s="1"/>
  <c r="E40" i="29" a="1"/>
  <c r="E40" i="29" s="1"/>
  <c r="E41" i="29" a="1"/>
  <c r="E41" i="29" s="1"/>
  <c r="E42" i="29" a="1"/>
  <c r="E42" i="29" s="1"/>
  <c r="E43" i="29" a="1"/>
  <c r="E43" i="29" s="1"/>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s="1"/>
  <c r="E56" i="29" a="1"/>
  <c r="E56" i="29" s="1"/>
  <c r="E57" i="29" a="1"/>
  <c r="E57" i="29" s="1"/>
  <c r="E58" i="29" a="1"/>
  <c r="E58" i="29" s="1"/>
  <c r="E59" i="29" a="1"/>
  <c r="E59" i="29" s="1"/>
  <c r="E60" i="29" a="1"/>
  <c r="E60" i="29" s="1"/>
  <c r="E61" i="29" a="1"/>
  <c r="E61" i="29" s="1"/>
  <c r="E62" i="29" a="1"/>
  <c r="E62" i="29" s="1"/>
  <c r="E63" i="29" a="1"/>
  <c r="E63" i="29" s="1"/>
  <c r="E64" i="29" a="1"/>
  <c r="E64" i="29" s="1"/>
  <c r="E65" i="29" a="1"/>
  <c r="E65" i="29" s="1"/>
  <c r="E66" i="29" a="1"/>
  <c r="E66" i="29" s="1"/>
  <c r="E67" i="29" a="1"/>
  <c r="E67" i="29" s="1"/>
  <c r="E68" i="29" a="1"/>
  <c r="E68" i="29" s="1"/>
  <c r="E69" i="29" a="1"/>
  <c r="E69" i="29" s="1"/>
  <c r="E70" i="29" a="1"/>
  <c r="E70" i="29" s="1"/>
  <c r="E71" i="29" a="1"/>
  <c r="E71" i="29" s="1"/>
  <c r="E72" i="29" a="1"/>
  <c r="E72" i="29" s="1"/>
  <c r="E73" i="29" a="1"/>
  <c r="E73" i="29" s="1"/>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P49" i="6"/>
  <c r="AP48" i="6"/>
  <c r="AP53" i="6"/>
  <c r="AP52" i="6"/>
  <c r="U55" i="6"/>
  <c r="U56" i="6"/>
  <c r="AP57" i="6"/>
  <c r="U58" i="6"/>
  <c r="AP61" i="6"/>
  <c r="U64" i="6"/>
  <c r="AP65" i="6"/>
  <c r="U67" i="6"/>
  <c r="U68" i="6"/>
  <c r="AP69" i="6"/>
  <c r="U70" i="6"/>
  <c r="U48" i="6"/>
  <c r="AG48" i="6"/>
  <c r="AS48" i="6"/>
  <c r="AT48" i="6"/>
  <c r="AU48" i="6"/>
  <c r="AV48" i="6"/>
  <c r="AW48" i="6"/>
  <c r="AX48" i="6"/>
  <c r="U49" i="6"/>
  <c r="AG49" i="6"/>
  <c r="AS49" i="6"/>
  <c r="AT49" i="6"/>
  <c r="AU49" i="6"/>
  <c r="AV49" i="6"/>
  <c r="AW49" i="6"/>
  <c r="AX49" i="6"/>
  <c r="U50" i="6"/>
  <c r="AG50" i="6"/>
  <c r="AP50" i="6"/>
  <c r="AS50" i="6"/>
  <c r="AT50" i="6"/>
  <c r="AU50" i="6"/>
  <c r="AV50" i="6"/>
  <c r="AW50" i="6"/>
  <c r="AX50" i="6"/>
  <c r="U51" i="6"/>
  <c r="AG51" i="6"/>
  <c r="AS51" i="6"/>
  <c r="AT51" i="6"/>
  <c r="AU51" i="6"/>
  <c r="AV51" i="6"/>
  <c r="AW51" i="6"/>
  <c r="AX51" i="6"/>
  <c r="U52" i="6"/>
  <c r="AG52" i="6"/>
  <c r="AS52" i="6"/>
  <c r="AT52" i="6"/>
  <c r="AU52" i="6"/>
  <c r="AV52" i="6"/>
  <c r="AW52" i="6"/>
  <c r="AX52" i="6"/>
  <c r="U53" i="6"/>
  <c r="AG53" i="6"/>
  <c r="AS53" i="6"/>
  <c r="AT53" i="6"/>
  <c r="AU53" i="6"/>
  <c r="AV53" i="6"/>
  <c r="AW53" i="6"/>
  <c r="AX53" i="6"/>
  <c r="U54" i="6"/>
  <c r="AG54" i="6"/>
  <c r="AS54" i="6"/>
  <c r="AT54" i="6"/>
  <c r="AU54" i="6"/>
  <c r="AV54" i="6"/>
  <c r="AW54" i="6"/>
  <c r="AX54" i="6"/>
  <c r="AG55" i="6"/>
  <c r="AS55" i="6"/>
  <c r="AT55" i="6"/>
  <c r="AU55" i="6"/>
  <c r="AV55" i="6"/>
  <c r="AW55" i="6"/>
  <c r="AX55" i="6"/>
  <c r="AG56" i="6"/>
  <c r="AS56" i="6"/>
  <c r="AT56" i="6"/>
  <c r="AU56" i="6"/>
  <c r="AV56" i="6"/>
  <c r="AW56" i="6"/>
  <c r="AX56" i="6"/>
  <c r="U57" i="6"/>
  <c r="AG57" i="6"/>
  <c r="AS57" i="6"/>
  <c r="AT57" i="6"/>
  <c r="AU57" i="6"/>
  <c r="AV57" i="6"/>
  <c r="AW57" i="6"/>
  <c r="AX57" i="6"/>
  <c r="AG58" i="6"/>
  <c r="AS58" i="6"/>
  <c r="AT58" i="6"/>
  <c r="AU58" i="6"/>
  <c r="AV58" i="6"/>
  <c r="AW58" i="6"/>
  <c r="AX58" i="6"/>
  <c r="U59" i="6"/>
  <c r="AG59" i="6"/>
  <c r="AS59" i="6"/>
  <c r="AT59" i="6"/>
  <c r="AU59" i="6"/>
  <c r="AV59" i="6"/>
  <c r="AW59" i="6"/>
  <c r="AX59" i="6"/>
  <c r="U60" i="6"/>
  <c r="AG60" i="6"/>
  <c r="AS60" i="6"/>
  <c r="AT60" i="6"/>
  <c r="AU60" i="6"/>
  <c r="AV60" i="6"/>
  <c r="AW60" i="6"/>
  <c r="AX60" i="6"/>
  <c r="U61" i="6"/>
  <c r="AG61" i="6"/>
  <c r="AS61" i="6"/>
  <c r="AT61" i="6"/>
  <c r="AU61" i="6"/>
  <c r="AV61" i="6"/>
  <c r="AW61" i="6"/>
  <c r="AX61" i="6"/>
  <c r="U62" i="6"/>
  <c r="AG62" i="6"/>
  <c r="AS62" i="6"/>
  <c r="AT62" i="6"/>
  <c r="AU62" i="6"/>
  <c r="AV62" i="6"/>
  <c r="AW62" i="6"/>
  <c r="AX62" i="6"/>
  <c r="U63" i="6"/>
  <c r="AG63" i="6"/>
  <c r="AS63" i="6"/>
  <c r="AT63" i="6"/>
  <c r="AU63" i="6"/>
  <c r="AV63" i="6"/>
  <c r="AW63" i="6"/>
  <c r="AX63" i="6"/>
  <c r="AG64" i="6"/>
  <c r="AS64" i="6"/>
  <c r="AT64" i="6"/>
  <c r="AU64" i="6"/>
  <c r="AV64" i="6"/>
  <c r="AW64" i="6"/>
  <c r="AX64" i="6"/>
  <c r="U65" i="6"/>
  <c r="AG65" i="6"/>
  <c r="AS65" i="6"/>
  <c r="AT65" i="6"/>
  <c r="AU65" i="6"/>
  <c r="AV65" i="6"/>
  <c r="AW65" i="6"/>
  <c r="AX65" i="6"/>
  <c r="U66" i="6"/>
  <c r="AG66" i="6"/>
  <c r="AS66" i="6"/>
  <c r="AT66" i="6"/>
  <c r="AU66" i="6"/>
  <c r="AV66" i="6"/>
  <c r="AW66" i="6"/>
  <c r="AX66" i="6"/>
  <c r="AG67" i="6"/>
  <c r="AS67" i="6"/>
  <c r="AT67" i="6"/>
  <c r="AU67" i="6"/>
  <c r="AV67" i="6"/>
  <c r="AW67" i="6"/>
  <c r="AX67" i="6"/>
  <c r="AG68" i="6"/>
  <c r="AS68" i="6"/>
  <c r="AT68" i="6"/>
  <c r="AU68" i="6"/>
  <c r="AV68" i="6"/>
  <c r="AW68" i="6"/>
  <c r="AX68" i="6"/>
  <c r="U69" i="6"/>
  <c r="AG69" i="6"/>
  <c r="AS69" i="6"/>
  <c r="AT69" i="6"/>
  <c r="AU69" i="6"/>
  <c r="AV69" i="6"/>
  <c r="AW69" i="6"/>
  <c r="AX69" i="6"/>
  <c r="AG70" i="6"/>
  <c r="AS70" i="6"/>
  <c r="AT70" i="6"/>
  <c r="AU70" i="6"/>
  <c r="AV70" i="6"/>
  <c r="AW70" i="6"/>
  <c r="AX70" i="6"/>
  <c r="U71" i="6"/>
  <c r="AG71" i="6"/>
  <c r="AS71" i="6"/>
  <c r="AT71" i="6"/>
  <c r="AU71" i="6"/>
  <c r="AV71" i="6"/>
  <c r="AW71" i="6"/>
  <c r="AP71" i="6"/>
  <c r="AX71" i="6"/>
  <c r="H6" i="13"/>
  <c r="AK9" i="29" l="1"/>
  <c r="AK21" i="29"/>
  <c r="AK33" i="29"/>
  <c r="AK45" i="29"/>
  <c r="AK57" i="29"/>
  <c r="AK69" i="29"/>
  <c r="AK81" i="29"/>
  <c r="AH15" i="29"/>
  <c r="AH27" i="29"/>
  <c r="AH39" i="29"/>
  <c r="AH51" i="29"/>
  <c r="AH63" i="29"/>
  <c r="AH75" i="29"/>
  <c r="Y16" i="29"/>
  <c r="Y28" i="29"/>
  <c r="Y40" i="29"/>
  <c r="Y52" i="29"/>
  <c r="Y64" i="29"/>
  <c r="Y76" i="29"/>
  <c r="AK10" i="29"/>
  <c r="AK22" i="29"/>
  <c r="AK34" i="29"/>
  <c r="AK46" i="29"/>
  <c r="AK58" i="29"/>
  <c r="AK70" i="29"/>
  <c r="AH3" i="29"/>
  <c r="AH16" i="29"/>
  <c r="AH28" i="29"/>
  <c r="AH40" i="29"/>
  <c r="AH52" i="29"/>
  <c r="AH64" i="29"/>
  <c r="AH76" i="29"/>
  <c r="Y5" i="29"/>
  <c r="Y17" i="29"/>
  <c r="Y29" i="29"/>
  <c r="Y41" i="29"/>
  <c r="Y53" i="29"/>
  <c r="Y65" i="29"/>
  <c r="Y77" i="29"/>
  <c r="AK11" i="29"/>
  <c r="AK23" i="29"/>
  <c r="AK35" i="29"/>
  <c r="AK47" i="29"/>
  <c r="AK59" i="29"/>
  <c r="AK71" i="29"/>
  <c r="AH5" i="29"/>
  <c r="AH17" i="29"/>
  <c r="AH29" i="29"/>
  <c r="AH41" i="29"/>
  <c r="AH53" i="29"/>
  <c r="AH65" i="29"/>
  <c r="AH77" i="29"/>
  <c r="Y6" i="29"/>
  <c r="Y18" i="29"/>
  <c r="Y30" i="29"/>
  <c r="Y42" i="29"/>
  <c r="Y54" i="29"/>
  <c r="Y66" i="29"/>
  <c r="Y78" i="29"/>
  <c r="AK12" i="29"/>
  <c r="AK24" i="29"/>
  <c r="AK36" i="29"/>
  <c r="AK48" i="29"/>
  <c r="AK60" i="29"/>
  <c r="AK72" i="29"/>
  <c r="AH6" i="29"/>
  <c r="AH18" i="29"/>
  <c r="AH30" i="29"/>
  <c r="AH42" i="29"/>
  <c r="AH54" i="29"/>
  <c r="AH66" i="29"/>
  <c r="AH78" i="29"/>
  <c r="Y7" i="29"/>
  <c r="Y19" i="29"/>
  <c r="Y31" i="29"/>
  <c r="Y43" i="29"/>
  <c r="Y55" i="29"/>
  <c r="Y67" i="29"/>
  <c r="Y79" i="29"/>
  <c r="AK13" i="29"/>
  <c r="AK25" i="29"/>
  <c r="AK37" i="29"/>
  <c r="AK49" i="29"/>
  <c r="AK61" i="29"/>
  <c r="AK73" i="29"/>
  <c r="AH7" i="29"/>
  <c r="AH19" i="29"/>
  <c r="AH31" i="29"/>
  <c r="AH43" i="29"/>
  <c r="AH55" i="29"/>
  <c r="AH67" i="29"/>
  <c r="AH79" i="29"/>
  <c r="Y8" i="29"/>
  <c r="Y20" i="29"/>
  <c r="Y32" i="29"/>
  <c r="Y44" i="29"/>
  <c r="Y56" i="29"/>
  <c r="Y68" i="29"/>
  <c r="Y80" i="29"/>
  <c r="AK14" i="29"/>
  <c r="AK26" i="29"/>
  <c r="AK38" i="29"/>
  <c r="AK50" i="29"/>
  <c r="AK62" i="29"/>
  <c r="AK74" i="29"/>
  <c r="AH8" i="29"/>
  <c r="AH20" i="29"/>
  <c r="AH32" i="29"/>
  <c r="AH44" i="29"/>
  <c r="AH56" i="29"/>
  <c r="AH68" i="29"/>
  <c r="AH80" i="29"/>
  <c r="Y9" i="29"/>
  <c r="Y21" i="29"/>
  <c r="Y33" i="29"/>
  <c r="Y45" i="29"/>
  <c r="Y57" i="29"/>
  <c r="Y69" i="29"/>
  <c r="Y81" i="29"/>
  <c r="AK15" i="29"/>
  <c r="AK27" i="29"/>
  <c r="AK39" i="29"/>
  <c r="AK51" i="29"/>
  <c r="AK63" i="29"/>
  <c r="AK75" i="29"/>
  <c r="AH9" i="29"/>
  <c r="AH21" i="29"/>
  <c r="AH33" i="29"/>
  <c r="AH45" i="29"/>
  <c r="AH57" i="29"/>
  <c r="AH69" i="29"/>
  <c r="AH81" i="29"/>
  <c r="Y10" i="29"/>
  <c r="Y22" i="29"/>
  <c r="Y34" i="29"/>
  <c r="Y46" i="29"/>
  <c r="Y58" i="29"/>
  <c r="Y70" i="29"/>
  <c r="AK3" i="29"/>
  <c r="AK16" i="29"/>
  <c r="AK28" i="29"/>
  <c r="AK40" i="29"/>
  <c r="AK52" i="29"/>
  <c r="AK64" i="29"/>
  <c r="AK76" i="29"/>
  <c r="AH10" i="29"/>
  <c r="AH22" i="29"/>
  <c r="AH34" i="29"/>
  <c r="AH46" i="29"/>
  <c r="AH58" i="29"/>
  <c r="AH70" i="29"/>
  <c r="Y3" i="29"/>
  <c r="Y11" i="29"/>
  <c r="Y23" i="29"/>
  <c r="Y35" i="29"/>
  <c r="Y47" i="29"/>
  <c r="Y59" i="29"/>
  <c r="Y71" i="29"/>
  <c r="AK5" i="29"/>
  <c r="AK17" i="29"/>
  <c r="AK29" i="29"/>
  <c r="AK41" i="29"/>
  <c r="AK53" i="29"/>
  <c r="AK65" i="29"/>
  <c r="AK77" i="29"/>
  <c r="AH11" i="29"/>
  <c r="AH23" i="29"/>
  <c r="AH35" i="29"/>
  <c r="AH47" i="29"/>
  <c r="AH59" i="29"/>
  <c r="AH71" i="29"/>
  <c r="Y12" i="29"/>
  <c r="Y24" i="29"/>
  <c r="Y36" i="29"/>
  <c r="Y48" i="29"/>
  <c r="Y60" i="29"/>
  <c r="Y72" i="29"/>
  <c r="AK6" i="29"/>
  <c r="AK18" i="29"/>
  <c r="AK30" i="29"/>
  <c r="AK42" i="29"/>
  <c r="AK54" i="29"/>
  <c r="AK66" i="29"/>
  <c r="AK78" i="29"/>
  <c r="AH12" i="29"/>
  <c r="AH24" i="29"/>
  <c r="AH36" i="29"/>
  <c r="AH48" i="29"/>
  <c r="AH60" i="29"/>
  <c r="AH72" i="29"/>
  <c r="Y13" i="29"/>
  <c r="Y25" i="29"/>
  <c r="Y37" i="29"/>
  <c r="Y49" i="29"/>
  <c r="Y61" i="29"/>
  <c r="Y73" i="29"/>
  <c r="AK7" i="29"/>
  <c r="AK19" i="29"/>
  <c r="AK31" i="29"/>
  <c r="AK43" i="29"/>
  <c r="AK55" i="29"/>
  <c r="AK67" i="29"/>
  <c r="AK79" i="29"/>
  <c r="AH13" i="29"/>
  <c r="AH25" i="29"/>
  <c r="AH37" i="29"/>
  <c r="AH49" i="29"/>
  <c r="AH61" i="29"/>
  <c r="AH73" i="29"/>
  <c r="Y14" i="29"/>
  <c r="Y26" i="29"/>
  <c r="Y38" i="29"/>
  <c r="Y50" i="29"/>
  <c r="Y62" i="29"/>
  <c r="Y74" i="29"/>
  <c r="AK8" i="29"/>
  <c r="AK20" i="29"/>
  <c r="AK32" i="29"/>
  <c r="AK44" i="29"/>
  <c r="AK56" i="29"/>
  <c r="AK68" i="29"/>
  <c r="AK80" i="29"/>
  <c r="AH14" i="29"/>
  <c r="AH26" i="29"/>
  <c r="AH38" i="29"/>
  <c r="AH50" i="29"/>
  <c r="AH62" i="29"/>
  <c r="AH74" i="29"/>
  <c r="Y15" i="29"/>
  <c r="Y27" i="29"/>
  <c r="Y39" i="29"/>
  <c r="Y51" i="29"/>
  <c r="Y63" i="29"/>
  <c r="Y75" i="29"/>
  <c r="AP70" i="6"/>
  <c r="AP66" i="6"/>
  <c r="AP62" i="6"/>
  <c r="AP58" i="6"/>
  <c r="AP54" i="6"/>
  <c r="AP51" i="6"/>
  <c r="AP67" i="6"/>
  <c r="AP63" i="6"/>
  <c r="AP59" i="6"/>
  <c r="AP55" i="6"/>
  <c r="AP68" i="6"/>
  <c r="AP64" i="6"/>
  <c r="AP60" i="6"/>
  <c r="AP56" i="6"/>
  <c r="AR48" i="6"/>
  <c r="AR49" i="6"/>
  <c r="AR50" i="6"/>
  <c r="AR51" i="6"/>
  <c r="AR52" i="6"/>
  <c r="AR53" i="6"/>
  <c r="AR54" i="6"/>
  <c r="AR55" i="6"/>
  <c r="AR56" i="6"/>
  <c r="AR57" i="6"/>
  <c r="AR58" i="6"/>
  <c r="AR59" i="6"/>
  <c r="AR60" i="6"/>
  <c r="AR61" i="6"/>
  <c r="AR62" i="6"/>
  <c r="AR63" i="6"/>
  <c r="AR64" i="6"/>
  <c r="AR65" i="6"/>
  <c r="AR66" i="6"/>
  <c r="AR67" i="6"/>
  <c r="AR68" i="6"/>
  <c r="AR69" i="6"/>
  <c r="AR70" i="6"/>
  <c r="AR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5" i="29" l="1"/>
  <c r="L17" i="29"/>
  <c r="L29" i="29"/>
  <c r="L41" i="29"/>
  <c r="L53" i="29"/>
  <c r="L65" i="29"/>
  <c r="L77" i="29"/>
  <c r="L6" i="29"/>
  <c r="L18" i="29"/>
  <c r="L30" i="29"/>
  <c r="L42" i="29"/>
  <c r="L54" i="29"/>
  <c r="L66" i="29"/>
  <c r="L78" i="29"/>
  <c r="L7" i="29"/>
  <c r="L19" i="29"/>
  <c r="L31" i="29"/>
  <c r="L43" i="29"/>
  <c r="L55" i="29"/>
  <c r="L67" i="29"/>
  <c r="L79" i="29"/>
  <c r="L8" i="29"/>
  <c r="L20" i="29"/>
  <c r="L32" i="29"/>
  <c r="L44" i="29"/>
  <c r="L56" i="29"/>
  <c r="L68" i="29"/>
  <c r="L80" i="29"/>
  <c r="L9" i="29"/>
  <c r="L21" i="29"/>
  <c r="L33" i="29"/>
  <c r="L45" i="29"/>
  <c r="L57" i="29"/>
  <c r="L69" i="29"/>
  <c r="L81" i="29"/>
  <c r="L10" i="29"/>
  <c r="L22" i="29"/>
  <c r="L34" i="29"/>
  <c r="L46" i="29"/>
  <c r="L58" i="29"/>
  <c r="L70" i="29"/>
  <c r="L11" i="29"/>
  <c r="L23" i="29"/>
  <c r="L35" i="29"/>
  <c r="L47" i="29"/>
  <c r="L59" i="29"/>
  <c r="L71" i="29"/>
  <c r="L12" i="29"/>
  <c r="L24" i="29"/>
  <c r="L36" i="29"/>
  <c r="L48" i="29"/>
  <c r="L60" i="29"/>
  <c r="L72" i="29"/>
  <c r="L13" i="29"/>
  <c r="L25" i="29"/>
  <c r="L37" i="29"/>
  <c r="L49" i="29"/>
  <c r="L61" i="29"/>
  <c r="L73" i="29"/>
  <c r="L14" i="29"/>
  <c r="L26" i="29"/>
  <c r="L38" i="29"/>
  <c r="L50" i="29"/>
  <c r="L62" i="29"/>
  <c r="L74" i="29"/>
  <c r="L15" i="29"/>
  <c r="L27" i="29"/>
  <c r="L39" i="29"/>
  <c r="L51" i="29"/>
  <c r="L63" i="29"/>
  <c r="L7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S9" i="68" l="1" a="1"/>
  <c r="S9" i="68" s="1"/>
  <c r="O7" i="32" a="1"/>
  <c r="O7" i="32" s="1"/>
  <c r="F7" i="32" a="1"/>
  <c r="F7" i="32" s="1"/>
  <c r="K7" i="32" a="1"/>
  <c r="K7" i="32" s="1"/>
  <c r="J7" i="32" a="1"/>
  <c r="J7" i="32" s="1"/>
  <c r="E7" i="32" a="1"/>
  <c r="E7" i="32" s="1"/>
  <c r="C9" i="68" a="1"/>
  <c r="C9" i="68" s="1"/>
  <c r="V9" i="68" a="1"/>
  <c r="V9" i="68" s="1"/>
  <c r="P7" i="32" a="1"/>
  <c r="P7" i="32" s="1"/>
  <c r="C98" i="40" a="1"/>
  <c r="C98" i="40" s="1"/>
  <c r="C73" i="40" a="1"/>
  <c r="C73" i="40" s="1"/>
  <c r="BE27" i="34"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I7" i="29"/>
  <c r="AL7" i="29"/>
  <c r="AQ7" i="29"/>
  <c r="AR7" i="29"/>
  <c r="AS7" i="29"/>
  <c r="AT7" i="29"/>
  <c r="AU7" i="29"/>
  <c r="AV7" i="29"/>
  <c r="W9" i="29"/>
  <c r="AA9" i="29"/>
  <c r="AD9" i="29" s="1"/>
  <c r="AE9" i="29"/>
  <c r="AI9" i="29"/>
  <c r="AL9" i="29"/>
  <c r="AQ9" i="29"/>
  <c r="AR9" i="29"/>
  <c r="AS9" i="29"/>
  <c r="AT9" i="29"/>
  <c r="AU9" i="29"/>
  <c r="AV9" i="29"/>
  <c r="AA10" i="29"/>
  <c r="AD10" i="29" s="1"/>
  <c r="AE10" i="29"/>
  <c r="AI10" i="29"/>
  <c r="AL10" i="29"/>
  <c r="AQ10" i="29"/>
  <c r="AR10" i="29"/>
  <c r="AS10" i="29"/>
  <c r="AT10" i="29"/>
  <c r="AU10" i="29"/>
  <c r="AV10" i="29"/>
  <c r="W12" i="29"/>
  <c r="AA12" i="29"/>
  <c r="AD12" i="29" s="1"/>
  <c r="AE12" i="29"/>
  <c r="AI12" i="29"/>
  <c r="AL12" i="29"/>
  <c r="AQ12" i="29"/>
  <c r="AR12" i="29"/>
  <c r="AS12" i="29"/>
  <c r="AT12" i="29"/>
  <c r="AU12" i="29"/>
  <c r="AV12" i="29"/>
  <c r="AA14" i="29"/>
  <c r="AD14" i="29" s="1"/>
  <c r="AE14" i="29"/>
  <c r="AI14" i="29"/>
  <c r="AL14" i="29"/>
  <c r="AQ14" i="29"/>
  <c r="AR14" i="29"/>
  <c r="AS14" i="29"/>
  <c r="AT14" i="29"/>
  <c r="AU14" i="29"/>
  <c r="AV14" i="29"/>
  <c r="AA15" i="29"/>
  <c r="AD15" i="29" s="1"/>
  <c r="AE15" i="29"/>
  <c r="AI15" i="29"/>
  <c r="AL15" i="29"/>
  <c r="AQ15" i="29"/>
  <c r="AR15" i="29"/>
  <c r="AS15" i="29"/>
  <c r="AT15" i="29"/>
  <c r="AU15" i="29"/>
  <c r="AV15" i="29"/>
  <c r="W20" i="29"/>
  <c r="AA20" i="29"/>
  <c r="AD20" i="29" s="1"/>
  <c r="AE20" i="29"/>
  <c r="AI20" i="29"/>
  <c r="AL20" i="29"/>
  <c r="AQ20" i="29"/>
  <c r="AR20" i="29"/>
  <c r="AS20" i="29"/>
  <c r="AT20" i="29"/>
  <c r="AU20" i="29"/>
  <c r="AV20" i="29"/>
  <c r="AA21" i="29"/>
  <c r="AD21" i="29" s="1"/>
  <c r="AE21" i="29"/>
  <c r="AI21" i="29"/>
  <c r="AL21" i="29"/>
  <c r="AQ21" i="29"/>
  <c r="AR21" i="29"/>
  <c r="AS21" i="29"/>
  <c r="AT21" i="29"/>
  <c r="AU21" i="29"/>
  <c r="AV21" i="29"/>
  <c r="AA29" i="29"/>
  <c r="AD29" i="29" s="1"/>
  <c r="AE29" i="29"/>
  <c r="AI29" i="29"/>
  <c r="AL29" i="29"/>
  <c r="AQ29" i="29"/>
  <c r="AR29" i="29"/>
  <c r="AS29" i="29"/>
  <c r="AT29" i="29"/>
  <c r="AU29" i="29"/>
  <c r="AV29" i="29"/>
  <c r="AA32" i="29"/>
  <c r="AD32" i="29" s="1"/>
  <c r="AE32" i="29"/>
  <c r="AI32" i="29"/>
  <c r="AL32" i="29"/>
  <c r="AQ32" i="29"/>
  <c r="AR32" i="29"/>
  <c r="AS32" i="29"/>
  <c r="AT32" i="29"/>
  <c r="AU32" i="29"/>
  <c r="AV32" i="29"/>
  <c r="W34" i="29"/>
  <c r="AA34" i="29"/>
  <c r="AD34" i="29" s="1"/>
  <c r="AE34" i="29"/>
  <c r="AI34" i="29"/>
  <c r="AL34" i="29"/>
  <c r="AQ34" i="29"/>
  <c r="AR34" i="29"/>
  <c r="AS34" i="29"/>
  <c r="AT34" i="29"/>
  <c r="AU34" i="29"/>
  <c r="AV34" i="29"/>
  <c r="W37" i="29"/>
  <c r="AA37" i="29"/>
  <c r="AD37" i="29" s="1"/>
  <c r="AE37" i="29"/>
  <c r="AI37" i="29"/>
  <c r="AL37" i="29"/>
  <c r="AQ37" i="29"/>
  <c r="AR37" i="29"/>
  <c r="AS37" i="29"/>
  <c r="AT37" i="29"/>
  <c r="AU37" i="29"/>
  <c r="AV37" i="29"/>
  <c r="AA38" i="29"/>
  <c r="AD38" i="29" s="1"/>
  <c r="AE38" i="29"/>
  <c r="AI38" i="29"/>
  <c r="AL38" i="29"/>
  <c r="AQ38" i="29"/>
  <c r="AR38" i="29"/>
  <c r="AS38" i="29"/>
  <c r="AT38" i="29"/>
  <c r="AU38" i="29"/>
  <c r="AV38" i="29"/>
  <c r="AA40" i="29"/>
  <c r="AD40" i="29" s="1"/>
  <c r="AE40" i="29"/>
  <c r="AI40" i="29"/>
  <c r="AL40" i="29"/>
  <c r="AQ40" i="29"/>
  <c r="AR40" i="29"/>
  <c r="AS40" i="29"/>
  <c r="AT40" i="29"/>
  <c r="AU40" i="29"/>
  <c r="AV40" i="29"/>
  <c r="W45" i="29"/>
  <c r="AA45" i="29"/>
  <c r="AD45" i="29" s="1"/>
  <c r="AE45" i="29"/>
  <c r="AI45" i="29"/>
  <c r="AL45" i="29"/>
  <c r="AQ45" i="29"/>
  <c r="AR45" i="29"/>
  <c r="AS45" i="29"/>
  <c r="AT45" i="29"/>
  <c r="AU45" i="29"/>
  <c r="AV45" i="29"/>
  <c r="W51" i="29"/>
  <c r="AA51" i="29"/>
  <c r="AD51" i="29" s="1"/>
  <c r="AE51" i="29"/>
  <c r="AI51" i="29"/>
  <c r="AL51" i="29"/>
  <c r="AQ51" i="29"/>
  <c r="AR51" i="29"/>
  <c r="AS51" i="29"/>
  <c r="AT51" i="29"/>
  <c r="AU51" i="29"/>
  <c r="AV51" i="29"/>
  <c r="W54" i="29"/>
  <c r="AA54" i="29"/>
  <c r="AD54" i="29" s="1"/>
  <c r="AE54" i="29"/>
  <c r="AI54" i="29"/>
  <c r="AL54" i="29"/>
  <c r="AQ54" i="29"/>
  <c r="AR54" i="29"/>
  <c r="AS54" i="29"/>
  <c r="AT54" i="29"/>
  <c r="AU54" i="29"/>
  <c r="AV54" i="29"/>
  <c r="AA57" i="29"/>
  <c r="AD57" i="29" s="1"/>
  <c r="AE57" i="29"/>
  <c r="AI57" i="29"/>
  <c r="AL57" i="29"/>
  <c r="AQ57" i="29"/>
  <c r="AR57" i="29"/>
  <c r="AS57" i="29"/>
  <c r="AT57" i="29"/>
  <c r="AU57" i="29"/>
  <c r="AV57" i="29"/>
  <c r="AA62" i="29"/>
  <c r="AD62" i="29" s="1"/>
  <c r="AE62" i="29"/>
  <c r="AI62" i="29"/>
  <c r="AL62" i="29"/>
  <c r="AQ62" i="29"/>
  <c r="AR62" i="29"/>
  <c r="AS62" i="29"/>
  <c r="AT62" i="29"/>
  <c r="AU62" i="29"/>
  <c r="AV62" i="29"/>
  <c r="W68" i="29"/>
  <c r="AA68" i="29"/>
  <c r="AD68" i="29" s="1"/>
  <c r="AE68" i="29"/>
  <c r="AI68" i="29"/>
  <c r="AL68" i="29"/>
  <c r="AQ68" i="29"/>
  <c r="AR68" i="29"/>
  <c r="AS68" i="29"/>
  <c r="AT68" i="29"/>
  <c r="AU68" i="29"/>
  <c r="AV68" i="29"/>
  <c r="AA69" i="29"/>
  <c r="AD69" i="29" s="1"/>
  <c r="AE69" i="29"/>
  <c r="AI69" i="29"/>
  <c r="AL69" i="29"/>
  <c r="AQ69" i="29"/>
  <c r="AR69" i="29"/>
  <c r="AS69" i="29"/>
  <c r="AT69" i="29"/>
  <c r="AU69" i="29"/>
  <c r="AV69" i="29"/>
  <c r="W72" i="29"/>
  <c r="AA72" i="29"/>
  <c r="AD72" i="29" s="1"/>
  <c r="AE72" i="29"/>
  <c r="AI72" i="29"/>
  <c r="AL72" i="29"/>
  <c r="AQ72" i="29"/>
  <c r="AR72" i="29"/>
  <c r="AS72" i="29"/>
  <c r="AT72" i="29"/>
  <c r="AU72" i="29"/>
  <c r="AV72" i="29"/>
  <c r="AA73" i="29"/>
  <c r="AD73" i="29" s="1"/>
  <c r="AE73" i="29"/>
  <c r="AI73" i="29"/>
  <c r="AL73" i="29"/>
  <c r="AQ73" i="29"/>
  <c r="AR73" i="29"/>
  <c r="AS73" i="29"/>
  <c r="AT73" i="29"/>
  <c r="AU73" i="29"/>
  <c r="AV73" i="29"/>
  <c r="W76" i="29"/>
  <c r="AA76" i="29"/>
  <c r="AD76" i="29" s="1"/>
  <c r="AE76" i="29"/>
  <c r="AI76" i="29"/>
  <c r="AL76" i="29"/>
  <c r="AQ76" i="29"/>
  <c r="AR76" i="29"/>
  <c r="AS76" i="29"/>
  <c r="AT76" i="29"/>
  <c r="AU76" i="29"/>
  <c r="AV76" i="29"/>
  <c r="W77" i="29"/>
  <c r="AA77" i="29"/>
  <c r="AD77" i="29" s="1"/>
  <c r="AE77" i="29"/>
  <c r="AI77" i="29"/>
  <c r="AL77" i="29"/>
  <c r="AQ77" i="29"/>
  <c r="AR77" i="29"/>
  <c r="AS77" i="29"/>
  <c r="AT77" i="29"/>
  <c r="AU77" i="29"/>
  <c r="AV77" i="29"/>
  <c r="AA79" i="29"/>
  <c r="AD79" i="29" s="1"/>
  <c r="AE79" i="29"/>
  <c r="AI79" i="29"/>
  <c r="AL79" i="29"/>
  <c r="AQ79" i="29"/>
  <c r="AR79" i="29"/>
  <c r="AS79" i="29"/>
  <c r="AT79" i="29"/>
  <c r="AU79" i="29"/>
  <c r="AV79" i="29"/>
  <c r="AA80" i="29"/>
  <c r="AD80" i="29" s="1"/>
  <c r="AE80" i="29"/>
  <c r="AI80" i="29"/>
  <c r="AL80" i="29"/>
  <c r="AQ80" i="29"/>
  <c r="AR80" i="29"/>
  <c r="AS80" i="29"/>
  <c r="AT80" i="29"/>
  <c r="AU80" i="29"/>
  <c r="AV80" i="29"/>
  <c r="W63" i="29"/>
  <c r="AQ63" i="29"/>
  <c r="AR63" i="29"/>
  <c r="AS63" i="29"/>
  <c r="AT63" i="29"/>
  <c r="AU63" i="29"/>
  <c r="AV63" i="29"/>
  <c r="W17" i="29"/>
  <c r="AQ17" i="29"/>
  <c r="AR17" i="29"/>
  <c r="AS17" i="29"/>
  <c r="AT17" i="29"/>
  <c r="AU17" i="29"/>
  <c r="AV17" i="29"/>
  <c r="W44" i="29"/>
  <c r="AQ44" i="29"/>
  <c r="AR44" i="29"/>
  <c r="AS44" i="29"/>
  <c r="AT44" i="29"/>
  <c r="AU44" i="29"/>
  <c r="AV44" i="29"/>
  <c r="W70" i="29"/>
  <c r="AQ70" i="29"/>
  <c r="AR70" i="29"/>
  <c r="AS70" i="29"/>
  <c r="AT70" i="29"/>
  <c r="AU70" i="29"/>
  <c r="AV70" i="29"/>
  <c r="W47" i="29"/>
  <c r="AQ47" i="29"/>
  <c r="AR47" i="29"/>
  <c r="AS47" i="29"/>
  <c r="AT47" i="29"/>
  <c r="AU47" i="29"/>
  <c r="AV47" i="29"/>
  <c r="AA13" i="29"/>
  <c r="AD13" i="29" s="1"/>
  <c r="AE13" i="29"/>
  <c r="AI13" i="29"/>
  <c r="AL13" i="29"/>
  <c r="AQ13" i="29"/>
  <c r="AR13" i="29"/>
  <c r="AS13" i="29"/>
  <c r="AT13" i="29"/>
  <c r="AU13" i="29"/>
  <c r="AV13" i="29"/>
  <c r="AA41" i="29"/>
  <c r="AD41" i="29" s="1"/>
  <c r="AE41" i="29"/>
  <c r="AI41" i="29"/>
  <c r="AL41" i="29"/>
  <c r="AQ41" i="29"/>
  <c r="AR41" i="29"/>
  <c r="AS41" i="29"/>
  <c r="AT41" i="29"/>
  <c r="AU41" i="29"/>
  <c r="AV41" i="29"/>
  <c r="W50" i="29"/>
  <c r="AQ50" i="29"/>
  <c r="AR50" i="29"/>
  <c r="AS50" i="29"/>
  <c r="AT50" i="29"/>
  <c r="AU50" i="29"/>
  <c r="AV50" i="29"/>
  <c r="AA25" i="29"/>
  <c r="AD25" i="29" s="1"/>
  <c r="AE25" i="29"/>
  <c r="AI25" i="29"/>
  <c r="AL25" i="29"/>
  <c r="AQ25" i="29"/>
  <c r="AR25" i="29"/>
  <c r="AS25" i="29"/>
  <c r="AT25" i="29"/>
  <c r="AU25" i="29"/>
  <c r="AV25" i="29"/>
  <c r="AA11" i="29"/>
  <c r="AD11" i="29" s="1"/>
  <c r="AE11" i="29"/>
  <c r="AI11" i="29"/>
  <c r="AL11" i="29"/>
  <c r="AQ11" i="29"/>
  <c r="AR11" i="29"/>
  <c r="AS11" i="29"/>
  <c r="AT11" i="29"/>
  <c r="AU11" i="29"/>
  <c r="AV11" i="29"/>
  <c r="W18" i="29"/>
  <c r="AQ18" i="29"/>
  <c r="AR18" i="29"/>
  <c r="AS18" i="29"/>
  <c r="AT18" i="29"/>
  <c r="AU18" i="29"/>
  <c r="AV18" i="29"/>
  <c r="AA67" i="29"/>
  <c r="AD67" i="29" s="1"/>
  <c r="AE67" i="29"/>
  <c r="AI67" i="29"/>
  <c r="AL67" i="29"/>
  <c r="AQ67" i="29"/>
  <c r="AR67" i="29"/>
  <c r="AS67" i="29"/>
  <c r="AT67" i="29"/>
  <c r="AU67" i="29"/>
  <c r="AV67" i="29"/>
  <c r="W42" i="29"/>
  <c r="AQ42" i="29"/>
  <c r="AR42" i="29"/>
  <c r="AS42" i="29"/>
  <c r="AT42" i="29"/>
  <c r="AU42" i="29"/>
  <c r="AV42" i="29"/>
  <c r="W61" i="29"/>
  <c r="AQ61" i="29"/>
  <c r="AR61" i="29"/>
  <c r="AS61" i="29"/>
  <c r="AT61" i="29"/>
  <c r="AU61" i="29"/>
  <c r="AV61" i="29"/>
  <c r="W5" i="29"/>
  <c r="AA5" i="29"/>
  <c r="AD5" i="29" s="1"/>
  <c r="AE5" i="29"/>
  <c r="AI5" i="29"/>
  <c r="AL5" i="29"/>
  <c r="AQ5" i="29"/>
  <c r="AR5" i="29"/>
  <c r="AS5" i="29"/>
  <c r="AT5" i="29"/>
  <c r="AU5" i="29"/>
  <c r="AV5" i="29"/>
  <c r="W6" i="29"/>
  <c r="AQ6" i="29"/>
  <c r="AR6" i="29"/>
  <c r="AS6" i="29"/>
  <c r="AT6" i="29"/>
  <c r="AU6" i="29"/>
  <c r="AV6" i="29"/>
  <c r="W8" i="29"/>
  <c r="AA8" i="29"/>
  <c r="AD8" i="29" s="1"/>
  <c r="AE8" i="29"/>
  <c r="AI8" i="29"/>
  <c r="AL8" i="29"/>
  <c r="AQ8" i="29"/>
  <c r="AR8" i="29"/>
  <c r="AS8" i="29"/>
  <c r="AT8" i="29"/>
  <c r="AU8" i="29"/>
  <c r="AV8" i="29"/>
  <c r="W16" i="29"/>
  <c r="AQ16" i="29"/>
  <c r="AR16" i="29"/>
  <c r="AS16" i="29"/>
  <c r="AT16" i="29"/>
  <c r="AU16" i="29"/>
  <c r="AV16" i="29"/>
  <c r="W19" i="29"/>
  <c r="AA19" i="29"/>
  <c r="AD19" i="29" s="1"/>
  <c r="AE19" i="29"/>
  <c r="AI19" i="29"/>
  <c r="AL19" i="29"/>
  <c r="AQ19" i="29"/>
  <c r="AR19" i="29"/>
  <c r="AS19" i="29"/>
  <c r="AT19" i="29"/>
  <c r="AU19" i="29"/>
  <c r="AV19" i="29"/>
  <c r="W22" i="29"/>
  <c r="AQ22" i="29"/>
  <c r="AR22" i="29"/>
  <c r="AS22" i="29"/>
  <c r="AT22" i="29"/>
  <c r="AU22" i="29"/>
  <c r="AV22" i="29"/>
  <c r="W23" i="29"/>
  <c r="AQ23" i="29"/>
  <c r="AR23" i="29"/>
  <c r="AS23" i="29"/>
  <c r="AT23" i="29"/>
  <c r="AU23" i="29"/>
  <c r="AV23" i="29"/>
  <c r="W24" i="29"/>
  <c r="AQ24" i="29"/>
  <c r="AR24" i="29"/>
  <c r="AS24" i="29"/>
  <c r="AT24" i="29"/>
  <c r="AU24" i="29"/>
  <c r="AV24" i="29"/>
  <c r="W26" i="29"/>
  <c r="AA26" i="29"/>
  <c r="AD26" i="29" s="1"/>
  <c r="AE26" i="29"/>
  <c r="AI26" i="29"/>
  <c r="AL26" i="29"/>
  <c r="AQ26" i="29"/>
  <c r="AR26" i="29"/>
  <c r="AS26" i="29"/>
  <c r="AT26" i="29"/>
  <c r="AU26" i="29"/>
  <c r="AV26" i="29"/>
  <c r="W27" i="29"/>
  <c r="AQ27" i="29"/>
  <c r="AR27" i="29"/>
  <c r="AS27" i="29"/>
  <c r="AT27" i="29"/>
  <c r="AU27" i="29"/>
  <c r="AV27" i="29"/>
  <c r="W28" i="29"/>
  <c r="AA28" i="29"/>
  <c r="AD28" i="29" s="1"/>
  <c r="AE28" i="29"/>
  <c r="AI28" i="29"/>
  <c r="AL28" i="29"/>
  <c r="AQ28" i="29"/>
  <c r="AR28" i="29"/>
  <c r="AS28" i="29"/>
  <c r="AT28" i="29"/>
  <c r="AU28" i="29"/>
  <c r="AV28" i="29"/>
  <c r="W30" i="29"/>
  <c r="AQ30" i="29"/>
  <c r="AR30" i="29"/>
  <c r="AS30" i="29"/>
  <c r="AT30" i="29"/>
  <c r="AU30" i="29"/>
  <c r="AV30" i="29"/>
  <c r="W31" i="29"/>
  <c r="AQ31" i="29"/>
  <c r="AR31" i="29"/>
  <c r="AS31" i="29"/>
  <c r="AT31" i="29"/>
  <c r="AU31" i="29"/>
  <c r="AV31" i="29"/>
  <c r="W33" i="29"/>
  <c r="AQ33" i="29"/>
  <c r="AR33" i="29"/>
  <c r="AS33" i="29"/>
  <c r="AT33" i="29"/>
  <c r="AU33" i="29"/>
  <c r="AV33" i="29"/>
  <c r="W35" i="29"/>
  <c r="AA35" i="29"/>
  <c r="AD35" i="29" s="1"/>
  <c r="AE35" i="29"/>
  <c r="AI35" i="29"/>
  <c r="AL35" i="29"/>
  <c r="AQ35" i="29"/>
  <c r="AR35" i="29"/>
  <c r="AS35" i="29"/>
  <c r="AT35" i="29"/>
  <c r="AU35" i="29"/>
  <c r="AV35" i="29"/>
  <c r="W36" i="29"/>
  <c r="AA36" i="29"/>
  <c r="AD36" i="29" s="1"/>
  <c r="AE36" i="29"/>
  <c r="AI36" i="29"/>
  <c r="AL36" i="29"/>
  <c r="AQ36" i="29"/>
  <c r="AR36" i="29"/>
  <c r="AS36" i="29"/>
  <c r="AT36" i="29"/>
  <c r="AU36" i="29"/>
  <c r="AV36" i="29"/>
  <c r="W39" i="29"/>
  <c r="AQ39" i="29"/>
  <c r="AR39" i="29"/>
  <c r="AS39" i="29"/>
  <c r="AT39" i="29"/>
  <c r="AU39" i="29"/>
  <c r="AV39" i="29"/>
  <c r="W43" i="29"/>
  <c r="AQ43" i="29"/>
  <c r="AR43" i="29"/>
  <c r="AS43" i="29"/>
  <c r="AT43" i="29"/>
  <c r="AU43" i="29"/>
  <c r="AV43" i="29"/>
  <c r="W46" i="29"/>
  <c r="AA46" i="29"/>
  <c r="AD46" i="29" s="1"/>
  <c r="AE46" i="29"/>
  <c r="AI46" i="29"/>
  <c r="AL46" i="29"/>
  <c r="AQ46" i="29"/>
  <c r="AR46" i="29"/>
  <c r="AS46" i="29"/>
  <c r="AT46" i="29"/>
  <c r="AU46" i="29"/>
  <c r="AV46" i="29"/>
  <c r="W48" i="29"/>
  <c r="AQ48" i="29"/>
  <c r="AR48" i="29"/>
  <c r="AS48" i="29"/>
  <c r="AT48" i="29"/>
  <c r="AU48" i="29"/>
  <c r="AV48" i="29"/>
  <c r="W49" i="29"/>
  <c r="AA49" i="29"/>
  <c r="AD49" i="29" s="1"/>
  <c r="AE49" i="29"/>
  <c r="AI49" i="29"/>
  <c r="AL49" i="29"/>
  <c r="AQ49" i="29"/>
  <c r="AR49" i="29"/>
  <c r="AS49" i="29"/>
  <c r="AT49" i="29"/>
  <c r="AU49" i="29"/>
  <c r="AV49" i="29"/>
  <c r="W52" i="29"/>
  <c r="AA52" i="29"/>
  <c r="AD52" i="29" s="1"/>
  <c r="AE52" i="29"/>
  <c r="AI52" i="29"/>
  <c r="AL52" i="29"/>
  <c r="AQ52" i="29"/>
  <c r="AR52" i="29"/>
  <c r="AS52" i="29"/>
  <c r="AT52" i="29"/>
  <c r="AU52" i="29"/>
  <c r="AV52" i="29"/>
  <c r="W53" i="29"/>
  <c r="AA53" i="29"/>
  <c r="AD53" i="29" s="1"/>
  <c r="AE53" i="29"/>
  <c r="AI53" i="29"/>
  <c r="AL53" i="29"/>
  <c r="AQ53" i="29"/>
  <c r="AR53" i="29"/>
  <c r="AS53" i="29"/>
  <c r="AT53" i="29"/>
  <c r="AU53" i="29"/>
  <c r="AV53" i="29"/>
  <c r="W55" i="29"/>
  <c r="AQ55" i="29"/>
  <c r="AR55" i="29"/>
  <c r="AS55" i="29"/>
  <c r="AT55" i="29"/>
  <c r="AU55" i="29"/>
  <c r="AV55" i="29"/>
  <c r="W56" i="29"/>
  <c r="AQ56" i="29"/>
  <c r="AR56" i="29"/>
  <c r="AS56" i="29"/>
  <c r="AT56" i="29"/>
  <c r="AU56" i="29"/>
  <c r="AV56" i="29"/>
  <c r="W58" i="29"/>
  <c r="AQ58" i="29"/>
  <c r="AR58" i="29"/>
  <c r="AS58" i="29"/>
  <c r="AT58" i="29"/>
  <c r="AU58" i="29"/>
  <c r="AV58" i="29"/>
  <c r="W59" i="29"/>
  <c r="AA59" i="29"/>
  <c r="AD59" i="29" s="1"/>
  <c r="AE59" i="29"/>
  <c r="AI59" i="29"/>
  <c r="AL59" i="29"/>
  <c r="AQ59" i="29"/>
  <c r="AR59" i="29"/>
  <c r="AS59" i="29"/>
  <c r="AT59" i="29"/>
  <c r="AU59" i="29"/>
  <c r="AV59" i="29"/>
  <c r="W60" i="29"/>
  <c r="AA60" i="29"/>
  <c r="AD60" i="29" s="1"/>
  <c r="AE60" i="29"/>
  <c r="AI60" i="29"/>
  <c r="AL60" i="29"/>
  <c r="AQ60" i="29"/>
  <c r="AR60" i="29"/>
  <c r="AS60" i="29"/>
  <c r="AT60" i="29"/>
  <c r="AU60" i="29"/>
  <c r="AV60" i="29"/>
  <c r="W64" i="29"/>
  <c r="AQ64" i="29"/>
  <c r="AR64" i="29"/>
  <c r="AS64" i="29"/>
  <c r="AT64" i="29"/>
  <c r="AU64" i="29"/>
  <c r="AV64" i="29"/>
  <c r="W65" i="29"/>
  <c r="AA65" i="29"/>
  <c r="AD65" i="29" s="1"/>
  <c r="AE65" i="29"/>
  <c r="AI65" i="29"/>
  <c r="AL65" i="29"/>
  <c r="AQ65" i="29"/>
  <c r="AR65" i="29"/>
  <c r="AS65" i="29"/>
  <c r="AT65" i="29"/>
  <c r="AU65" i="29"/>
  <c r="AV65" i="29"/>
  <c r="W66" i="29"/>
  <c r="AA66" i="29"/>
  <c r="AD66" i="29" s="1"/>
  <c r="AE66" i="29"/>
  <c r="AI66" i="29"/>
  <c r="AL66" i="29"/>
  <c r="AQ66" i="29"/>
  <c r="AR66" i="29"/>
  <c r="AS66" i="29"/>
  <c r="AT66" i="29"/>
  <c r="AU66" i="29"/>
  <c r="AV66" i="29"/>
  <c r="W71" i="29"/>
  <c r="AA71" i="29"/>
  <c r="AD71" i="29" s="1"/>
  <c r="AE71" i="29"/>
  <c r="AI71" i="29"/>
  <c r="AL71" i="29"/>
  <c r="AQ71" i="29"/>
  <c r="AR71" i="29"/>
  <c r="AS71" i="29"/>
  <c r="AT71" i="29"/>
  <c r="AU71" i="29"/>
  <c r="AV71" i="29"/>
  <c r="W74" i="29"/>
  <c r="AA74" i="29"/>
  <c r="AD74" i="29" s="1"/>
  <c r="AE74" i="29"/>
  <c r="AI74" i="29"/>
  <c r="AL74" i="29"/>
  <c r="AQ74" i="29"/>
  <c r="AR74" i="29"/>
  <c r="AS74" i="29"/>
  <c r="AT74" i="29"/>
  <c r="AU74" i="29"/>
  <c r="AV74" i="29"/>
  <c r="W75" i="29"/>
  <c r="AA75" i="29"/>
  <c r="AD75" i="29" s="1"/>
  <c r="AE75" i="29"/>
  <c r="AI75" i="29"/>
  <c r="AL75" i="29"/>
  <c r="AQ75" i="29"/>
  <c r="AR75" i="29"/>
  <c r="AS75" i="29"/>
  <c r="AT75" i="29"/>
  <c r="AU75" i="29"/>
  <c r="AV75" i="29"/>
  <c r="AA78" i="29"/>
  <c r="AD78" i="29" s="1"/>
  <c r="AE78" i="29"/>
  <c r="AI78" i="29"/>
  <c r="AL78" i="29"/>
  <c r="AQ78" i="29"/>
  <c r="AR78" i="29"/>
  <c r="AS78" i="29"/>
  <c r="AT78" i="29"/>
  <c r="AU78" i="29"/>
  <c r="AV78" i="29"/>
  <c r="AV81" i="29"/>
  <c r="AJ9" i="29" l="1"/>
  <c r="BP27" i="34" a="1"/>
  <c r="BP27" i="34" s="1"/>
  <c r="BQ27" i="34" s="1" a="1"/>
  <c r="BQ27" i="34" s="1"/>
  <c r="AJ7" i="29"/>
  <c r="BP28" i="34" a="1"/>
  <c r="BP28" i="34" s="1"/>
  <c r="BQ28" i="34" s="1" a="1"/>
  <c r="BQ28" i="34" s="1"/>
  <c r="BP33" i="34" a="1"/>
  <c r="BP33" i="34" s="1"/>
  <c r="BQ33" i="34" s="1" a="1"/>
  <c r="BQ33" i="34" s="1"/>
  <c r="BP23" i="34" a="1"/>
  <c r="BP23" i="34" s="1"/>
  <c r="BQ23" i="34" s="1" a="1"/>
  <c r="BQ23" i="34" s="1"/>
  <c r="BP32" i="34" a="1"/>
  <c r="BP32" i="34" s="1"/>
  <c r="BQ32" i="34" s="1" a="1"/>
  <c r="BQ32" i="34" s="1"/>
  <c r="AM7" i="29"/>
  <c r="AM9" i="29"/>
  <c r="AJ14" i="29"/>
  <c r="AP7" i="29"/>
  <c r="AP9" i="29"/>
  <c r="AM10" i="29"/>
  <c r="AP10" i="29"/>
  <c r="AJ10" i="29"/>
  <c r="AJ12" i="29"/>
  <c r="AP12" i="29"/>
  <c r="AM12" i="29"/>
  <c r="AM14" i="29"/>
  <c r="AP14" i="29"/>
  <c r="AM15" i="29"/>
  <c r="AP15" i="29"/>
  <c r="AJ15" i="29"/>
  <c r="AM20" i="29"/>
  <c r="AP20" i="29"/>
  <c r="AJ20" i="29"/>
  <c r="AJ21" i="29"/>
  <c r="AP21" i="29"/>
  <c r="AM21" i="29"/>
  <c r="AJ29" i="29"/>
  <c r="AP29" i="29"/>
  <c r="AM29" i="29"/>
  <c r="AM34" i="29"/>
  <c r="AJ32" i="29"/>
  <c r="AP32" i="29"/>
  <c r="AM32" i="29"/>
  <c r="AJ34" i="29"/>
  <c r="AP34" i="29"/>
  <c r="AJ38" i="29"/>
  <c r="AJ37" i="29"/>
  <c r="AM37" i="29"/>
  <c r="AP37" i="29"/>
  <c r="AM38" i="29"/>
  <c r="AP38" i="29"/>
  <c r="AJ40" i="29"/>
  <c r="AP40" i="29"/>
  <c r="AM40" i="29"/>
  <c r="AJ51" i="29"/>
  <c r="AP45" i="29"/>
  <c r="AJ45" i="29"/>
  <c r="AM45" i="29"/>
  <c r="AM51" i="29"/>
  <c r="AP51" i="29"/>
  <c r="AJ54" i="29"/>
  <c r="AJ57" i="29"/>
  <c r="AP54" i="29"/>
  <c r="AM54" i="29"/>
  <c r="AM57" i="29"/>
  <c r="AP57" i="29"/>
  <c r="AJ62" i="29"/>
  <c r="AM62" i="29"/>
  <c r="AP62" i="29"/>
  <c r="AJ68" i="29"/>
  <c r="AJ69" i="29"/>
  <c r="AP68" i="29"/>
  <c r="AM68" i="29"/>
  <c r="AJ73" i="29"/>
  <c r="AJ72" i="29"/>
  <c r="AM69" i="29"/>
  <c r="AP69" i="29"/>
  <c r="AM72" i="29"/>
  <c r="AP72" i="29"/>
  <c r="AM73" i="29"/>
  <c r="I80" i="29"/>
  <c r="U80" i="29" s="1"/>
  <c r="AP73" i="29"/>
  <c r="AJ76" i="29"/>
  <c r="AP76" i="29"/>
  <c r="AM76" i="29"/>
  <c r="AJ77" i="29"/>
  <c r="AP77" i="29"/>
  <c r="AM77" i="29"/>
  <c r="I79" i="29"/>
  <c r="U79" i="29" s="1"/>
  <c r="AJ79" i="29"/>
  <c r="AP79" i="29"/>
  <c r="AM79" i="29"/>
  <c r="AJ80" i="29"/>
  <c r="AM80" i="29"/>
  <c r="AP80" i="29"/>
  <c r="AP63" i="29"/>
  <c r="AP17" i="29"/>
  <c r="AP44" i="29"/>
  <c r="AP70" i="29"/>
  <c r="AM13" i="29"/>
  <c r="AP47" i="29"/>
  <c r="AJ13" i="29"/>
  <c r="AP13" i="29"/>
  <c r="AJ41" i="29"/>
  <c r="AP41" i="29"/>
  <c r="AM41" i="29"/>
  <c r="AP50" i="29"/>
  <c r="AJ67" i="29"/>
  <c r="AM25" i="29"/>
  <c r="AP25" i="29"/>
  <c r="AJ25" i="29"/>
  <c r="AP11" i="29"/>
  <c r="AJ11" i="29"/>
  <c r="AM11" i="29"/>
  <c r="AP18" i="29"/>
  <c r="AM67" i="29"/>
  <c r="AP67" i="29"/>
  <c r="AP42" i="29"/>
  <c r="AP61" i="29"/>
  <c r="AJ5" i="29"/>
  <c r="AJ8" i="29"/>
  <c r="AP5" i="29"/>
  <c r="AM5" i="29"/>
  <c r="AP6" i="29"/>
  <c r="AM8" i="29"/>
  <c r="AJ19" i="29"/>
  <c r="AP8" i="29"/>
  <c r="AP16" i="29"/>
  <c r="AM19" i="29"/>
  <c r="AP19" i="29"/>
  <c r="AP22" i="29"/>
  <c r="AP23" i="29"/>
  <c r="AP24" i="29"/>
  <c r="AJ26" i="29"/>
  <c r="AP26" i="29"/>
  <c r="AM26" i="29"/>
  <c r="AP27" i="29"/>
  <c r="AP28" i="29"/>
  <c r="AJ28" i="29"/>
  <c r="AM28" i="29"/>
  <c r="AP30" i="29"/>
  <c r="AP31" i="29"/>
  <c r="AP33" i="29"/>
  <c r="AM35" i="29"/>
  <c r="AJ35" i="29"/>
  <c r="AP35" i="29"/>
  <c r="AM36" i="29"/>
  <c r="AJ36" i="29"/>
  <c r="AP36" i="29"/>
  <c r="AP39" i="29"/>
  <c r="AP43" i="29"/>
  <c r="AJ46" i="29"/>
  <c r="AM46" i="29"/>
  <c r="AP46" i="29"/>
  <c r="AP48" i="29"/>
  <c r="AM49" i="29"/>
  <c r="AP49" i="29"/>
  <c r="AJ49" i="29"/>
  <c r="AM52" i="29"/>
  <c r="AJ52" i="29"/>
  <c r="AP52" i="29"/>
  <c r="AM53" i="29"/>
  <c r="AJ53" i="29"/>
  <c r="AP53" i="29"/>
  <c r="AP55" i="29"/>
  <c r="AP56" i="29"/>
  <c r="AP58" i="29"/>
  <c r="AM59" i="29"/>
  <c r="AP59" i="29"/>
  <c r="AJ59" i="29"/>
  <c r="AM60" i="29"/>
  <c r="AJ60" i="29"/>
  <c r="AP60" i="29"/>
  <c r="AJ65" i="29"/>
  <c r="AP64" i="29"/>
  <c r="AP65" i="29"/>
  <c r="AM65" i="29"/>
  <c r="AM66" i="29"/>
  <c r="AP66" i="29"/>
  <c r="AJ66" i="29"/>
  <c r="AM71" i="29"/>
  <c r="AJ74" i="29"/>
  <c r="AJ71" i="29"/>
  <c r="I74" i="29"/>
  <c r="U74" i="29" s="1"/>
  <c r="AP71" i="29"/>
  <c r="I78" i="29"/>
  <c r="U78" i="29" s="1"/>
  <c r="AM74" i="29"/>
  <c r="AP74" i="29"/>
  <c r="AM75" i="29"/>
  <c r="I75" i="29"/>
  <c r="U75" i="29" s="1"/>
  <c r="AP75" i="29"/>
  <c r="AJ75" i="29"/>
  <c r="AJ78" i="29"/>
  <c r="AM78" i="29"/>
  <c r="AP78" i="29"/>
  <c r="H79" i="29" l="1" a="1"/>
  <c r="H79" i="29" s="1"/>
  <c r="J79" i="29" s="1"/>
  <c r="G66" i="29" a="1"/>
  <c r="G66" i="29" s="1"/>
  <c r="I66" i="29" s="1"/>
  <c r="U66" i="29" s="1"/>
  <c r="H66" i="29" s="1" a="1"/>
  <c r="H66" i="29" s="1"/>
  <c r="H74" i="29" a="1"/>
  <c r="H74" i="29" s="1"/>
  <c r="J74" i="29" s="1"/>
  <c r="H78" i="29" a="1"/>
  <c r="H78" i="29" s="1"/>
  <c r="J78" i="29" s="1"/>
  <c r="G71" i="29" a="1"/>
  <c r="G71" i="29" s="1"/>
  <c r="I71" i="29" s="1"/>
  <c r="U71" i="29" s="1"/>
  <c r="H75" i="29" a="1"/>
  <c r="H75" i="29" s="1"/>
  <c r="J75"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H67" i="29" l="1" a="1"/>
  <c r="H67" i="29" s="1"/>
  <c r="J67" i="29" s="1"/>
  <c r="G69" i="29" a="1"/>
  <c r="G69" i="29" s="1"/>
  <c r="I69" i="29" s="1"/>
  <c r="U69" i="29" s="1"/>
  <c r="H72" i="29" a="1"/>
  <c r="H72" i="29" s="1"/>
  <c r="J72"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0" i="29" l="1" a="1"/>
  <c r="H60" i="29" s="1"/>
  <c r="J60" i="29" s="1"/>
  <c r="G57" i="29" a="1"/>
  <c r="G57" i="29" s="1"/>
  <c r="I57" i="29" s="1"/>
  <c r="U57" i="29" s="1"/>
  <c r="H69" i="29" a="1"/>
  <c r="H69" i="29" s="1"/>
  <c r="J69" i="29" s="1"/>
  <c r="H63" i="29" a="1"/>
  <c r="H63" i="29" s="1"/>
  <c r="J63" i="29" s="1"/>
  <c r="H59" i="29" a="1"/>
  <c r="H59" i="29" s="1"/>
  <c r="J5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8" i="29"/>
  <c r="I61" i="29"/>
  <c r="U61" i="29" s="1"/>
  <c r="BM32" i="34" l="1" a="1"/>
  <c r="BM32" i="34" s="1"/>
  <c r="H56" i="29" a="1"/>
  <c r="H56" i="29" s="1"/>
  <c r="J56" i="29" s="1"/>
  <c r="H57" i="29" a="1"/>
  <c r="H57" i="29" s="1"/>
  <c r="J57" i="29" s="1"/>
  <c r="H58" i="29" a="1"/>
  <c r="H58" i="29" s="1"/>
  <c r="J58" i="29" s="1"/>
  <c r="G50" i="29" a="1"/>
  <c r="G50" i="29" s="1"/>
  <c r="I50" i="29" s="1"/>
  <c r="U50" i="29" s="1"/>
  <c r="H50" i="29" s="1" a="1"/>
  <c r="H50" i="29" s="1"/>
  <c r="H61" i="29" a="1"/>
  <c r="H61" i="29" s="1"/>
  <c r="J61" i="29" s="1"/>
  <c r="J73" i="29"/>
  <c r="G62" i="29" a="1"/>
  <c r="G62" i="29" s="1"/>
  <c r="I62" i="29" s="1"/>
  <c r="U62" i="29" s="1"/>
  <c r="Q62" i="10"/>
  <c r="W62" i="10" s="1"/>
  <c r="G46" i="29" a="1"/>
  <c r="G46" i="29" s="1"/>
  <c r="I46" i="29" s="1"/>
  <c r="U46" i="29" s="1"/>
  <c r="G34" i="29" a="1"/>
  <c r="G34" i="29" s="1"/>
  <c r="I34" i="29" s="1"/>
  <c r="U34" i="29" s="1"/>
  <c r="H34" i="29" s="1" a="1"/>
  <c r="H34" i="29" s="1"/>
  <c r="BK33" i="34" a="1"/>
  <c r="BK33" i="34" s="1"/>
  <c r="BL33" i="34" s="1" a="1"/>
  <c r="BL33" i="34" s="1"/>
  <c r="G55" i="29" a="1"/>
  <c r="G55" i="29" s="1"/>
  <c r="I55" i="29" s="1"/>
  <c r="U55" i="29" s="1"/>
  <c r="H55" i="29" s="1" a="1"/>
  <c r="H55" i="29" s="1"/>
  <c r="J55" i="29" s="1"/>
  <c r="BM34" i="34" a="1"/>
  <c r="BM34" i="34" s="1"/>
  <c r="BK35" i="34" a="1"/>
  <c r="BK35" i="34" s="1"/>
  <c r="BM35" i="34" a="1"/>
  <c r="BM35" i="34" s="1"/>
  <c r="Q58" i="10"/>
  <c r="W61" i="10"/>
  <c r="BK36" i="34" a="1"/>
  <c r="BK36" i="34" s="1"/>
  <c r="BK34" i="34" a="1"/>
  <c r="BK34" i="34" s="1"/>
  <c r="BL34" i="34" s="1" a="1"/>
  <c r="BL34" i="34" s="1"/>
  <c r="BK32" i="34" a="1"/>
  <c r="BK32" i="34" s="1"/>
  <c r="BL32" i="34" s="1" a="1"/>
  <c r="BL32" i="34" s="1"/>
  <c r="H46" i="29" l="1" a="1"/>
  <c r="H46" i="29" s="1"/>
  <c r="H62" i="29"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H20" i="29" s="1" a="1"/>
  <c r="H20" i="29" s="1"/>
  <c r="J30" i="29"/>
  <c r="BP31" i="34" a="1"/>
  <c r="BP31" i="34" s="1"/>
  <c r="W53" i="10"/>
  <c r="BK29" i="34" l="1" a="1"/>
  <c r="BK29" i="34" s="1"/>
  <c r="BL29" i="34" s="1" a="1"/>
  <c r="BL29" i="34" s="1"/>
  <c r="G15" i="29" a="1"/>
  <c r="G15" i="29" s="1"/>
  <c r="I15" i="29" s="1"/>
  <c r="U15" i="29" s="1"/>
  <c r="Q50" i="10" s="1"/>
  <c r="H28" i="29" a="1"/>
  <c r="H28" i="29" s="1"/>
  <c r="J28" i="29" s="1"/>
  <c r="H48" i="29" a="1"/>
  <c r="H48" i="29" s="1"/>
  <c r="J48" i="29" s="1"/>
  <c r="H49" i="29" a="1"/>
  <c r="H49" i="29" s="1"/>
  <c r="J49" i="29" s="1"/>
  <c r="G41" i="29" a="1"/>
  <c r="G41" i="29" s="1"/>
  <c r="I41" i="29" s="1"/>
  <c r="U41" i="29" s="1"/>
  <c r="H41" i="29" s="1" a="1"/>
  <c r="H41" i="29" s="1"/>
  <c r="J41" i="29" s="1"/>
  <c r="J20" i="29"/>
  <c r="J45" i="29"/>
  <c r="G40" i="29" a="1"/>
  <c r="G40" i="29" s="1"/>
  <c r="I40" i="29" s="1"/>
  <c r="U40" i="29" s="1"/>
  <c r="G24" i="29" a="1"/>
  <c r="G24" i="29" s="1"/>
  <c r="I24" i="29" s="1"/>
  <c r="U24" i="29" s="1"/>
  <c r="G43" i="29" a="1"/>
  <c r="G43" i="29" s="1"/>
  <c r="I43" i="29" s="1"/>
  <c r="U43" i="29" s="1"/>
  <c r="H43" i="29" s="1" a="1"/>
  <c r="H43" i="29" s="1"/>
  <c r="BP29" i="34" a="1"/>
  <c r="BP29" i="34" s="1"/>
  <c r="BQ29" i="34" s="1" a="1"/>
  <c r="BQ29" i="34" s="1"/>
  <c r="H15" i="29" l="1" a="1"/>
  <c r="H15" i="29" s="1"/>
  <c r="J15" i="29" s="1"/>
  <c r="G7" i="29" a="1"/>
  <c r="G7" i="29" s="1"/>
  <c r="I7" i="29" s="1"/>
  <c r="U7" i="29" s="1"/>
  <c r="BM25" i="34" s="1" a="1"/>
  <c r="BM25" i="34" s="1"/>
  <c r="J43" i="29"/>
  <c r="Q57" i="10"/>
  <c r="W57" i="10" s="1"/>
  <c r="BM29" i="34" a="1"/>
  <c r="BM29" i="34" s="1"/>
  <c r="G25" i="29" a="1"/>
  <c r="G25" i="29" s="1"/>
  <c r="I25" i="29" s="1"/>
  <c r="U25" i="29" s="1"/>
  <c r="H24" i="29" a="1"/>
  <c r="H24" i="29" s="1"/>
  <c r="J24" i="29" s="1"/>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39" i="29" a="1"/>
  <c r="G39" i="29" s="1"/>
  <c r="I39" i="29" s="1"/>
  <c r="U39" i="29" s="1"/>
  <c r="H39" i="29" s="1" a="1"/>
  <c r="H39" i="29" s="1"/>
  <c r="BP25" i="34" a="1"/>
  <c r="BP25" i="34" s="1"/>
  <c r="W50" i="10"/>
  <c r="BK25" i="34" a="1"/>
  <c r="BK25" i="34" s="1"/>
  <c r="H7" i="29" l="1" a="1"/>
  <c r="H7" i="29" s="1"/>
  <c r="J7" i="29" s="1"/>
  <c r="H25" i="29" a="1"/>
  <c r="H25" i="29" s="1"/>
  <c r="J25" i="29" s="1"/>
  <c r="H37" i="29" a="1"/>
  <c r="H37" i="29" s="1"/>
  <c r="J37" i="29" s="1"/>
  <c r="Q52" i="10"/>
  <c r="W52" i="10" s="1"/>
  <c r="AL13" i="83" a="1"/>
  <c r="AL13" i="83" s="1"/>
  <c r="AO13" i="83" s="1"/>
  <c r="G18" i="29" a="1"/>
  <c r="G18" i="29" s="1"/>
  <c r="I18" i="29" s="1"/>
  <c r="U18" i="29" s="1"/>
  <c r="G17" i="29" s="1" a="1"/>
  <c r="G17" i="29" s="1"/>
  <c r="I17" i="29" s="1"/>
  <c r="U17" i="29" s="1"/>
  <c r="H17" i="29" s="1" a="1"/>
  <c r="H17" i="29" s="1"/>
  <c r="G38" i="29" a="1"/>
  <c r="G38" i="29" s="1"/>
  <c r="I38" i="29" s="1"/>
  <c r="U38" i="29" s="1"/>
  <c r="H38" i="29" s="1" a="1"/>
  <c r="H38" i="29" s="1"/>
  <c r="J38" i="29" s="1"/>
  <c r="J23" i="29"/>
  <c r="G19" i="29" a="1"/>
  <c r="G19" i="29" s="1"/>
  <c r="I19" i="29" s="1"/>
  <c r="U19" i="29" s="1"/>
  <c r="H19" i="29" s="1" a="1"/>
  <c r="H19" i="29" s="1"/>
  <c r="J39" i="29"/>
  <c r="G36" i="29" a="1"/>
  <c r="G36" i="29" s="1"/>
  <c r="I36" i="29" s="1"/>
  <c r="U36" i="29" s="1"/>
  <c r="H36" i="29" s="1" a="1"/>
  <c r="H36" i="29" s="1"/>
  <c r="H18" i="29" l="1" a="1"/>
  <c r="H18" i="29" s="1"/>
  <c r="J18" i="29" s="1"/>
  <c r="BM31" i="34"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Q51" i="10" l="1"/>
  <c r="W51" i="10" s="1"/>
  <c r="H35" i="29" a="1"/>
  <c r="H35" i="29" s="1"/>
  <c r="J35" i="29" s="1"/>
  <c r="G14" i="29" a="1"/>
  <c r="G14" i="29" s="1"/>
  <c r="I14" i="29" s="1"/>
  <c r="U14" i="29" s="1"/>
  <c r="G12" i="29" s="1" a="1"/>
  <c r="G12" i="29" s="1"/>
  <c r="I12" i="29" s="1"/>
  <c r="U12"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AL11" i="83" l="1" a="1"/>
  <c r="AL11" i="83" s="1"/>
  <c r="AO11" i="83" s="1"/>
  <c r="AJ23" i="59" s="1" a="1"/>
  <c r="AJ23" i="59" s="1"/>
  <c r="AB23" i="59" s="1"/>
  <c r="AC23" i="59" s="1"/>
  <c r="AD23" i="59" s="1"/>
  <c r="H12" i="29" a="1"/>
  <c r="H12" i="29" s="1"/>
  <c r="J12" i="29" s="1"/>
  <c r="H14" i="29" a="1"/>
  <c r="H14" i="29" s="1"/>
  <c r="J14" i="29" s="1"/>
  <c r="Q49" i="10"/>
  <c r="W49" i="10"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6" i="59" l="1"/>
  <c r="AC26" i="59" s="1"/>
  <c r="AD26" i="59" s="1"/>
  <c r="J27" i="29"/>
  <c r="G26" i="29" a="1"/>
  <c r="G26" i="29" s="1"/>
  <c r="I26" i="29" s="1"/>
  <c r="U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Y27" i="37"/>
  <c r="Y28" i="37"/>
  <c r="Y29" i="37"/>
  <c r="Z29" i="37" s="1"/>
  <c r="Q25" i="37"/>
  <c r="T25" i="37" s="1"/>
  <c r="AC25" i="37" s="1"/>
  <c r="Q26" i="37"/>
  <c r="U26" i="37" s="1"/>
  <c r="Q27" i="37"/>
  <c r="U27" i="37" s="1"/>
  <c r="Q28" i="37"/>
  <c r="U28" i="37" s="1"/>
  <c r="Q29" i="37"/>
  <c r="U29" i="37" s="1"/>
  <c r="X25" i="37"/>
  <c r="X26" i="37"/>
  <c r="X27" i="37"/>
  <c r="X28" i="37"/>
  <c r="X29" i="37"/>
  <c r="Z28" i="37" l="1"/>
  <c r="Z27" i="37"/>
  <c r="H26" i="29" a="1"/>
  <c r="H26" i="29" s="1"/>
  <c r="J26" i="29" s="1"/>
  <c r="Z26" i="37"/>
  <c r="Z25" i="37"/>
  <c r="G22" i="29" a="1"/>
  <c r="G22" i="29" s="1"/>
  <c r="I22" i="29" s="1"/>
  <c r="U22" i="29" s="1"/>
  <c r="Q46" i="10"/>
  <c r="W46" i="10" s="1"/>
  <c r="J10" i="29"/>
  <c r="BM26" i="34" a="1"/>
  <c r="BM26" i="34" s="1"/>
  <c r="T26" i="37"/>
  <c r="T29" i="37"/>
  <c r="AC29" i="37" s="1"/>
  <c r="T28" i="37"/>
  <c r="AC28" i="37" s="1"/>
  <c r="T27" i="37"/>
  <c r="AC27" i="37" s="1"/>
  <c r="U25" i="37"/>
  <c r="H22" i="29" l="1" a="1"/>
  <c r="H22" i="29" s="1"/>
  <c r="J22" i="29" s="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BM23" i="34" l="1" a="1"/>
  <c r="BM23" i="34" s="1"/>
  <c r="BK23" i="34" a="1"/>
  <c r="BK23" i="34" s="1"/>
  <c r="BL23" i="34" s="1" a="1"/>
  <c r="BL23" i="34" s="1"/>
  <c r="U29" i="64"/>
  <c r="V29" i="64" s="1"/>
  <c r="X29" i="64" s="1"/>
  <c r="U28" i="64"/>
  <c r="V28" i="64" s="1"/>
  <c r="X28" i="64" s="1"/>
  <c r="U24" i="64"/>
  <c r="W24" i="64" s="1"/>
  <c r="T23" i="64"/>
  <c r="W23" i="64" s="1"/>
  <c r="U27" i="64"/>
  <c r="W27" i="64" s="1"/>
  <c r="V22" i="64"/>
  <c r="X22" i="64" s="1"/>
  <c r="T22" i="64"/>
  <c r="W22" i="64" s="1"/>
  <c r="U26" i="64"/>
  <c r="V26" i="64" s="1"/>
  <c r="X26" i="64" s="1"/>
  <c r="U25" i="64"/>
  <c r="W25" i="64" s="1"/>
  <c r="T29" i="64"/>
  <c r="T28" i="64"/>
  <c r="U30" i="64"/>
  <c r="W30" i="64" s="1"/>
  <c r="U31" i="64"/>
  <c r="W29" i="64" l="1"/>
  <c r="V24" i="64"/>
  <c r="X24" i="64" s="1"/>
  <c r="W28" i="64"/>
  <c r="V27" i="64"/>
  <c r="X27" i="64" s="1"/>
  <c r="V25" i="64"/>
  <c r="X25" i="64" s="1"/>
  <c r="W26" i="64"/>
  <c r="V30" i="64"/>
  <c r="X30" i="64" s="1"/>
  <c r="W31" i="64"/>
  <c r="V31" i="64"/>
  <c r="X31" i="64" s="1"/>
  <c r="C195" i="40"/>
  <c r="O195" i="40"/>
  <c r="O44" i="40" s="1"/>
  <c r="N195" i="40"/>
  <c r="N44" i="40" s="1"/>
  <c r="M195" i="40"/>
  <c r="M44" i="40" s="1"/>
  <c r="L195" i="40"/>
  <c r="L44" i="40" s="1"/>
  <c r="K195" i="40"/>
  <c r="K44" i="40" s="1"/>
  <c r="J195" i="40"/>
  <c r="J44" i="40" s="1"/>
  <c r="I195" i="40"/>
  <c r="I44" i="40" s="1"/>
  <c r="H195" i="40"/>
  <c r="H44" i="40" s="1"/>
  <c r="G195" i="40"/>
  <c r="G44" i="40" s="1"/>
  <c r="F195" i="40"/>
  <c r="F44" i="40" s="1"/>
  <c r="E195" i="40"/>
  <c r="E44" i="40" s="1"/>
  <c r="D195" i="40"/>
  <c r="D44" i="40" s="1"/>
  <c r="C190" i="40"/>
  <c r="D184" i="40" a="1"/>
  <c r="D184" i="40" s="1"/>
  <c r="D185" i="40" s="1"/>
  <c r="D42" i="40" s="1"/>
  <c r="C185" i="40"/>
  <c r="O180" i="40"/>
  <c r="N180" i="40"/>
  <c r="O40" i="40" s="1"/>
  <c r="M180" i="40"/>
  <c r="N40" i="40" s="1"/>
  <c r="L180" i="40"/>
  <c r="M40" i="40" s="1"/>
  <c r="K180" i="40"/>
  <c r="L40" i="40" s="1"/>
  <c r="J180" i="40"/>
  <c r="K40" i="40" s="1"/>
  <c r="I180" i="40"/>
  <c r="J40" i="40" s="1"/>
  <c r="H180" i="40"/>
  <c r="I40" i="40" s="1"/>
  <c r="G180" i="40"/>
  <c r="H40" i="40" s="1"/>
  <c r="F180" i="40"/>
  <c r="G40" i="40" s="1"/>
  <c r="E180" i="40"/>
  <c r="F40" i="40" s="1"/>
  <c r="D180" i="40"/>
  <c r="E40" i="40" s="1"/>
  <c r="C180" i="40"/>
  <c r="D40" i="40" s="1"/>
  <c r="K175" i="40"/>
  <c r="K39" i="40" s="1"/>
  <c r="N175" i="40"/>
  <c r="N39" i="40" s="1"/>
  <c r="M175" i="40"/>
  <c r="M39" i="40" s="1"/>
  <c r="L175" i="40"/>
  <c r="L39" i="40" s="1"/>
  <c r="J175" i="40"/>
  <c r="J39" i="40" s="1"/>
  <c r="I175" i="40"/>
  <c r="I39" i="40" s="1"/>
  <c r="H175" i="40"/>
  <c r="H39" i="40" s="1"/>
  <c r="G175" i="40"/>
  <c r="G39" i="40" s="1"/>
  <c r="F175" i="40"/>
  <c r="F39" i="40" s="1"/>
  <c r="E175" i="40"/>
  <c r="E39" i="40" s="1"/>
  <c r="C175" i="40"/>
  <c r="D148" i="40"/>
  <c r="D27" i="40" s="1"/>
  <c r="E148" i="40"/>
  <c r="E27" i="40" s="1"/>
  <c r="F148" i="40"/>
  <c r="F27" i="40" s="1"/>
  <c r="G148" i="40"/>
  <c r="G27" i="40" s="1"/>
  <c r="H148" i="40"/>
  <c r="H27" i="40" s="1"/>
  <c r="I148" i="40"/>
  <c r="I27" i="40" s="1"/>
  <c r="J148" i="40"/>
  <c r="J27" i="40" s="1"/>
  <c r="K148" i="40"/>
  <c r="K27" i="40" s="1"/>
  <c r="L148" i="40"/>
  <c r="L27" i="40" s="1"/>
  <c r="M148" i="40"/>
  <c r="M27" i="40" s="1"/>
  <c r="N148" i="40"/>
  <c r="N27" i="40" s="1"/>
  <c r="O148" i="40"/>
  <c r="O27" i="40" s="1"/>
  <c r="D142" i="40"/>
  <c r="E142" i="40"/>
  <c r="F142" i="40"/>
  <c r="G142" i="40"/>
  <c r="H142" i="40"/>
  <c r="I142" i="40"/>
  <c r="J142" i="40"/>
  <c r="K142" i="40"/>
  <c r="L142" i="40"/>
  <c r="M142" i="40"/>
  <c r="N142" i="40"/>
  <c r="O142" i="40"/>
  <c r="D135" i="40"/>
  <c r="D17" i="40" s="1"/>
  <c r="E135" i="40"/>
  <c r="E17" i="40" s="1"/>
  <c r="F135" i="40"/>
  <c r="F17" i="40" s="1"/>
  <c r="G135" i="40"/>
  <c r="G17" i="40" s="1"/>
  <c r="H135" i="40"/>
  <c r="H17" i="40" s="1"/>
  <c r="I135" i="40"/>
  <c r="I17" i="40" s="1"/>
  <c r="J135" i="40"/>
  <c r="J17" i="40" s="1"/>
  <c r="K135" i="40"/>
  <c r="K17" i="40" s="1"/>
  <c r="L135" i="40"/>
  <c r="L17" i="40" s="1"/>
  <c r="M135" i="40"/>
  <c r="M17" i="40" s="1"/>
  <c r="N135" i="40"/>
  <c r="N17" i="40" s="1"/>
  <c r="O135" i="40"/>
  <c r="O17" i="40" s="1"/>
  <c r="D94" i="40"/>
  <c r="D24" i="40" s="1"/>
  <c r="E94" i="40"/>
  <c r="E24" i="40" s="1"/>
  <c r="F94" i="40"/>
  <c r="F24" i="40" s="1"/>
  <c r="G94" i="40"/>
  <c r="G24" i="40" s="1"/>
  <c r="H94" i="40"/>
  <c r="H24" i="40" s="1"/>
  <c r="I94" i="40"/>
  <c r="I24" i="40" s="1"/>
  <c r="J94" i="40"/>
  <c r="J24" i="40" s="1"/>
  <c r="K94" i="40"/>
  <c r="K24" i="40" s="1"/>
  <c r="L94" i="40"/>
  <c r="L24" i="40" s="1"/>
  <c r="M94" i="40"/>
  <c r="M24" i="40" s="1"/>
  <c r="N94" i="40"/>
  <c r="N24" i="40" s="1"/>
  <c r="O94" i="40"/>
  <c r="O24" i="40" s="1"/>
  <c r="D88" i="40"/>
  <c r="D15" i="40" s="1"/>
  <c r="E88" i="40"/>
  <c r="E15" i="40" s="1"/>
  <c r="F88" i="40"/>
  <c r="F15" i="40" s="1"/>
  <c r="G88" i="40"/>
  <c r="G15" i="40" s="1"/>
  <c r="H88" i="40"/>
  <c r="H15" i="40" s="1"/>
  <c r="I88" i="40"/>
  <c r="I15" i="40" s="1"/>
  <c r="J88" i="40"/>
  <c r="J15" i="40" s="1"/>
  <c r="K88" i="40"/>
  <c r="K15" i="40" s="1"/>
  <c r="L88" i="40"/>
  <c r="L15" i="40" s="1"/>
  <c r="M88" i="40"/>
  <c r="M15" i="40" s="1"/>
  <c r="N88" i="40"/>
  <c r="N15" i="40" s="1"/>
  <c r="O88" i="40"/>
  <c r="O15" i="40" s="1"/>
  <c r="D83" i="40"/>
  <c r="E83" i="40"/>
  <c r="F83" i="40"/>
  <c r="G83" i="40"/>
  <c r="H83" i="40"/>
  <c r="I83" i="40"/>
  <c r="J83" i="40"/>
  <c r="K83" i="40"/>
  <c r="L83" i="40"/>
  <c r="M83" i="40"/>
  <c r="N83" i="40"/>
  <c r="O83" i="40"/>
  <c r="D190" i="40" l="1"/>
  <c r="D43" i="40" s="1"/>
  <c r="E190" i="40"/>
  <c r="E43" i="40" s="1"/>
  <c r="O175" i="40"/>
  <c r="O39" i="40" s="1"/>
  <c r="D175" i="40"/>
  <c r="D39" i="40" s="1"/>
  <c r="S4" i="40"/>
  <c r="O35" i="40" a="1"/>
  <c r="O35" i="40" s="1"/>
  <c r="N35" i="40" a="1"/>
  <c r="N35" i="40" s="1"/>
  <c r="M35" i="40" a="1"/>
  <c r="M35" i="40" s="1"/>
  <c r="L35" i="40" a="1"/>
  <c r="L35" i="40" s="1"/>
  <c r="K35" i="40" a="1"/>
  <c r="K35" i="40" s="1"/>
  <c r="J35" i="40" a="1"/>
  <c r="J35" i="40" s="1"/>
  <c r="I35" i="40" a="1"/>
  <c r="I35" i="40" s="1"/>
  <c r="H35" i="40" a="1"/>
  <c r="H35" i="40" s="1"/>
  <c r="G35" i="40" a="1"/>
  <c r="G35" i="40" s="1"/>
  <c r="F35" i="40" a="1"/>
  <c r="F35" i="40" s="1"/>
  <c r="E35" i="40" a="1"/>
  <c r="E35" i="40" s="1"/>
  <c r="D35" i="40" a="1"/>
  <c r="D35" i="40" s="1"/>
  <c r="E166" i="40"/>
  <c r="E31" i="40" s="1"/>
  <c r="F166" i="40"/>
  <c r="F31" i="40" s="1"/>
  <c r="G166" i="40"/>
  <c r="G31" i="40" s="1"/>
  <c r="H166" i="40"/>
  <c r="H31" i="40" s="1"/>
  <c r="I166" i="40"/>
  <c r="I31" i="40" s="1"/>
  <c r="J166" i="40"/>
  <c r="J31" i="40" s="1"/>
  <c r="K166" i="40"/>
  <c r="K31" i="40" s="1"/>
  <c r="L166" i="40"/>
  <c r="L31" i="40" s="1"/>
  <c r="M166" i="40"/>
  <c r="M31" i="40" s="1"/>
  <c r="N166" i="40"/>
  <c r="N31" i="40" s="1"/>
  <c r="O166" i="40"/>
  <c r="O31" i="40" s="1"/>
  <c r="D166" i="40"/>
  <c r="G190" i="40" l="1"/>
  <c r="G43" i="40" s="1"/>
  <c r="F190" i="40"/>
  <c r="F43" i="40" s="1"/>
  <c r="S5" i="40"/>
  <c r="D31" i="40"/>
  <c r="AH1" i="59"/>
  <c r="AK25" i="59" s="1"/>
  <c r="AM25" i="59" s="1"/>
  <c r="AK23" i="59" l="1"/>
  <c r="AL23" i="59" s="1" a="1"/>
  <c r="AL23" i="59" s="1"/>
  <c r="AM11" i="83" s="1"/>
  <c r="AK24" i="59"/>
  <c r="AM24" i="59" s="1"/>
  <c r="I190" i="40"/>
  <c r="I43" i="40" s="1"/>
  <c r="H190" i="40"/>
  <c r="H43" i="40" s="1"/>
  <c r="AK22" i="59"/>
  <c r="AM10" i="83" l="1"/>
  <c r="AM23" i="59"/>
  <c r="K190" i="40"/>
  <c r="K43" i="40" s="1"/>
  <c r="J190" i="40"/>
  <c r="J43" i="40" s="1"/>
  <c r="I26" i="58"/>
  <c r="AB22" i="59"/>
  <c r="AA22" i="59"/>
  <c r="AL22" i="59" s="1" a="1"/>
  <c r="AL22" i="59" s="1"/>
  <c r="AM12" i="83" s="1"/>
  <c r="S22" i="59"/>
  <c r="Q22" i="59" a="1"/>
  <c r="Q22" i="59" s="1"/>
  <c r="L190" i="40" l="1"/>
  <c r="L43" i="40" s="1"/>
  <c r="N190" i="40"/>
  <c r="N43" i="40" s="1"/>
  <c r="M190" i="40"/>
  <c r="M43" i="40" s="1"/>
  <c r="O190" i="40"/>
  <c r="O43" i="40" s="1"/>
  <c r="AC22" i="59"/>
  <c r="AD46" i="6" a="1"/>
  <c r="AD46" i="6" s="1"/>
  <c r="AC20" i="59" l="1"/>
  <c r="AD22" i="59"/>
  <c r="L3" i="53"/>
  <c r="L5" i="53"/>
  <c r="K3" i="53"/>
  <c r="K5" i="53"/>
  <c r="J3" i="53"/>
  <c r="J5" i="53"/>
  <c r="Z6" i="61"/>
  <c r="X5" i="61"/>
  <c r="C199" i="40" l="1"/>
  <c r="C200" i="40" s="1"/>
  <c r="C125" i="40"/>
  <c r="P121" i="40"/>
  <c r="E199" i="40" l="1"/>
  <c r="E200" i="40" s="1"/>
  <c r="F199" i="40"/>
  <c r="F200" i="40" s="1"/>
  <c r="G199" i="40"/>
  <c r="G200" i="40" s="1"/>
  <c r="H199" i="40"/>
  <c r="H200" i="40" s="1"/>
  <c r="I199" i="40"/>
  <c r="I200" i="40" s="1"/>
  <c r="J199" i="40"/>
  <c r="J200" i="40" s="1"/>
  <c r="K199" i="40"/>
  <c r="K200" i="40" s="1"/>
  <c r="L199" i="40"/>
  <c r="L200" i="40" s="1"/>
  <c r="M199" i="40"/>
  <c r="M200" i="40" s="1"/>
  <c r="N199" i="40"/>
  <c r="N200" i="40" s="1"/>
  <c r="O199" i="40"/>
  <c r="O200" i="40" s="1"/>
  <c r="D199" i="40"/>
  <c r="D200" i="40" s="1"/>
  <c r="P10" i="55"/>
  <c r="C4" i="55" a="1"/>
  <c r="C4" i="55" s="1"/>
  <c r="W10" i="55"/>
  <c r="X10" i="55" s="1"/>
  <c r="J34" i="64" l="1"/>
  <c r="N34" i="64"/>
  <c r="O34" i="64"/>
  <c r="P34" i="64"/>
  <c r="R34" i="64"/>
  <c r="L8" i="38"/>
  <c r="K8" i="38"/>
  <c r="Q34" i="64" l="1"/>
  <c r="Q33" i="64"/>
  <c r="S33" i="64" s="1"/>
  <c r="Q32" i="64"/>
  <c r="Y32" i="64"/>
  <c r="Y33" i="64"/>
  <c r="Y34" i="64"/>
  <c r="S34" i="64"/>
  <c r="T34" i="64" s="1"/>
  <c r="D104" i="32" a="1"/>
  <c r="D104" i="32" s="1"/>
  <c r="D110" i="32" a="1"/>
  <c r="D110" i="32" s="1"/>
  <c r="BL9" i="61"/>
  <c r="BM9" i="61" s="1"/>
  <c r="BK7" i="61"/>
  <c r="BL7" i="61" s="1"/>
  <c r="U33" i="64" l="1"/>
  <c r="V33" i="64" s="1"/>
  <c r="X33" i="64" s="1"/>
  <c r="T33" i="64"/>
  <c r="S32" i="64"/>
  <c r="T32" i="64" s="1"/>
  <c r="U34" i="64"/>
  <c r="V34" i="64" s="1"/>
  <c r="X34" i="64" s="1"/>
  <c r="BM7" i="61"/>
  <c r="Q65" i="10"/>
  <c r="R65" i="10"/>
  <c r="W33" i="64" l="1"/>
  <c r="U32" i="64"/>
  <c r="V32" i="64" s="1"/>
  <c r="X32" i="64" s="1"/>
  <c r="W34" i="64"/>
  <c r="Z22" i="64" s="1"/>
  <c r="B18" i="10"/>
  <c r="W32" i="64" l="1"/>
  <c r="Z23" i="64"/>
  <c r="Z24" i="64"/>
  <c r="Z25" i="64"/>
  <c r="Z26" i="64"/>
  <c r="Z27" i="64"/>
  <c r="Z28" i="64"/>
  <c r="Z29" i="64"/>
  <c r="Z30" i="64"/>
  <c r="Z31" i="64"/>
  <c r="Z32" i="64"/>
  <c r="Z33" i="64"/>
  <c r="Z34" i="64"/>
  <c r="T43" i="13"/>
  <c r="I32" i="13"/>
  <c r="P94" i="32" l="1" a="1"/>
  <c r="P94" i="32" s="1"/>
  <c r="O94" i="32" a="1"/>
  <c r="O94" i="32" s="1"/>
  <c r="K94" i="32" a="1"/>
  <c r="K94" i="32" s="1"/>
  <c r="J94" i="32" a="1"/>
  <c r="J94" i="32" s="1"/>
  <c r="F94" i="32" a="1"/>
  <c r="F94" i="32" s="1"/>
  <c r="E94" i="32" a="1"/>
  <c r="E94" i="32" s="1"/>
  <c r="D4" i="46"/>
  <c r="D2" i="46"/>
  <c r="D83" i="32" l="1" a="1"/>
  <c r="D83" i="32" s="1"/>
  <c r="W65" i="10"/>
  <c r="Y46" i="10" l="1"/>
  <c r="Y47" i="10"/>
  <c r="Y48" i="10"/>
  <c r="Y49" i="10"/>
  <c r="Y50" i="10"/>
  <c r="Y51" i="10"/>
  <c r="Y52" i="10"/>
  <c r="Y53" i="10"/>
  <c r="Y54" i="10"/>
  <c r="Y55" i="10"/>
  <c r="Y56" i="10"/>
  <c r="Y57" i="10"/>
  <c r="Y58" i="10"/>
  <c r="Y59" i="10"/>
  <c r="Y60" i="10"/>
  <c r="Y61" i="10"/>
  <c r="Y62" i="10"/>
  <c r="Y63" i="10"/>
  <c r="Y64" i="10"/>
  <c r="Y65" i="10"/>
  <c r="O25" i="40" l="1"/>
  <c r="N25" i="40"/>
  <c r="M25" i="40"/>
  <c r="L25" i="40"/>
  <c r="K25" i="40"/>
  <c r="J25" i="40"/>
  <c r="I25" i="40"/>
  <c r="H25" i="40"/>
  <c r="G25" i="40"/>
  <c r="F25" i="40"/>
  <c r="E25" i="40"/>
  <c r="D25" i="40"/>
  <c r="O26" i="40"/>
  <c r="N26" i="40"/>
  <c r="M26" i="40"/>
  <c r="L26" i="40"/>
  <c r="K26" i="40"/>
  <c r="J26" i="40"/>
  <c r="I26" i="40"/>
  <c r="H26" i="40"/>
  <c r="G26" i="40"/>
  <c r="F26" i="40"/>
  <c r="E26" i="40"/>
  <c r="D26" i="40"/>
  <c r="C4" i="81" a="1"/>
  <c r="C25" i="40" l="1"/>
  <c r="C4" i="81"/>
  <c r="AX46" i="6" a="1"/>
  <c r="AX46" i="6" s="1"/>
  <c r="AW46" i="6"/>
  <c r="AV46" i="6"/>
  <c r="AU46" i="6"/>
  <c r="AT46" i="6"/>
  <c r="AS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V3" i="29" a="1"/>
  <c r="AV3" i="29" s="1"/>
  <c r="AU3" i="29"/>
  <c r="AT3" i="29"/>
  <c r="AS3" i="29"/>
  <c r="AR3" i="29"/>
  <c r="AQ3" i="29"/>
  <c r="AU81" i="29"/>
  <c r="AR81" i="29"/>
  <c r="AR46" i="6" l="1"/>
  <c r="AP3" i="29"/>
  <c r="AE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4" i="68" l="1" a="1"/>
  <c r="V54" i="68" s="1"/>
  <c r="S54" i="68" a="1"/>
  <c r="S54" i="68" s="1"/>
  <c r="V51" i="68" a="1"/>
  <c r="V51" i="68" s="1"/>
  <c r="S51" i="68" a="1"/>
  <c r="S51" i="68" s="1"/>
  <c r="V50" i="68" a="1"/>
  <c r="V50" i="68" s="1"/>
  <c r="S50" i="68" a="1"/>
  <c r="S50" i="68" s="1"/>
  <c r="C51" i="68" a="1"/>
  <c r="C51" i="68" s="1"/>
  <c r="V49" i="68" a="1"/>
  <c r="V49" i="68" s="1"/>
  <c r="V45" i="68" a="1"/>
  <c r="V45" i="68" s="1"/>
  <c r="S45" i="68" a="1"/>
  <c r="S45" i="68" s="1"/>
  <c r="V44" i="68" a="1"/>
  <c r="V44" i="68" s="1"/>
  <c r="S44" i="68" a="1"/>
  <c r="S44" i="68" s="1"/>
  <c r="V43" i="68" a="1"/>
  <c r="V43" i="68" s="1"/>
  <c r="S43" i="68" a="1"/>
  <c r="S43" i="68" s="1"/>
  <c r="V41" i="68" a="1"/>
  <c r="V41" i="68" s="1"/>
  <c r="S41" i="68" a="1"/>
  <c r="S41" i="68" s="1"/>
  <c r="V39" i="68" a="1"/>
  <c r="V39" i="68" s="1"/>
  <c r="S39" i="68" a="1"/>
  <c r="S39" i="68" s="1"/>
  <c r="V38" i="68" a="1"/>
  <c r="V38" i="68" s="1"/>
  <c r="S38" i="68" a="1"/>
  <c r="S38" i="68" s="1"/>
  <c r="S37" i="68" a="1"/>
  <c r="S37" i="68" s="1"/>
  <c r="V37" i="68" a="1"/>
  <c r="V37" i="68" s="1"/>
  <c r="V34" i="68" a="1"/>
  <c r="V34" i="68" s="1"/>
  <c r="S34" i="68" a="1"/>
  <c r="S34" i="68" s="1"/>
  <c r="C34" i="68" a="1"/>
  <c r="C34" i="68" s="1"/>
  <c r="S33" i="68" a="1"/>
  <c r="S33" i="68" s="1"/>
  <c r="C33" i="68" a="1"/>
  <c r="C33" i="68" s="1"/>
  <c r="S29" i="68" a="1"/>
  <c r="S29" i="68" s="1"/>
  <c r="C29" i="68" a="1"/>
  <c r="C29" i="68" s="1"/>
  <c r="S28" i="68" a="1"/>
  <c r="S28" i="68" s="1"/>
  <c r="C28" i="68" a="1"/>
  <c r="C28" i="68" s="1"/>
  <c r="C25" i="68" a="1"/>
  <c r="C25" i="68" s="1"/>
  <c r="S25" i="68" a="1"/>
  <c r="S25" i="68" s="1"/>
  <c r="S24" i="68" a="1"/>
  <c r="S24" i="68" s="1"/>
  <c r="C24" i="68" a="1"/>
  <c r="C24" i="68" s="1"/>
  <c r="S23" i="68" a="1"/>
  <c r="S23" i="68" s="1"/>
  <c r="C23" i="68" a="1"/>
  <c r="C23" i="68" s="1"/>
  <c r="V17" i="68" a="1"/>
  <c r="V17" i="68" s="1"/>
  <c r="S17" i="68" a="1"/>
  <c r="S17" i="68" s="1"/>
  <c r="S16" i="68" a="1"/>
  <c r="S16" i="68" s="1"/>
  <c r="AQ81" i="29"/>
  <c r="AT81" i="29"/>
  <c r="AS81" i="29"/>
  <c r="AE81" i="29"/>
  <c r="AE3" i="29"/>
  <c r="AP81" i="29" l="1"/>
  <c r="V36" i="68"/>
  <c r="S36" i="68"/>
  <c r="O108" i="32"/>
  <c r="O102" i="32" s="1"/>
  <c r="O107" i="32"/>
  <c r="O100" i="32" s="1"/>
  <c r="O106" i="32"/>
  <c r="O99" i="32" s="1"/>
  <c r="O92" i="32" a="1"/>
  <c r="O92" i="32" s="1"/>
  <c r="O90" i="32"/>
  <c r="O79" i="32" s="1"/>
  <c r="O89" i="32"/>
  <c r="O78" i="32" s="1"/>
  <c r="O88" i="32"/>
  <c r="O77" i="32" s="1"/>
  <c r="O69" i="32" a="1"/>
  <c r="O69" i="32" s="1"/>
  <c r="O68" i="32" a="1"/>
  <c r="O68" i="32" s="1"/>
  <c r="O67" i="32" a="1"/>
  <c r="O67" i="32" s="1"/>
  <c r="O66" i="32" a="1"/>
  <c r="O66" i="32" s="1"/>
  <c r="O64" i="32" a="1"/>
  <c r="O64" i="32" s="1"/>
  <c r="O63" i="32" a="1"/>
  <c r="O63" i="32" s="1"/>
  <c r="O62" i="32" a="1"/>
  <c r="O62" i="32" s="1"/>
  <c r="O61" i="32" a="1"/>
  <c r="O61" i="32" s="1"/>
  <c r="O59" i="32" a="1"/>
  <c r="O59" i="32" s="1"/>
  <c r="O58" i="32" a="1"/>
  <c r="O58" i="32" s="1"/>
  <c r="O57" i="32" a="1"/>
  <c r="O57" i="32" s="1"/>
  <c r="O56" i="32" a="1"/>
  <c r="O56" i="32" s="1"/>
  <c r="O55" i="32" a="1"/>
  <c r="O55" i="32" s="1"/>
  <c r="O54" i="32" a="1"/>
  <c r="O54" i="32" s="1"/>
  <c r="O53" i="32" a="1"/>
  <c r="O53" i="32" s="1"/>
  <c r="O52" i="32" a="1"/>
  <c r="O52" i="32" s="1"/>
  <c r="O21" i="32" a="1"/>
  <c r="O21" i="32" s="1"/>
  <c r="J108" i="32"/>
  <c r="J107" i="32"/>
  <c r="J106" i="32"/>
  <c r="J92" i="32" a="1"/>
  <c r="J92" i="32" s="1"/>
  <c r="J90" i="32"/>
  <c r="J89" i="32"/>
  <c r="J88" i="32"/>
  <c r="J69" i="32" a="1"/>
  <c r="J69" i="32" s="1"/>
  <c r="J68" i="32" a="1"/>
  <c r="J68" i="32" s="1"/>
  <c r="J67" i="32" a="1"/>
  <c r="J67" i="32" s="1"/>
  <c r="J66" i="32" a="1"/>
  <c r="J66" i="32" s="1"/>
  <c r="J64" i="32" a="1"/>
  <c r="J64" i="32" s="1"/>
  <c r="J63" i="32" a="1"/>
  <c r="J63" i="32" s="1"/>
  <c r="J62" i="32" a="1"/>
  <c r="J62" i="32" s="1"/>
  <c r="J61" i="32" a="1"/>
  <c r="J61" i="32" s="1"/>
  <c r="J59" i="32" a="1"/>
  <c r="J59" i="32" s="1"/>
  <c r="J58" i="32" a="1"/>
  <c r="J58" i="32" s="1"/>
  <c r="J57" i="32" a="1"/>
  <c r="J57" i="32" s="1"/>
  <c r="J56" i="32" a="1"/>
  <c r="J56" i="32" s="1"/>
  <c r="J55" i="32" a="1"/>
  <c r="J55" i="32" s="1"/>
  <c r="J54" i="32" a="1"/>
  <c r="J54" i="32" s="1"/>
  <c r="J53" i="32" a="1"/>
  <c r="J53" i="32" s="1"/>
  <c r="J52" i="32" a="1"/>
  <c r="J52" i="32" s="1"/>
  <c r="J50" i="32" a="1"/>
  <c r="J50" i="32" s="1"/>
  <c r="J35" i="32" a="1"/>
  <c r="J35" i="32" s="1"/>
  <c r="J34" i="32" a="1"/>
  <c r="J34" i="32" s="1"/>
  <c r="J32" i="32" a="1"/>
  <c r="J32" i="32" s="1"/>
  <c r="J27" i="32" a="1"/>
  <c r="J27" i="32" s="1"/>
  <c r="J25" i="32" a="1"/>
  <c r="J25" i="32" s="1"/>
  <c r="J24" i="32" a="1"/>
  <c r="J24" i="32" s="1"/>
  <c r="J23" i="32" a="1"/>
  <c r="J23" i="32" s="1"/>
  <c r="J21" i="32" a="1"/>
  <c r="J21" i="32" s="1"/>
  <c r="J15" i="32" a="1"/>
  <c r="J15" i="32" s="1"/>
  <c r="J13" i="32" a="1"/>
  <c r="J13" i="32" s="1"/>
  <c r="O51" i="32" l="1"/>
  <c r="O65" i="32"/>
  <c r="O87" i="32"/>
  <c r="J87" i="32"/>
  <c r="J65" i="32"/>
  <c r="O60" i="32"/>
  <c r="J60" i="32"/>
  <c r="J51" i="32"/>
  <c r="J49" i="32" s="1"/>
  <c r="K4" i="32"/>
  <c r="P4" i="32"/>
  <c r="P108" i="32"/>
  <c r="K108" i="32"/>
  <c r="P106" i="32"/>
  <c r="K106" i="32"/>
  <c r="P107" i="32"/>
  <c r="K107" i="32"/>
  <c r="K92" i="32" a="1"/>
  <c r="K92" i="32" s="1"/>
  <c r="P92" i="32" a="1"/>
  <c r="P92" i="32" s="1"/>
  <c r="P90" i="32"/>
  <c r="P79" i="32" s="1"/>
  <c r="P89" i="32"/>
  <c r="P78" i="32" s="1"/>
  <c r="K90" i="32"/>
  <c r="K89" i="32"/>
  <c r="K88" i="32"/>
  <c r="P88" i="32"/>
  <c r="P77" i="32" s="1"/>
  <c r="P69" i="32" a="1"/>
  <c r="P69" i="32" s="1"/>
  <c r="P68" i="32" a="1"/>
  <c r="P68" i="32" s="1"/>
  <c r="P67" i="32" a="1"/>
  <c r="P67" i="32" s="1"/>
  <c r="P66" i="32" a="1"/>
  <c r="P66" i="32" s="1"/>
  <c r="P64" i="32" a="1"/>
  <c r="P64" i="32" s="1"/>
  <c r="P63" i="32" a="1"/>
  <c r="P63" i="32" s="1"/>
  <c r="P62" i="32" a="1"/>
  <c r="P62" i="32" s="1"/>
  <c r="P61" i="32" a="1"/>
  <c r="P61" i="32" s="1"/>
  <c r="P59" i="32" a="1"/>
  <c r="P59" i="32" s="1"/>
  <c r="K69" i="32" a="1"/>
  <c r="K69" i="32" s="1"/>
  <c r="K68" i="32" a="1"/>
  <c r="K68" i="32" s="1"/>
  <c r="K67" i="32" a="1"/>
  <c r="K67" i="32" s="1"/>
  <c r="K66" i="32" a="1"/>
  <c r="K66" i="32" s="1"/>
  <c r="K64" i="32" a="1"/>
  <c r="K64" i="32" s="1"/>
  <c r="K63" i="32" a="1"/>
  <c r="K63" i="32" s="1"/>
  <c r="K62" i="32" a="1"/>
  <c r="K62" i="32" s="1"/>
  <c r="K61" i="32" a="1"/>
  <c r="K61" i="32" s="1"/>
  <c r="K59" i="32" a="1"/>
  <c r="K59" i="32" s="1"/>
  <c r="P58" i="32" a="1"/>
  <c r="P58" i="32" s="1"/>
  <c r="P57" i="32" a="1"/>
  <c r="P57" i="32" s="1"/>
  <c r="P56" i="32" a="1"/>
  <c r="P56" i="32" s="1"/>
  <c r="P55" i="32" a="1"/>
  <c r="P55" i="32" s="1"/>
  <c r="P54" i="32" a="1"/>
  <c r="P54" i="32" s="1"/>
  <c r="P53" i="32" a="1"/>
  <c r="P53" i="32" s="1"/>
  <c r="P52" i="32" a="1"/>
  <c r="P52" i="32" s="1"/>
  <c r="K58" i="32" a="1"/>
  <c r="K58" i="32" s="1"/>
  <c r="K57" i="32" a="1"/>
  <c r="K57" i="32" s="1"/>
  <c r="K56" i="32" a="1"/>
  <c r="K56" i="32" s="1"/>
  <c r="K55" i="32" a="1"/>
  <c r="K55" i="32" s="1"/>
  <c r="K54" i="32" a="1"/>
  <c r="K54" i="32" s="1"/>
  <c r="K53" i="32" a="1"/>
  <c r="K53" i="32" s="1"/>
  <c r="K52" i="32" a="1"/>
  <c r="K52" i="32" s="1"/>
  <c r="K50" i="32" a="1"/>
  <c r="K50" i="32" s="1"/>
  <c r="K35" i="32" a="1"/>
  <c r="K35" i="32" s="1"/>
  <c r="K34" i="32" a="1"/>
  <c r="K34" i="32" s="1"/>
  <c r="K32" i="32" a="1"/>
  <c r="K32" i="32" s="1"/>
  <c r="K27" i="32" a="1"/>
  <c r="K27" i="32" s="1"/>
  <c r="K25" i="32" a="1"/>
  <c r="K25" i="32" s="1"/>
  <c r="K24" i="32" a="1"/>
  <c r="K24" i="32" s="1"/>
  <c r="K23" i="32" a="1"/>
  <c r="K23" i="32" s="1"/>
  <c r="P21" i="32" a="1"/>
  <c r="P21" i="32" s="1"/>
  <c r="K21" i="32" a="1"/>
  <c r="K21" i="32" s="1"/>
  <c r="K15" i="32" a="1"/>
  <c r="K15" i="32" s="1"/>
  <c r="K13" i="32" a="1"/>
  <c r="K13" i="32" s="1"/>
  <c r="B5" i="39"/>
  <c r="M5" i="39"/>
  <c r="N5" i="39"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0" i="32" l="1" a="1"/>
  <c r="F40" i="32" s="1"/>
  <c r="E40" i="32" a="1"/>
  <c r="E40" i="32" s="1"/>
  <c r="J163" i="32"/>
  <c r="J136" i="32"/>
  <c r="J43" i="32" a="1"/>
  <c r="J43" i="32" s="1"/>
  <c r="J42" i="32" a="1"/>
  <c r="J42" i="32" s="1"/>
  <c r="J40" i="32" a="1"/>
  <c r="J40" i="32" s="1"/>
  <c r="J41" i="32" a="1"/>
  <c r="J41" i="32" s="1"/>
  <c r="J70" i="32"/>
  <c r="J164" i="32" s="1"/>
  <c r="P65" i="32"/>
  <c r="K40" i="32" a="1"/>
  <c r="K40" i="32" s="1"/>
  <c r="K41" i="32" a="1"/>
  <c r="K41" i="32" s="1"/>
  <c r="K42" i="32" a="1"/>
  <c r="K42" i="32" s="1"/>
  <c r="K65" i="32"/>
  <c r="P87" i="32"/>
  <c r="K87" i="32"/>
  <c r="P60" i="32"/>
  <c r="K60" i="32"/>
  <c r="P51" i="32"/>
  <c r="K51" i="32"/>
  <c r="K49" i="32" s="1"/>
  <c r="K136" i="32" l="1"/>
  <c r="K163" i="32"/>
  <c r="K70" i="32"/>
  <c r="K164" i="32" s="1"/>
  <c r="Q24" i="37"/>
  <c r="Z24" i="37" s="1"/>
  <c r="X24" i="37"/>
  <c r="T24" i="37" l="1"/>
  <c r="F93" i="32" s="1" a="1"/>
  <c r="F93" i="32" s="1"/>
  <c r="O93" i="32" a="1"/>
  <c r="O93" i="32" s="1"/>
  <c r="O91" i="32" s="1"/>
  <c r="J93" i="32" a="1"/>
  <c r="J93" i="32" s="1"/>
  <c r="J91"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N30" i="63"/>
  <c r="N48" i="63"/>
  <c r="N26" i="63"/>
  <c r="N37" i="63"/>
  <c r="N44" i="63"/>
  <c r="M43" i="63"/>
  <c r="M53" i="63"/>
  <c r="M33" i="63"/>
  <c r="K93" i="32" a="1"/>
  <c r="K93" i="32" s="1"/>
  <c r="K91" i="32" s="1"/>
  <c r="P93" i="32" a="1"/>
  <c r="P93" i="32" s="1"/>
  <c r="AA24" i="37"/>
  <c r="AB24" i="37"/>
  <c r="E5" i="62"/>
  <c r="AI81" i="29"/>
  <c r="AL81" i="29"/>
  <c r="AG46" i="6"/>
  <c r="K17" i="45"/>
  <c r="K46" i="7"/>
  <c r="L50" i="63" l="1"/>
  <c r="P50" i="63" s="1"/>
  <c r="L23" i="63"/>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0" i="32" a="1"/>
  <c r="O110" i="32" s="1"/>
  <c r="J110" i="32" a="1"/>
  <c r="J110" i="32" s="1"/>
  <c r="E110" i="32" a="1"/>
  <c r="E110" i="32" s="1"/>
  <c r="K110" i="32" a="1"/>
  <c r="K110" i="32" s="1"/>
  <c r="P110" i="32" a="1"/>
  <c r="P110" i="32" s="1"/>
  <c r="F110" i="32" a="1"/>
  <c r="F110" i="32" s="1"/>
  <c r="H5" i="48"/>
  <c r="D75" i="32" l="1" a="1"/>
  <c r="D75" i="32" s="1"/>
  <c r="D95" i="32" a="1"/>
  <c r="D95" i="32" s="1"/>
  <c r="O75" i="32" a="1"/>
  <c r="O75" i="32" s="1"/>
  <c r="O95" i="32" a="1"/>
  <c r="O95" i="32" s="1"/>
  <c r="O86" i="32" s="1"/>
  <c r="J95" i="32" a="1"/>
  <c r="J95" i="32" s="1"/>
  <c r="J86" i="32" s="1"/>
  <c r="J75" i="32" a="1"/>
  <c r="J75" i="32" s="1"/>
  <c r="J105" i="32"/>
  <c r="O105" i="32"/>
  <c r="K95" i="32" a="1"/>
  <c r="K95" i="32" s="1"/>
  <c r="K86" i="32" s="1"/>
  <c r="P95" i="32" a="1"/>
  <c r="P95" i="32" s="1"/>
  <c r="K75" i="32" a="1"/>
  <c r="K75" i="32" s="1"/>
  <c r="P75" i="32" a="1"/>
  <c r="P75" i="32" s="1"/>
  <c r="I5" i="48"/>
  <c r="D74" i="32" l="1"/>
  <c r="F88" i="32"/>
  <c r="F77" i="32" s="1"/>
  <c r="E88" i="32"/>
  <c r="E77" i="32" s="1"/>
  <c r="D88" i="32"/>
  <c r="F89" i="32"/>
  <c r="F78" i="32" s="1"/>
  <c r="E89" i="32"/>
  <c r="E78" i="32" s="1"/>
  <c r="D89" i="32"/>
  <c r="F90" i="32"/>
  <c r="F79" i="32" s="1"/>
  <c r="E90" i="32"/>
  <c r="E79" i="32" s="1"/>
  <c r="D90" i="32"/>
  <c r="D94" i="32" a="1"/>
  <c r="D94" i="32" s="1"/>
  <c r="F96" i="32"/>
  <c r="E96" i="32"/>
  <c r="D106" i="32"/>
  <c r="F106" i="32"/>
  <c r="E106" i="32"/>
  <c r="D107" i="32"/>
  <c r="F107" i="32"/>
  <c r="E107" i="32"/>
  <c r="D108" i="32"/>
  <c r="F108" i="32"/>
  <c r="F102" i="32" s="1"/>
  <c r="E108" i="32"/>
  <c r="E102" i="32" s="1"/>
  <c r="F109" i="32"/>
  <c r="E109" i="32"/>
  <c r="F103" i="32"/>
  <c r="E103" i="32"/>
  <c r="D113" i="32"/>
  <c r="D77" i="32" l="1"/>
  <c r="D99" i="32"/>
  <c r="J113" i="32" a="1"/>
  <c r="J113" i="32" s="1"/>
  <c r="O113" i="32" a="1"/>
  <c r="O113" i="32" s="1"/>
  <c r="D79" i="32"/>
  <c r="P113" i="32" a="1"/>
  <c r="P113" i="32" s="1"/>
  <c r="K113" i="32" a="1"/>
  <c r="K113" i="32" s="1"/>
  <c r="D102" i="32"/>
  <c r="D100" i="32"/>
  <c r="D78" i="32"/>
  <c r="F5" i="62"/>
  <c r="G5" i="62" s="1"/>
  <c r="M15" i="45" a="1"/>
  <c r="R3" i="39" a="1"/>
  <c r="F75" i="32" l="1" a="1"/>
  <c r="F75" i="32" s="1"/>
  <c r="E75" i="32" a="1"/>
  <c r="E75" i="32" s="1"/>
  <c r="F95" i="32" a="1"/>
  <c r="F95" i="32" s="1"/>
  <c r="E95" i="32" a="1"/>
  <c r="E95" i="32" s="1"/>
  <c r="M15" i="45"/>
  <c r="R3" i="39"/>
  <c r="D92" i="32" l="1" a="1"/>
  <c r="D92" i="32" s="1"/>
  <c r="F92" i="32" a="1"/>
  <c r="F92" i="32" s="1"/>
  <c r="E92" i="32" a="1"/>
  <c r="E92" i="32" s="1"/>
  <c r="O3" i="60" l="1" a="1"/>
  <c r="O3" i="60" s="1"/>
  <c r="Y3" i="53"/>
  <c r="Y5" i="53"/>
  <c r="X3" i="53"/>
  <c r="AL3" i="29" l="1" a="1"/>
  <c r="AL3" i="29" s="1"/>
  <c r="AI3" i="29" a="1"/>
  <c r="AI3" i="29" s="1"/>
  <c r="AF22" i="59" l="1" a="1"/>
  <c r="AF22" i="59" s="1"/>
  <c r="E24" i="58" a="1"/>
  <c r="E24" i="58" s="1"/>
  <c r="A28" i="47" a="1"/>
  <c r="A28" i="47" s="1"/>
  <c r="B24" i="46" a="1"/>
  <c r="B24" i="46" s="1"/>
  <c r="T22" i="60" l="1" a="1"/>
  <c r="T22" i="60" s="1"/>
  <c r="AJ21" i="49"/>
  <c r="AI21" i="49"/>
  <c r="AH21" i="49"/>
  <c r="AA23" i="49" a="1"/>
  <c r="AA23" i="49" s="1"/>
  <c r="T23" i="49" a="1"/>
  <c r="T23" i="49" s="1"/>
  <c r="AG21" i="49" l="1"/>
  <c r="C111" i="40" a="1"/>
  <c r="C111"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1" i="9" a="1"/>
  <c r="E11" i="9" s="1"/>
  <c r="E10" i="9" a="1"/>
  <c r="E10" i="9" s="1"/>
  <c r="E9" i="9" a="1"/>
  <c r="E9" i="9" s="1"/>
  <c r="E8" i="9" a="1"/>
  <c r="E8" i="9" s="1"/>
  <c r="E7" i="9" a="1"/>
  <c r="E7" i="9" s="1"/>
  <c r="E12" i="9" a="1"/>
  <c r="E12"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2" i="32" a="1"/>
  <c r="F52" i="32" s="1"/>
  <c r="L46" i="7"/>
  <c r="P23" i="32" s="1" a="1"/>
  <c r="P23"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V18" i="35" a="1"/>
  <c r="V18" i="35" s="1"/>
  <c r="Q18" i="35"/>
  <c r="R18" i="35" s="1"/>
  <c r="D18" i="35"/>
  <c r="C18" i="35"/>
  <c r="D1" i="35"/>
  <c r="E1" i="35" s="1"/>
  <c r="F1" i="35" s="1"/>
  <c r="G1" i="35" s="1"/>
  <c r="H1" i="35" s="1"/>
  <c r="I1" i="35" s="1"/>
  <c r="J1" i="35" s="1"/>
  <c r="K1" i="35" s="1"/>
  <c r="L1" i="35" s="1"/>
  <c r="M1" i="35" s="1"/>
  <c r="P1" i="35" s="1"/>
  <c r="Q1" i="35" s="1"/>
  <c r="T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P46" i="6" a="1"/>
  <c r="AP46" i="6" s="1"/>
  <c r="U46" i="6"/>
  <c r="AF45" i="6"/>
  <c r="AC45" i="6" a="1"/>
  <c r="AC45" i="6" s="1"/>
  <c r="AA45" i="6"/>
  <c r="Z45" i="6"/>
  <c r="Y45" i="6"/>
  <c r="V45" i="6"/>
  <c r="U44" i="6"/>
  <c r="V44" i="6" s="1"/>
  <c r="Y44" i="6" s="1"/>
  <c r="Z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M81" i="29"/>
  <c r="AA81" i="29"/>
  <c r="AD81" i="29" s="1"/>
  <c r="AM3" i="29"/>
  <c r="AA3" i="29"/>
  <c r="AD3" i="29" s="1"/>
  <c r="W3" i="29"/>
  <c r="B13" i="54"/>
  <c r="B4" i="65"/>
  <c r="D5" i="53"/>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3" i="32" a="1"/>
  <c r="F113" i="32" s="1"/>
  <c r="E113" i="32" a="1"/>
  <c r="E113" i="32" s="1"/>
  <c r="D112" i="32"/>
  <c r="D111" i="32" s="1"/>
  <c r="P100" i="32"/>
  <c r="E100" i="32"/>
  <c r="P99" i="32"/>
  <c r="E99" i="32"/>
  <c r="D87" i="32"/>
  <c r="D82" i="32"/>
  <c r="D76" i="32"/>
  <c r="F69" i="32" a="1"/>
  <c r="F69" i="32" s="1"/>
  <c r="E69" i="32" a="1"/>
  <c r="E69" i="32" s="1"/>
  <c r="F68" i="32" a="1"/>
  <c r="F68" i="32" s="1"/>
  <c r="E68" i="32" a="1"/>
  <c r="E68" i="32" s="1"/>
  <c r="F67" i="32" a="1"/>
  <c r="F67" i="32" s="1"/>
  <c r="E67" i="32" a="1"/>
  <c r="E67" i="32" s="1"/>
  <c r="F66" i="32" a="1"/>
  <c r="F66" i="32" s="1"/>
  <c r="E66" i="32" a="1"/>
  <c r="E66" i="32" s="1"/>
  <c r="F64" i="32" a="1"/>
  <c r="F64" i="32" s="1"/>
  <c r="E64" i="32" a="1"/>
  <c r="E64" i="32" s="1"/>
  <c r="F63" i="32" a="1"/>
  <c r="F63" i="32" s="1"/>
  <c r="E63" i="32" a="1"/>
  <c r="E63" i="32" s="1"/>
  <c r="F62" i="32" a="1"/>
  <c r="F62" i="32" s="1"/>
  <c r="E62" i="32" a="1"/>
  <c r="E62" i="32" s="1"/>
  <c r="F61" i="32" a="1"/>
  <c r="F61" i="32" s="1"/>
  <c r="E61" i="32" a="1"/>
  <c r="E61" i="32" s="1"/>
  <c r="F59" i="32" a="1"/>
  <c r="F59" i="32" s="1"/>
  <c r="E59" i="32" a="1"/>
  <c r="E59" i="32" s="1"/>
  <c r="F58" i="32" a="1"/>
  <c r="F58" i="32" s="1"/>
  <c r="E58" i="32" a="1"/>
  <c r="E58" i="32" s="1"/>
  <c r="E35" i="32" a="1"/>
  <c r="E35" i="32" s="1"/>
  <c r="E34" i="32" a="1"/>
  <c r="E34" i="32" s="1"/>
  <c r="E32" i="32" a="1"/>
  <c r="E32" i="32" s="1"/>
  <c r="E27" i="32" a="1"/>
  <c r="E27" i="32" s="1"/>
  <c r="E25" i="32" a="1"/>
  <c r="E25" i="32" s="1"/>
  <c r="E24" i="32" a="1"/>
  <c r="E24" i="32" s="1"/>
  <c r="F21" i="32" a="1"/>
  <c r="F21" i="32" s="1"/>
  <c r="E21" i="32" a="1"/>
  <c r="E21" i="32" s="1"/>
  <c r="E15" i="32" a="1"/>
  <c r="E15" i="32" s="1"/>
  <c r="E13" i="32" a="1"/>
  <c r="E13"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C49" i="68" a="1"/>
  <c r="C49" i="68" s="1"/>
  <c r="C45" i="68" a="1"/>
  <c r="C45" i="68" s="1"/>
  <c r="C44" i="68" a="1"/>
  <c r="C44" i="68" s="1"/>
  <c r="P2" i="68"/>
  <c r="O2" i="68"/>
  <c r="N2" i="68"/>
  <c r="M2" i="68"/>
  <c r="L2" i="68"/>
  <c r="K2" i="68"/>
  <c r="J2" i="68"/>
  <c r="I2" i="68"/>
  <c r="H2" i="68"/>
  <c r="G2" i="68"/>
  <c r="F2" i="68"/>
  <c r="E2" i="68"/>
  <c r="D2" i="68"/>
  <c r="C121" i="40" a="1"/>
  <c r="C121" i="40" s="1"/>
  <c r="C115" i="40" a="1"/>
  <c r="C115" i="40" s="1"/>
  <c r="C116" i="40" s="1"/>
  <c r="O77" i="40"/>
  <c r="O78" i="40" s="1"/>
  <c r="O14" i="40" s="1"/>
  <c r="N77" i="40"/>
  <c r="N78" i="40" s="1"/>
  <c r="N14" i="40" s="1"/>
  <c r="M77" i="40"/>
  <c r="M78" i="40" s="1"/>
  <c r="M14" i="40" s="1"/>
  <c r="L77" i="40"/>
  <c r="L78" i="40" s="1"/>
  <c r="L14" i="40" s="1"/>
  <c r="K77" i="40"/>
  <c r="K78" i="40" s="1"/>
  <c r="K14" i="40" s="1"/>
  <c r="J77" i="40"/>
  <c r="J78" i="40" s="1"/>
  <c r="J14" i="40" s="1"/>
  <c r="I77" i="40"/>
  <c r="I78" i="40" s="1"/>
  <c r="I14" i="40" s="1"/>
  <c r="H77" i="40"/>
  <c r="H78" i="40" s="1"/>
  <c r="H14" i="40" s="1"/>
  <c r="G77" i="40"/>
  <c r="G78" i="40" s="1"/>
  <c r="G14" i="40" s="1"/>
  <c r="F77" i="40"/>
  <c r="F78" i="40" s="1"/>
  <c r="F14" i="40" s="1"/>
  <c r="E77" i="40"/>
  <c r="E78" i="40" s="1"/>
  <c r="E14" i="40" s="1"/>
  <c r="O63" i="40"/>
  <c r="N63" i="40"/>
  <c r="M63" i="40"/>
  <c r="L63" i="40"/>
  <c r="K63" i="40"/>
  <c r="J63" i="40"/>
  <c r="I63" i="40"/>
  <c r="H63" i="40"/>
  <c r="G63" i="40"/>
  <c r="F63" i="40"/>
  <c r="E63" i="40"/>
  <c r="O55" i="40"/>
  <c r="O7" i="40" s="1"/>
  <c r="N55" i="40"/>
  <c r="N7" i="40" s="1"/>
  <c r="M55" i="40"/>
  <c r="M7" i="40" s="1"/>
  <c r="L55" i="40"/>
  <c r="L7" i="40" s="1"/>
  <c r="K55" i="40"/>
  <c r="K7" i="40" s="1"/>
  <c r="J55" i="40"/>
  <c r="J7" i="40" s="1"/>
  <c r="I55" i="40"/>
  <c r="I7" i="40" s="1"/>
  <c r="H55" i="40"/>
  <c r="H7" i="40" s="1"/>
  <c r="G55" i="40"/>
  <c r="G7" i="40" s="1"/>
  <c r="F55" i="40"/>
  <c r="F7" i="40" s="1"/>
  <c r="E55" i="40"/>
  <c r="E7" i="40" s="1"/>
  <c r="C45" i="40"/>
  <c r="C44" i="40"/>
  <c r="C43" i="40"/>
  <c r="C40" i="40"/>
  <c r="C39" i="40"/>
  <c r="C31" i="40"/>
  <c r="O2" i="40"/>
  <c r="N2" i="40"/>
  <c r="M2" i="40"/>
  <c r="L2" i="40"/>
  <c r="K2" i="40"/>
  <c r="J2" i="40"/>
  <c r="I2" i="40"/>
  <c r="H2" i="40"/>
  <c r="G2" i="40"/>
  <c r="F2" i="40"/>
  <c r="E2" i="40"/>
  <c r="D2" i="40"/>
  <c r="E1" i="40"/>
  <c r="CX33" i="71"/>
  <c r="CU11" i="71" a="1"/>
  <c r="CU11" i="71" s="1"/>
  <c r="B6" i="71"/>
  <c r="Q9" i="6" a="1"/>
  <c r="I9" i="13" a="1"/>
  <c r="L6" i="71" l="1" a="1"/>
  <c r="L6" i="71" s="1"/>
  <c r="H6" i="71" a="1"/>
  <c r="H6" i="71" s="1"/>
  <c r="C129" i="40" a="1"/>
  <c r="C129" i="40" s="1"/>
  <c r="H29" i="47" a="1"/>
  <c r="H29" i="47" s="1"/>
  <c r="H28" i="47" a="1"/>
  <c r="H28" i="47" s="1"/>
  <c r="H30" i="47" a="1"/>
  <c r="H30" i="47" s="1"/>
  <c r="E30" i="47" a="1"/>
  <c r="E30" i="47" s="1"/>
  <c r="E28" i="47" a="1"/>
  <c r="E28" i="47" s="1"/>
  <c r="E29" i="47" a="1"/>
  <c r="E29" i="47" s="1"/>
  <c r="F30" i="47" a="1"/>
  <c r="F30" i="47" s="1"/>
  <c r="F28" i="47" a="1"/>
  <c r="F28" i="47" s="1"/>
  <c r="F29" i="47" a="1"/>
  <c r="F29" i="47" s="1"/>
  <c r="G30" i="47" a="1"/>
  <c r="G30" i="47" s="1"/>
  <c r="G29" i="47" a="1"/>
  <c r="G29" i="47" s="1"/>
  <c r="G28" i="47" a="1"/>
  <c r="G28" i="47" s="1"/>
  <c r="AC21" i="49" a="1"/>
  <c r="AC21" i="49" s="1"/>
  <c r="F4" i="65" a="1"/>
  <c r="F4" i="65" s="1"/>
  <c r="H24" i="46" a="1"/>
  <c r="H24" i="46" s="1"/>
  <c r="H26" i="46" a="1"/>
  <c r="H26" i="46" s="1"/>
  <c r="H25" i="46" a="1"/>
  <c r="H25" i="46" s="1"/>
  <c r="H52" i="68"/>
  <c r="H9" i="68" a="1"/>
  <c r="H9" i="68" s="1"/>
  <c r="I52" i="68"/>
  <c r="I9" i="68" a="1"/>
  <c r="I9" i="68" s="1"/>
  <c r="E115" i="32" a="1"/>
  <c r="E115" i="32" s="1"/>
  <c r="G52" i="68"/>
  <c r="G9" i="68" a="1"/>
  <c r="G9" i="68" s="1"/>
  <c r="J52" i="68"/>
  <c r="J9" i="68" a="1"/>
  <c r="J9" i="68" s="1"/>
  <c r="N52" i="68"/>
  <c r="N9" i="68" a="1"/>
  <c r="N9" i="68" s="1"/>
  <c r="K52" i="68"/>
  <c r="K9" i="68" a="1"/>
  <c r="K9" i="68" s="1"/>
  <c r="O52" i="68"/>
  <c r="O9" i="68" a="1"/>
  <c r="O9" i="68" s="1"/>
  <c r="L52" i="68"/>
  <c r="L9" i="68" a="1"/>
  <c r="L9" i="68" s="1"/>
  <c r="M52" i="68"/>
  <c r="M9" i="68" a="1"/>
  <c r="M9" i="68" s="1"/>
  <c r="D52" i="68"/>
  <c r="D9" i="68" a="1"/>
  <c r="D9" i="68" s="1"/>
  <c r="E52" i="68"/>
  <c r="E9" i="68" a="1"/>
  <c r="E9" i="68" s="1"/>
  <c r="F52" i="68"/>
  <c r="F9" i="68" a="1"/>
  <c r="F9" i="68" s="1"/>
  <c r="I13" i="68" a="1"/>
  <c r="I13" i="68" s="1"/>
  <c r="M13" i="68" a="1"/>
  <c r="M13" i="68" s="1"/>
  <c r="H13" i="68" a="1"/>
  <c r="H13" i="68" s="1"/>
  <c r="C87" i="40" a="1"/>
  <c r="C87" i="40" s="1"/>
  <c r="C88" i="40" s="1"/>
  <c r="G13" i="68" a="1"/>
  <c r="G13" i="68" s="1"/>
  <c r="F13" i="68" a="1"/>
  <c r="F13" i="68" s="1"/>
  <c r="F12" i="32" a="1"/>
  <c r="F12" i="32" s="1"/>
  <c r="E13" i="68" a="1"/>
  <c r="E13" i="68" s="1"/>
  <c r="P12" i="32" a="1"/>
  <c r="P12" i="32" s="1"/>
  <c r="N13" i="68" a="1"/>
  <c r="N13" i="68" s="1"/>
  <c r="O12" i="32" a="1"/>
  <c r="O12" i="32" s="1"/>
  <c r="D13" i="68" a="1"/>
  <c r="D13" i="68" s="1"/>
  <c r="O13" i="68" a="1"/>
  <c r="O13" i="68" s="1"/>
  <c r="V13" i="68" a="1"/>
  <c r="V13" i="68" s="1"/>
  <c r="K13" i="68" a="1"/>
  <c r="K13" i="68" s="1"/>
  <c r="P31" i="32" a="1"/>
  <c r="P31" i="32" s="1"/>
  <c r="L13" i="68" a="1"/>
  <c r="L13" i="68" s="1"/>
  <c r="J13" i="68" a="1"/>
  <c r="J13" i="68" s="1"/>
  <c r="C92" i="40" a="1"/>
  <c r="C92" i="40" s="1"/>
  <c r="C94" i="40" s="1"/>
  <c r="O31" i="32" a="1"/>
  <c r="O31" i="32" s="1"/>
  <c r="F31" i="32" a="1"/>
  <c r="F31" i="32" s="1"/>
  <c r="C93" i="40" a="1"/>
  <c r="C93" i="40" s="1"/>
  <c r="C146" i="40" a="1"/>
  <c r="C146" i="40" s="1"/>
  <c r="C148" i="40" s="1"/>
  <c r="C147" i="40" a="1"/>
  <c r="C147" i="40" s="1"/>
  <c r="C139" i="40" a="1"/>
  <c r="C139" i="40" s="1"/>
  <c r="C142" i="40" s="1"/>
  <c r="C140" i="40" a="1"/>
  <c r="C140" i="40" s="1"/>
  <c r="C141" i="40" a="1"/>
  <c r="C141" i="40" s="1"/>
  <c r="AD4" i="61"/>
  <c r="AD5" i="61"/>
  <c r="AI17" i="29"/>
  <c r="AI22" i="29"/>
  <c r="AI6" i="29"/>
  <c r="AI16" i="29"/>
  <c r="AI23" i="29"/>
  <c r="AI18" i="29"/>
  <c r="AA56" i="29"/>
  <c r="AA22" i="29"/>
  <c r="AA6" i="29"/>
  <c r="AA16" i="29"/>
  <c r="AA30" i="29"/>
  <c r="AA47" i="29"/>
  <c r="AA31" i="29"/>
  <c r="AA42" i="29"/>
  <c r="AA50" i="29"/>
  <c r="AA23" i="29"/>
  <c r="AA18" i="29"/>
  <c r="AA24" i="29"/>
  <c r="AA55" i="29"/>
  <c r="AA44" i="6"/>
  <c r="AI50" i="29"/>
  <c r="AI43" i="29"/>
  <c r="AI33" i="29"/>
  <c r="AI42" i="29"/>
  <c r="AI27" i="29"/>
  <c r="AI30" i="29"/>
  <c r="AI47" i="29"/>
  <c r="AI64" i="29"/>
  <c r="AI61" i="29"/>
  <c r="AI31" i="29"/>
  <c r="AI63" i="29"/>
  <c r="AI44" i="29"/>
  <c r="AI58" i="29"/>
  <c r="AI48" i="29"/>
  <c r="AI70" i="29"/>
  <c r="AI55" i="29"/>
  <c r="AI24" i="29"/>
  <c r="AI56" i="29"/>
  <c r="AI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29" i="40"/>
  <c r="D130" i="40" s="1"/>
  <c r="D23" i="40" s="1"/>
  <c r="O129" i="40"/>
  <c r="O130" i="40" s="1"/>
  <c r="O23" i="40" s="1"/>
  <c r="M129" i="40"/>
  <c r="M130" i="40" s="1"/>
  <c r="M23" i="40" s="1"/>
  <c r="L129" i="40"/>
  <c r="L130" i="40" s="1"/>
  <c r="L23" i="40" s="1"/>
  <c r="K129" i="40"/>
  <c r="K130" i="40" s="1"/>
  <c r="K23" i="40" s="1"/>
  <c r="J129" i="40"/>
  <c r="J130" i="40" s="1"/>
  <c r="J23" i="40" s="1"/>
  <c r="I129" i="40"/>
  <c r="I130" i="40" s="1"/>
  <c r="I23" i="40" s="1"/>
  <c r="H129" i="40"/>
  <c r="H130" i="40" s="1"/>
  <c r="H23" i="40" s="1"/>
  <c r="G129" i="40"/>
  <c r="G130" i="40" s="1"/>
  <c r="G23" i="40" s="1"/>
  <c r="F129" i="40"/>
  <c r="F130" i="40" s="1"/>
  <c r="F23" i="40" s="1"/>
  <c r="E129" i="40"/>
  <c r="E130" i="40" s="1"/>
  <c r="E23" i="40" s="1"/>
  <c r="N129" i="40"/>
  <c r="N130" i="40" s="1"/>
  <c r="N23" i="40" s="1"/>
  <c r="BI22" i="34" a="1"/>
  <c r="BI22" i="34" s="1"/>
  <c r="F1" i="40"/>
  <c r="E184" i="40" a="1"/>
  <c r="E184" i="40" s="1"/>
  <c r="E185" i="40" s="1"/>
  <c r="E42" i="40" s="1"/>
  <c r="P31" i="6" a="1"/>
  <c r="P31" i="6" s="1"/>
  <c r="P34" i="6" s="1"/>
  <c r="N35" i="81" s="1"/>
  <c r="AD45" i="6" a="1"/>
  <c r="AD45" i="6" s="1"/>
  <c r="Y6" i="71" a="1"/>
  <c r="Y6" i="71" s="1"/>
  <c r="X6" i="71" a="1"/>
  <c r="X6" i="71" s="1"/>
  <c r="Z6" i="71" a="1"/>
  <c r="Z6" i="71" s="1"/>
  <c r="V6" i="71" a="1"/>
  <c r="V6" i="71" s="1"/>
  <c r="AB6" i="71" a="1"/>
  <c r="AB6" i="71" s="1"/>
  <c r="AA6" i="71" a="1"/>
  <c r="AA6" i="71" s="1"/>
  <c r="V25" i="68" a="1"/>
  <c r="V25" i="68" s="1"/>
  <c r="W6" i="71" a="1"/>
  <c r="W6" i="71" s="1"/>
  <c r="I102" i="40"/>
  <c r="K102" i="40"/>
  <c r="O102" i="40"/>
  <c r="J102" i="40"/>
  <c r="L102" i="40"/>
  <c r="N102" i="40"/>
  <c r="E102"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W6" i="71" a="1"/>
  <c r="AW6" i="71" s="1"/>
  <c r="C3" i="74"/>
  <c r="C2" i="74"/>
  <c r="V26" i="68" a="1"/>
  <c r="V26" i="68" s="1"/>
  <c r="E26" i="68" a="1"/>
  <c r="E26" i="68" s="1"/>
  <c r="D26" i="68" a="1"/>
  <c r="D26" i="68" s="1"/>
  <c r="N26" i="68" a="1"/>
  <c r="N26" i="68" s="1"/>
  <c r="M26" i="68" a="1"/>
  <c r="M26" i="68" s="1"/>
  <c r="L26" i="68" a="1"/>
  <c r="L26" i="68" s="1"/>
  <c r="K26" i="68" a="1"/>
  <c r="K26" i="68" s="1"/>
  <c r="P33" i="32" a="1"/>
  <c r="P33" i="32" s="1"/>
  <c r="F33" i="32" a="1"/>
  <c r="F33" i="32" s="1"/>
  <c r="J26" i="68" a="1"/>
  <c r="J26" i="68" s="1"/>
  <c r="O33" i="32" a="1"/>
  <c r="O33" i="32" s="1"/>
  <c r="O14" i="32" a="1"/>
  <c r="O14" i="32" s="1"/>
  <c r="I26" i="68" a="1"/>
  <c r="I26" i="68" s="1"/>
  <c r="P26" i="32" a="1"/>
  <c r="P26" i="32" s="1"/>
  <c r="F26" i="32" a="1"/>
  <c r="F26" i="32" s="1"/>
  <c r="H26" i="68" a="1"/>
  <c r="H26" i="68" s="1"/>
  <c r="O26" i="32" a="1"/>
  <c r="O26" i="32" s="1"/>
  <c r="F26" i="68" a="1"/>
  <c r="F26" i="68" s="1"/>
  <c r="G26" i="68" a="1"/>
  <c r="G26" i="68" s="1"/>
  <c r="P14" i="32" a="1"/>
  <c r="P14" i="32" s="1"/>
  <c r="F14" i="32" a="1"/>
  <c r="F14" i="32" s="1"/>
  <c r="I9" i="13"/>
  <c r="Q9" i="6"/>
  <c r="H21" i="6"/>
  <c r="H25" i="6"/>
  <c r="H20" i="6"/>
  <c r="H24" i="6"/>
  <c r="H33" i="6"/>
  <c r="H23" i="6"/>
  <c r="H22" i="6"/>
  <c r="H19" i="6"/>
  <c r="H18" i="6"/>
  <c r="H17" i="6"/>
  <c r="H28" i="6"/>
  <c r="H27" i="6"/>
  <c r="H26" i="6"/>
  <c r="H37" i="13"/>
  <c r="S13" i="81"/>
  <c r="N43" i="13"/>
  <c r="V14" i="81"/>
  <c r="P14" i="81"/>
  <c r="O38" i="6"/>
  <c r="U45" i="6"/>
  <c r="J15" i="68" a="1"/>
  <c r="J15" i="68" s="1"/>
  <c r="I15" i="68" a="1"/>
  <c r="I15" i="68" s="1"/>
  <c r="V15" i="68" a="1"/>
  <c r="V15" i="68" s="1"/>
  <c r="G15" i="68" a="1"/>
  <c r="G15" i="68" s="1"/>
  <c r="F15" i="68" a="1"/>
  <c r="F15" i="68" s="1"/>
  <c r="O15" i="68" a="1"/>
  <c r="O15" i="68" s="1"/>
  <c r="N15" i="68" a="1"/>
  <c r="N15" i="68" s="1"/>
  <c r="E15" i="68" a="1"/>
  <c r="E15" i="68" s="1"/>
  <c r="M15" i="68" a="1"/>
  <c r="M15" i="68" s="1"/>
  <c r="D15" i="68" a="1"/>
  <c r="D15" i="68" s="1"/>
  <c r="L15" i="68" a="1"/>
  <c r="L15" i="68" s="1"/>
  <c r="H15" i="68" a="1"/>
  <c r="H15" i="68" s="1"/>
  <c r="K15" i="68" a="1"/>
  <c r="K15" i="68" s="1"/>
  <c r="I25" i="68" a="1"/>
  <c r="I25" i="68" s="1"/>
  <c r="I44" i="68" a="1"/>
  <c r="I44" i="68" s="1"/>
  <c r="H25" i="68" a="1"/>
  <c r="H25" i="68" s="1"/>
  <c r="H44" i="68" a="1"/>
  <c r="H44" i="68" s="1"/>
  <c r="L44" i="68" a="1"/>
  <c r="L44" i="68" s="1"/>
  <c r="L25" i="68" a="1"/>
  <c r="L25" i="68" s="1"/>
  <c r="M44" i="68" a="1"/>
  <c r="M44" i="68" s="1"/>
  <c r="M25" i="68" a="1"/>
  <c r="M25" i="68" s="1"/>
  <c r="F37" i="68" a="1"/>
  <c r="F37" i="68" s="1"/>
  <c r="F44" i="68" a="1"/>
  <c r="F44" i="68" s="1"/>
  <c r="F25" i="68" a="1"/>
  <c r="F25" i="68" s="1"/>
  <c r="J25" i="68" a="1"/>
  <c r="J25" i="68" s="1"/>
  <c r="J44" i="68" a="1"/>
  <c r="J44" i="68" s="1"/>
  <c r="K25" i="68" a="1"/>
  <c r="K25" i="68" s="1"/>
  <c r="K44" i="68" a="1"/>
  <c r="K44" i="68" s="1"/>
  <c r="O19" i="32" a="1"/>
  <c r="O19" i="32" s="1"/>
  <c r="N44" i="68" a="1"/>
  <c r="N44" i="68" s="1"/>
  <c r="N25" i="68" a="1"/>
  <c r="N25" i="68" s="1"/>
  <c r="D27" i="68" a="1"/>
  <c r="D27" i="68" s="1"/>
  <c r="V27" i="68" a="1"/>
  <c r="V27" i="68" s="1"/>
  <c r="O44" i="68" a="1"/>
  <c r="O44" i="68" s="1"/>
  <c r="O25" i="68" a="1"/>
  <c r="O25" i="68" s="1"/>
  <c r="G44" i="68" a="1"/>
  <c r="G44" i="68" s="1"/>
  <c r="G25" i="68" a="1"/>
  <c r="G25" i="68" s="1"/>
  <c r="C50" i="68" a="1"/>
  <c r="C50" i="68" s="1"/>
  <c r="D25" i="68" a="1"/>
  <c r="D25" i="68" s="1"/>
  <c r="E25" i="68" a="1"/>
  <c r="E25" i="68" s="1"/>
  <c r="E44" i="68" a="1"/>
  <c r="E44" i="68" s="1"/>
  <c r="H29" i="68" a="1"/>
  <c r="H29" i="68" s="1"/>
  <c r="L28" i="68" a="1"/>
  <c r="L28" i="68" s="1"/>
  <c r="G24" i="68" a="1"/>
  <c r="G24" i="68" s="1"/>
  <c r="G29" i="68" a="1"/>
  <c r="G29" i="68" s="1"/>
  <c r="K28" i="68" a="1"/>
  <c r="K28" i="68" s="1"/>
  <c r="V24" i="68" a="1"/>
  <c r="V24" i="68" s="1"/>
  <c r="F24" i="68" a="1"/>
  <c r="F24" i="68" s="1"/>
  <c r="K23" i="68" a="1"/>
  <c r="K23" i="68" s="1"/>
  <c r="V29" i="68" a="1"/>
  <c r="V29" i="68" s="1"/>
  <c r="O24" i="68" a="1"/>
  <c r="O24" i="68" s="1"/>
  <c r="I23" i="68" a="1"/>
  <c r="I23" i="68" s="1"/>
  <c r="F29" i="68" a="1"/>
  <c r="F29" i="68" s="1"/>
  <c r="J28" i="68" a="1"/>
  <c r="J28" i="68" s="1"/>
  <c r="O29" i="68" a="1"/>
  <c r="O29" i="68" s="1"/>
  <c r="E29" i="68" a="1"/>
  <c r="E29" i="68" s="1"/>
  <c r="H28" i="68" a="1"/>
  <c r="H28" i="68" s="1"/>
  <c r="N24" i="68" a="1"/>
  <c r="N24" i="68" s="1"/>
  <c r="D24" i="68" a="1"/>
  <c r="D24" i="68" s="1"/>
  <c r="H23" i="68" a="1"/>
  <c r="H23" i="68" s="1"/>
  <c r="N29" i="68" a="1"/>
  <c r="N29" i="68" s="1"/>
  <c r="D29" i="68" a="1"/>
  <c r="D29" i="68" s="1"/>
  <c r="G28" i="68" a="1"/>
  <c r="G28" i="68" s="1"/>
  <c r="M24" i="68" a="1"/>
  <c r="M24" i="68" s="1"/>
  <c r="G23" i="68" a="1"/>
  <c r="G23" i="68" s="1"/>
  <c r="M29" i="68" a="1"/>
  <c r="M29" i="68" s="1"/>
  <c r="F28" i="68" a="1"/>
  <c r="F28" i="68" s="1"/>
  <c r="L24" i="68" a="1"/>
  <c r="L24" i="68" s="1"/>
  <c r="F23" i="68" a="1"/>
  <c r="F23" i="68" s="1"/>
  <c r="L29" i="68" a="1"/>
  <c r="L29" i="68" s="1"/>
  <c r="E28" i="68" a="1"/>
  <c r="E28" i="68" s="1"/>
  <c r="V23" i="68" a="1"/>
  <c r="V23" i="68" s="1"/>
  <c r="E24" i="68" a="1"/>
  <c r="E24" i="68" s="1"/>
  <c r="V28" i="68" a="1"/>
  <c r="V28" i="68" s="1"/>
  <c r="D28" i="68" a="1"/>
  <c r="D28" i="68" s="1"/>
  <c r="K24" i="68" a="1"/>
  <c r="K24" i="68" s="1"/>
  <c r="O23" i="68" a="1"/>
  <c r="O23" i="68" s="1"/>
  <c r="E23" i="68" a="1"/>
  <c r="E23" i="68" s="1"/>
  <c r="K29" i="68" a="1"/>
  <c r="K29" i="68" s="1"/>
  <c r="O28" i="68" a="1"/>
  <c r="O28" i="68" s="1"/>
  <c r="J24" i="68" a="1"/>
  <c r="J24" i="68" s="1"/>
  <c r="N23" i="68" a="1"/>
  <c r="N23" i="68" s="1"/>
  <c r="D23" i="68" a="1"/>
  <c r="D23" i="68" s="1"/>
  <c r="J29" i="68" a="1"/>
  <c r="J29" i="68" s="1"/>
  <c r="N28" i="68" a="1"/>
  <c r="N28" i="68" s="1"/>
  <c r="I24" i="68" a="1"/>
  <c r="I24" i="68" s="1"/>
  <c r="M23" i="68" a="1"/>
  <c r="M23" i="68" s="1"/>
  <c r="J23" i="68" a="1"/>
  <c r="J23" i="68" s="1"/>
  <c r="I28" i="68" a="1"/>
  <c r="I28" i="68" s="1"/>
  <c r="I29" i="68" a="1"/>
  <c r="I29" i="68" s="1"/>
  <c r="M28" i="68" a="1"/>
  <c r="M28" i="68" s="1"/>
  <c r="H24" i="68" a="1"/>
  <c r="H24" i="68" s="1"/>
  <c r="L23" i="68" a="1"/>
  <c r="L23" i="68" s="1"/>
  <c r="O23" i="32" a="1"/>
  <c r="O23" i="32" s="1"/>
  <c r="V16" i="68" a="1"/>
  <c r="V16" i="68" s="1"/>
  <c r="AG45" i="6"/>
  <c r="O81" i="32" a="1"/>
  <c r="O81" i="32" s="1"/>
  <c r="J81" i="32" a="1"/>
  <c r="J81" i="32" s="1"/>
  <c r="O84" i="32" a="1"/>
  <c r="O84" i="32" s="1"/>
  <c r="O83" i="32" a="1"/>
  <c r="O83" i="32" s="1"/>
  <c r="J84" i="32" a="1"/>
  <c r="J84" i="32" s="1"/>
  <c r="K114" i="32" a="1"/>
  <c r="K114" i="32" s="1"/>
  <c r="J114" i="32" a="1"/>
  <c r="J114" i="32" s="1"/>
  <c r="O38" i="32" a="1"/>
  <c r="O38" i="32" s="1"/>
  <c r="J45" i="32" a="1"/>
  <c r="J45" i="32" s="1"/>
  <c r="O45" i="32" a="1"/>
  <c r="O45" i="32" s="1"/>
  <c r="O35" i="32" a="1"/>
  <c r="O35" i="32" s="1"/>
  <c r="O34" i="32" a="1"/>
  <c r="O34" i="32" s="1"/>
  <c r="O32" i="32" a="1"/>
  <c r="O32" i="32" s="1"/>
  <c r="O15" i="32" a="1"/>
  <c r="O15" i="32" s="1"/>
  <c r="O13" i="32" a="1"/>
  <c r="O13" i="32" s="1"/>
  <c r="O25" i="32" a="1"/>
  <c r="O25" i="32" s="1"/>
  <c r="O27" i="32" a="1"/>
  <c r="O27" i="32" s="1"/>
  <c r="O24" i="32" a="1"/>
  <c r="O24" i="32" s="1"/>
  <c r="O114" i="32" a="1"/>
  <c r="O114" i="32" s="1"/>
  <c r="O43" i="32" a="1"/>
  <c r="O43" i="32" s="1"/>
  <c r="O80" i="32" a="1"/>
  <c r="O80" i="32" s="1"/>
  <c r="O39" i="32" a="1"/>
  <c r="O39" i="32" s="1"/>
  <c r="O40" i="32" a="1"/>
  <c r="O40" i="32" s="1"/>
  <c r="O42" i="32" a="1"/>
  <c r="O42" i="32" s="1"/>
  <c r="O41" i="32" a="1"/>
  <c r="O41" i="32" s="1"/>
  <c r="AZ6" i="57" a="1"/>
  <c r="AZ6" i="57" s="1"/>
  <c r="P19" i="32" a="1"/>
  <c r="P19" i="32" s="1"/>
  <c r="K43" i="32" a="1"/>
  <c r="K43" i="32" s="1"/>
  <c r="CM5" i="76" a="1"/>
  <c r="CM5" i="76" s="1"/>
  <c r="AD24" i="61" a="1"/>
  <c r="AD24" i="61" s="1"/>
  <c r="AD29" i="61" a="1"/>
  <c r="AD29" i="61" s="1"/>
  <c r="P81" i="32" a="1"/>
  <c r="P81" i="32" s="1"/>
  <c r="K81" i="32" a="1"/>
  <c r="K81" i="32" s="1"/>
  <c r="K84" i="32" a="1"/>
  <c r="K84" i="32" s="1"/>
  <c r="P84" i="32" a="1"/>
  <c r="P84" i="32" s="1"/>
  <c r="P83" i="32" a="1"/>
  <c r="P83" i="32" s="1"/>
  <c r="P41" i="32" a="1"/>
  <c r="P41" i="32" s="1"/>
  <c r="P5" i="39"/>
  <c r="P40" i="32" a="1"/>
  <c r="P40" i="32" s="1"/>
  <c r="P114" i="32" a="1"/>
  <c r="P114" i="32" s="1"/>
  <c r="P42" i="32" a="1"/>
  <c r="P42" i="32" s="1"/>
  <c r="F114" i="32" a="1"/>
  <c r="F114"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38" i="32" a="1"/>
  <c r="P38" i="32" s="1"/>
  <c r="G4" i="65" a="1"/>
  <c r="G4" i="65" s="1"/>
  <c r="P39" i="32" a="1"/>
  <c r="P39" i="32" s="1"/>
  <c r="K45" i="32" a="1"/>
  <c r="K45" i="32" s="1"/>
  <c r="F101" i="32" a="1"/>
  <c r="F101" i="32" s="1"/>
  <c r="P45" i="32" a="1"/>
  <c r="P45" i="32" s="1"/>
  <c r="P27" i="32" a="1"/>
  <c r="P27" i="32" s="1"/>
  <c r="P34" i="32" a="1"/>
  <c r="P34" i="32" s="1"/>
  <c r="P24" i="32" a="1"/>
  <c r="P24" i="32" s="1"/>
  <c r="P32" i="32" a="1"/>
  <c r="P32" i="32" s="1"/>
  <c r="P13" i="32" a="1"/>
  <c r="P13" i="32" s="1"/>
  <c r="P15" i="32" a="1"/>
  <c r="P15" i="32" s="1"/>
  <c r="P25" i="32" a="1"/>
  <c r="P25" i="32" s="1"/>
  <c r="P35" i="32" a="1"/>
  <c r="P35" i="32" s="1"/>
  <c r="P43" i="32" a="1"/>
  <c r="P43"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4" i="32" a="1"/>
  <c r="F84" i="32" s="1"/>
  <c r="E84" i="32" a="1"/>
  <c r="E84" i="32" s="1"/>
  <c r="F81" i="32" a="1"/>
  <c r="F81" i="32" s="1"/>
  <c r="E81" i="32" a="1"/>
  <c r="E81" i="32" s="1"/>
  <c r="E114" i="32" a="1"/>
  <c r="E114" i="32" s="1"/>
  <c r="E80" i="32" a="1"/>
  <c r="E80" i="32" s="1"/>
  <c r="M46" i="7"/>
  <c r="F13" i="54" a="1"/>
  <c r="F13" i="54" s="1"/>
  <c r="BE22" i="34" a="1"/>
  <c r="BE22" i="34" s="1"/>
  <c r="F83" i="32" a="1"/>
  <c r="F83" i="32" s="1"/>
  <c r="E83" i="32" a="1"/>
  <c r="E83" i="32" s="1"/>
  <c r="O27" i="68" a="1"/>
  <c r="O27" i="68" s="1"/>
  <c r="N27" i="68" a="1"/>
  <c r="N27" i="68" s="1"/>
  <c r="M27" i="68" a="1"/>
  <c r="M27" i="68" s="1"/>
  <c r="E27" i="68" a="1"/>
  <c r="E27" i="68" s="1"/>
  <c r="L27" i="68" a="1"/>
  <c r="L27" i="68" s="1"/>
  <c r="K27" i="68" a="1"/>
  <c r="K27" i="68" s="1"/>
  <c r="J27" i="68" a="1"/>
  <c r="J27" i="68" s="1"/>
  <c r="I27" i="68" a="1"/>
  <c r="I27" i="68" s="1"/>
  <c r="H27" i="68" a="1"/>
  <c r="H27" i="68" s="1"/>
  <c r="G27" i="68" a="1"/>
  <c r="G27" i="68" s="1"/>
  <c r="F27" i="68" a="1"/>
  <c r="F27" i="68" s="1"/>
  <c r="E42" i="32" a="1"/>
  <c r="E42" i="32" s="1"/>
  <c r="AC46" i="6" a="1"/>
  <c r="AC46" i="6" s="1"/>
  <c r="P102" i="32"/>
  <c r="E41" i="32" a="1"/>
  <c r="E41"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5" i="32" a="1"/>
  <c r="F25" i="32" s="1"/>
  <c r="C107" i="40" a="1"/>
  <c r="C107" i="40" s="1"/>
  <c r="C134" i="40" a="1"/>
  <c r="C134" i="40" s="1"/>
  <c r="C135" i="40" s="1"/>
  <c r="BK8" i="73" a="1"/>
  <c r="BK8" i="73" s="1"/>
  <c r="BE3" i="73" a="1"/>
  <c r="BE3" i="73" s="1"/>
  <c r="E43" i="32" a="1"/>
  <c r="E43" i="32" s="1"/>
  <c r="F24" i="32" a="1"/>
  <c r="F24" i="32" s="1"/>
  <c r="F34" i="32" a="1"/>
  <c r="F34"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J81" i="29"/>
  <c r="CX31" i="72" a="1"/>
  <c r="CX31" i="72" s="1"/>
  <c r="CY31" i="72" a="1"/>
  <c r="CC31" i="72" a="1"/>
  <c r="CC31" i="72" s="1"/>
  <c r="AQ1" i="72" a="1"/>
  <c r="F15" i="32" a="1"/>
  <c r="F15" i="32" s="1"/>
  <c r="F41" i="32" a="1"/>
  <c r="F41" i="32" s="1"/>
  <c r="F32" i="32" a="1"/>
  <c r="F32" i="32" s="1"/>
  <c r="F42" i="32" a="1"/>
  <c r="F42" i="32" s="1"/>
  <c r="F13" i="32" a="1"/>
  <c r="F13" i="32" s="1"/>
  <c r="F35" i="32" a="1"/>
  <c r="F35" i="32" s="1"/>
  <c r="F27" i="32" a="1"/>
  <c r="F27" i="32" s="1"/>
  <c r="AB46" i="6" a="1"/>
  <c r="AB46" i="6" s="1"/>
  <c r="AH46" i="6" s="1"/>
  <c r="AK6" i="71" a="1"/>
  <c r="AK6" i="71" s="1"/>
  <c r="AP6" i="71" a="1"/>
  <c r="AP6" i="71" s="1"/>
  <c r="S6" i="61" a="1"/>
  <c r="S6" i="61" s="1"/>
  <c r="AP45" i="6" a="1"/>
  <c r="AP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3" i="32"/>
  <c r="K43" i="68" a="1"/>
  <c r="K43" i="68" s="1"/>
  <c r="N45" i="68" a="1"/>
  <c r="N45" i="68" s="1"/>
  <c r="N17" i="68" a="1"/>
  <c r="N17" i="68" s="1"/>
  <c r="N49" i="68" a="1"/>
  <c r="N49" i="68" s="1"/>
  <c r="BD22" i="34" a="1"/>
  <c r="BD22" i="34" s="1"/>
  <c r="C26" i="40"/>
  <c r="D45" i="68" a="1"/>
  <c r="D45" i="68" s="1"/>
  <c r="S11" i="61" a="1"/>
  <c r="S11" i="61" s="1"/>
  <c r="O17" i="68" a="1"/>
  <c r="O17" i="68" s="1"/>
  <c r="AX6" i="71" a="1"/>
  <c r="AX6" i="71" s="1"/>
  <c r="O50" i="68" a="1"/>
  <c r="O50" i="68" s="1"/>
  <c r="BA6" i="71" a="1"/>
  <c r="BA6" i="71" s="1"/>
  <c r="H45" i="68" a="1"/>
  <c r="H45" i="68" s="1"/>
  <c r="K51" i="68" a="1"/>
  <c r="K51" i="68" s="1"/>
  <c r="N51" i="68" a="1"/>
  <c r="N51" i="68" s="1"/>
  <c r="AQ6" i="71" a="1"/>
  <c r="AQ6" i="71" s="1"/>
  <c r="E65" i="32"/>
  <c r="N6" i="71" a="1"/>
  <c r="N6" i="71" s="1"/>
  <c r="AR6" i="71" a="1"/>
  <c r="AR6" i="71" s="1"/>
  <c r="P6" i="71" a="1"/>
  <c r="P6" i="71" s="1"/>
  <c r="AV6" i="71" a="1"/>
  <c r="AV6" i="71" s="1"/>
  <c r="H17" i="68" a="1"/>
  <c r="H17" i="68" s="1"/>
  <c r="J3" i="29"/>
  <c r="AD2" i="61"/>
  <c r="AJ3" i="29"/>
  <c r="S8" i="61" a="1"/>
  <c r="S8" i="61" s="1"/>
  <c r="J81" i="29"/>
  <c r="W43" i="13"/>
  <c r="X43" i="13" s="1"/>
  <c r="R43" i="10"/>
  <c r="H30" i="10"/>
  <c r="H34" i="10" s="1"/>
  <c r="W43" i="10" s="1"/>
  <c r="X44" i="13"/>
  <c r="O37" i="68" a="1"/>
  <c r="O37" i="68" s="1"/>
  <c r="N41" i="68" a="1"/>
  <c r="N41" i="68" s="1"/>
  <c r="CG31" i="72" a="1"/>
  <c r="CG31" i="72" s="1"/>
  <c r="CE31" i="72" s="1" a="1"/>
  <c r="CE31" i="72" s="1"/>
  <c r="BW31" i="72" a="1"/>
  <c r="BW31" i="72" s="1"/>
  <c r="BR31" i="72" s="1" a="1"/>
  <c r="BS31" i="72" a="1"/>
  <c r="BS31" i="72" s="1"/>
  <c r="BY31" i="72" s="1" a="1"/>
  <c r="BY31" i="72" s="1"/>
  <c r="H1" i="3"/>
  <c r="J1" i="3" s="1"/>
  <c r="BQ31" i="72" a="1"/>
  <c r="BQ31" i="72" s="1"/>
  <c r="BP31" i="72" a="1"/>
  <c r="BP31" i="72" s="1"/>
  <c r="BP9" i="72" a="1"/>
  <c r="BP9" i="72" s="1"/>
  <c r="BP7" i="72" a="1"/>
  <c r="BP7" i="72" s="1"/>
  <c r="BQ7" i="72" s="1"/>
  <c r="F55" i="32" a="1"/>
  <c r="F55" i="32" s="1"/>
  <c r="I37" i="68" a="1"/>
  <c r="I37" i="68" s="1"/>
  <c r="N37" i="68" a="1"/>
  <c r="N37" i="68" s="1"/>
  <c r="F56" i="32" a="1"/>
  <c r="F56" i="32" s="1"/>
  <c r="O39" i="68" a="1"/>
  <c r="O39" i="68" s="1"/>
  <c r="I38" i="68" a="1"/>
  <c r="I38" i="68" s="1"/>
  <c r="O41" i="68" a="1"/>
  <c r="O41" i="68" s="1"/>
  <c r="F53" i="32" a="1"/>
  <c r="F53" i="32" s="1"/>
  <c r="H41" i="68" a="1"/>
  <c r="H41" i="68" s="1"/>
  <c r="N38" i="68" a="1"/>
  <c r="N38" i="68" s="1"/>
  <c r="C38" i="68" a="1"/>
  <c r="C38" i="68" s="1"/>
  <c r="D38" i="68" a="1"/>
  <c r="D38" i="68" s="1"/>
  <c r="H102" i="40"/>
  <c r="E53" i="32" a="1"/>
  <c r="E53" i="32" s="1"/>
  <c r="AN6" i="71" a="1"/>
  <c r="AN6" i="71" s="1"/>
  <c r="E55" i="32" a="1"/>
  <c r="E55" i="32" s="1"/>
  <c r="H39" i="68" a="1"/>
  <c r="H39" i="68" s="1"/>
  <c r="F57" i="32" a="1"/>
  <c r="F57" i="32" s="1"/>
  <c r="F54" i="32" a="1"/>
  <c r="F54" i="32" s="1"/>
  <c r="N39" i="68" a="1"/>
  <c r="N39" i="68" s="1"/>
  <c r="G64" i="40"/>
  <c r="G102" i="40"/>
  <c r="E64" i="40"/>
  <c r="E57" i="32" a="1"/>
  <c r="E57" i="32" s="1"/>
  <c r="C39" i="68" a="1"/>
  <c r="C39" i="68" s="1"/>
  <c r="C37" i="68" a="1"/>
  <c r="C37" i="68" s="1"/>
  <c r="E52" i="32" a="1"/>
  <c r="E52" i="32" s="1"/>
  <c r="J37" i="68" a="1"/>
  <c r="J37" i="68" s="1"/>
  <c r="F41" i="68" a="1"/>
  <c r="F41" i="68" s="1"/>
  <c r="F99" i="32"/>
  <c r="F43" i="32" a="1"/>
  <c r="F43" i="32" s="1"/>
  <c r="F87" i="32"/>
  <c r="AL6" i="71" a="1"/>
  <c r="AL6" i="71" s="1"/>
  <c r="J64" i="40"/>
  <c r="M102" i="40"/>
  <c r="M64" i="40"/>
  <c r="K64" i="40"/>
  <c r="C24" i="40"/>
  <c r="O64" i="40"/>
  <c r="E45" i="68" a="1"/>
  <c r="E45" i="68" s="1"/>
  <c r="E39" i="68" a="1"/>
  <c r="E39" i="68" s="1"/>
  <c r="E50" i="68" a="1"/>
  <c r="E50" i="68" s="1"/>
  <c r="E43" i="68" a="1"/>
  <c r="E43" i="68" s="1"/>
  <c r="E51" i="68" a="1"/>
  <c r="E51" i="68" s="1"/>
  <c r="E54" i="68" a="1"/>
  <c r="E54" i="68" s="1"/>
  <c r="E49" i="68" a="1"/>
  <c r="E49" i="68" s="1"/>
  <c r="E38" i="68" a="1"/>
  <c r="E38" i="68" s="1"/>
  <c r="D54" i="68" a="1"/>
  <c r="D54" i="68" s="1"/>
  <c r="E17" i="68" a="1"/>
  <c r="E17" i="68" s="1"/>
  <c r="E41" i="68" a="1"/>
  <c r="E41" i="68" s="1"/>
  <c r="E37" i="68" a="1"/>
  <c r="E37" i="68" s="1"/>
  <c r="N64" i="40"/>
  <c r="G50" i="68" a="1"/>
  <c r="G50" i="68" s="1"/>
  <c r="G43" i="68" a="1"/>
  <c r="G43" i="68" s="1"/>
  <c r="G54" i="68" a="1"/>
  <c r="G54" i="68" s="1"/>
  <c r="G41" i="68" a="1"/>
  <c r="G41" i="68" s="1"/>
  <c r="G51" i="68" a="1"/>
  <c r="G51" i="68" s="1"/>
  <c r="G37" i="68" a="1"/>
  <c r="G37" i="68" s="1"/>
  <c r="G49" i="68" a="1"/>
  <c r="G49" i="68" s="1"/>
  <c r="G38" i="68" a="1"/>
  <c r="G38" i="68" s="1"/>
  <c r="G17" i="68" a="1"/>
  <c r="G17" i="68" s="1"/>
  <c r="G45" i="68" a="1"/>
  <c r="G45" i="68" s="1"/>
  <c r="G39" i="68" a="1"/>
  <c r="G39" i="68" s="1"/>
  <c r="F64" i="40"/>
  <c r="F102" i="40"/>
  <c r="I64" i="40"/>
  <c r="M51" i="68" a="1"/>
  <c r="M51" i="68" s="1"/>
  <c r="M37" i="68" a="1"/>
  <c r="M37" i="68" s="1"/>
  <c r="M50" i="68" a="1"/>
  <c r="M50" i="68" s="1"/>
  <c r="M45" i="68" a="1"/>
  <c r="M45" i="68" s="1"/>
  <c r="M38" i="68" a="1"/>
  <c r="M38" i="68" s="1"/>
  <c r="M41" i="68" a="1"/>
  <c r="M41" i="68" s="1"/>
  <c r="M39" i="68" a="1"/>
  <c r="M39" i="68" s="1"/>
  <c r="M43" i="68" a="1"/>
  <c r="M43" i="68" s="1"/>
  <c r="M17" i="68" a="1"/>
  <c r="M17" i="68" s="1"/>
  <c r="L50" i="68" a="1"/>
  <c r="L50" i="68" s="1"/>
  <c r="M54" i="68" a="1"/>
  <c r="M54" i="68" s="1"/>
  <c r="M49" i="68" a="1"/>
  <c r="M49" i="68" s="1"/>
  <c r="C17" i="68" a="1"/>
  <c r="C17" i="68" s="1"/>
  <c r="J17" i="68" a="1"/>
  <c r="J17" i="68" s="1"/>
  <c r="D37" i="68" a="1"/>
  <c r="D37" i="68" s="1"/>
  <c r="F39" i="68" a="1"/>
  <c r="F39" i="68" s="1"/>
  <c r="I50" i="68" a="1"/>
  <c r="I50" i="68" s="1"/>
  <c r="H51" i="68" a="1"/>
  <c r="H51" i="68" s="1"/>
  <c r="K54" i="68" a="1"/>
  <c r="K54" i="68" s="1"/>
  <c r="F65" i="32"/>
  <c r="L54" i="68" a="1"/>
  <c r="L54" i="68" s="1"/>
  <c r="C17" i="40"/>
  <c r="H64" i="40"/>
  <c r="C43" i="68" a="1"/>
  <c r="C43" i="68" s="1"/>
  <c r="C42" i="68" s="1"/>
  <c r="D39" i="68" a="1"/>
  <c r="D39" i="68" s="1"/>
  <c r="C54" i="68" a="1"/>
  <c r="C54" i="68" s="1"/>
  <c r="S32" i="68"/>
  <c r="S46" i="68" s="1"/>
  <c r="D51" i="68" a="1"/>
  <c r="D51" i="68" s="1"/>
  <c r="V42" i="68"/>
  <c r="S42" i="68"/>
  <c r="D44" i="68" a="1"/>
  <c r="D44" i="68" s="1"/>
  <c r="D43" i="68" a="1"/>
  <c r="D43" i="68" s="1"/>
  <c r="D16" i="68" a="1"/>
  <c r="D16" i="68" s="1"/>
  <c r="D17" i="68" a="1"/>
  <c r="D17" i="68" s="1"/>
  <c r="K17" i="68" a="1"/>
  <c r="K17" i="68" s="1"/>
  <c r="K38" i="68" a="1"/>
  <c r="K38" i="68" s="1"/>
  <c r="J43" i="68" a="1"/>
  <c r="J43" i="68" s="1"/>
  <c r="F60" i="32"/>
  <c r="F38" i="68" a="1"/>
  <c r="F38" i="68" s="1"/>
  <c r="F45" i="68" a="1"/>
  <c r="F45" i="68" s="1"/>
  <c r="F17" i="68" a="1"/>
  <c r="F17" i="68" s="1"/>
  <c r="F51" i="68" a="1"/>
  <c r="F51" i="68" s="1"/>
  <c r="F49" i="68" a="1"/>
  <c r="F49" i="68" s="1"/>
  <c r="F54" i="68" a="1"/>
  <c r="F54" i="68" s="1"/>
  <c r="L51" i="68" a="1"/>
  <c r="L51" i="68" s="1"/>
  <c r="O54" i="68" a="1"/>
  <c r="O54" i="68" s="1"/>
  <c r="I45" i="68" a="1"/>
  <c r="I45" i="68" s="1"/>
  <c r="C27" i="40"/>
  <c r="L64" i="40"/>
  <c r="H37" i="68" a="1"/>
  <c r="H37" i="68" s="1"/>
  <c r="H49" i="68" a="1"/>
  <c r="H49" i="68" s="1"/>
  <c r="H50" i="68" a="1"/>
  <c r="H50" i="68" s="1"/>
  <c r="H43" i="68" a="1"/>
  <c r="H43" i="68" s="1"/>
  <c r="K41" i="68" a="1"/>
  <c r="K41" i="68" s="1"/>
  <c r="D49" i="68" a="1"/>
  <c r="D49" i="68" s="1"/>
  <c r="E60" i="32"/>
  <c r="I43" i="68" a="1"/>
  <c r="I43" i="68" s="1"/>
  <c r="I54" i="68" a="1"/>
  <c r="I54" i="68" s="1"/>
  <c r="I41" i="68" a="1"/>
  <c r="I41" i="68" s="1"/>
  <c r="I39" i="68" a="1"/>
  <c r="I39" i="68" s="1"/>
  <c r="I51" i="68" a="1"/>
  <c r="I51" i="68" s="1"/>
  <c r="O51" i="68" a="1"/>
  <c r="O51" i="68" s="1"/>
  <c r="J39" i="68" a="1"/>
  <c r="J39" i="68" s="1"/>
  <c r="J45" i="68" a="1"/>
  <c r="J45" i="68" s="1"/>
  <c r="J38" i="68" a="1"/>
  <c r="J38" i="68" s="1"/>
  <c r="J51" i="68" a="1"/>
  <c r="J51" i="68" s="1"/>
  <c r="J50" i="68" a="1"/>
  <c r="J50" i="68" s="1"/>
  <c r="J54" i="68" a="1"/>
  <c r="J54" i="68" s="1"/>
  <c r="J41" i="68" a="1"/>
  <c r="J41" i="68" s="1"/>
  <c r="D50" i="68" a="1"/>
  <c r="D50" i="68" s="1"/>
  <c r="K45" i="68" a="1"/>
  <c r="K45" i="68" s="1"/>
  <c r="K39" i="68" a="1"/>
  <c r="K39" i="68" s="1"/>
  <c r="K37" i="68" a="1"/>
  <c r="K37" i="68" s="1"/>
  <c r="K50" i="68" a="1"/>
  <c r="K50" i="68" s="1"/>
  <c r="K49" i="68" a="1"/>
  <c r="K49" i="68" s="1"/>
  <c r="H54" i="68" a="1"/>
  <c r="H54" i="68" s="1"/>
  <c r="F100" i="32"/>
  <c r="L17" i="68" a="1"/>
  <c r="L17" i="68" s="1"/>
  <c r="L45" i="68" a="1"/>
  <c r="L45" i="68" s="1"/>
  <c r="L43" i="68" a="1"/>
  <c r="L43" i="68" s="1"/>
  <c r="L49" i="68" a="1"/>
  <c r="L49" i="68" s="1"/>
  <c r="L41" i="68" a="1"/>
  <c r="L41" i="68" s="1"/>
  <c r="L39" i="68" a="1"/>
  <c r="L39" i="68" s="1"/>
  <c r="I16" i="68" a="1"/>
  <c r="I16" i="68" s="1"/>
  <c r="I17" i="68" a="1"/>
  <c r="I17" i="68" s="1"/>
  <c r="L37" i="68" a="1"/>
  <c r="L37" i="68" s="1"/>
  <c r="H38" i="68" a="1"/>
  <c r="H38" i="68" s="1"/>
  <c r="F43" i="68" a="1"/>
  <c r="F43" i="68" s="1"/>
  <c r="I49" i="68" a="1"/>
  <c r="I49" i="68" s="1"/>
  <c r="F50" i="68" a="1"/>
  <c r="F50" i="68" s="1"/>
  <c r="J49" i="68" a="1"/>
  <c r="J49" i="68" s="1"/>
  <c r="E87" i="32"/>
  <c r="O43" i="68" a="1"/>
  <c r="O43" i="68" s="1"/>
  <c r="O49" i="68" a="1"/>
  <c r="O49" i="68" s="1"/>
  <c r="O38" i="68" a="1"/>
  <c r="O38" i="68" s="1"/>
  <c r="O45" i="68" a="1"/>
  <c r="O45" i="68" s="1"/>
  <c r="BC22" i="34" a="1"/>
  <c r="BC22" i="34" s="1"/>
  <c r="BR20" i="34" a="1"/>
  <c r="BR20" i="34" s="1"/>
  <c r="N54" i="68" a="1"/>
  <c r="N54" i="68" s="1"/>
  <c r="N43" i="68" a="1"/>
  <c r="N43" i="68" s="1"/>
  <c r="N50" i="68" a="1"/>
  <c r="N50"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AB45" i="6"/>
  <c r="AH45" i="6" s="1"/>
  <c r="X46" i="13"/>
  <c r="I31" i="13"/>
  <c r="T34" i="81" s="1"/>
  <c r="R1" i="35"/>
  <c r="K1" i="55"/>
  <c r="I3" i="48"/>
  <c r="U6" i="71" l="1" a="1"/>
  <c r="U6" i="71" s="1"/>
  <c r="M22" i="68" a="1"/>
  <c r="M22" i="68" s="1"/>
  <c r="S22" i="68" a="1"/>
  <c r="S22" i="68" s="1"/>
  <c r="C22" i="68" a="1"/>
  <c r="C22" i="68" s="1"/>
  <c r="N22" i="68" a="1"/>
  <c r="N22" i="68" s="1"/>
  <c r="AT22" i="59" a="1"/>
  <c r="AT22" i="59" s="1"/>
  <c r="K22" i="68" a="1"/>
  <c r="K22" i="68" s="1"/>
  <c r="L22" i="68" a="1"/>
  <c r="L22" i="68" s="1"/>
  <c r="AT24" i="59" a="1"/>
  <c r="AT24" i="59" s="1"/>
  <c r="AU24" i="59" s="1"/>
  <c r="F22" i="68" a="1"/>
  <c r="F22" i="68" s="1"/>
  <c r="I22" i="68" a="1"/>
  <c r="I22" i="68" s="1"/>
  <c r="AT23" i="59" a="1"/>
  <c r="AT23" i="59" s="1"/>
  <c r="AU23" i="59" s="1"/>
  <c r="E22" i="68" a="1"/>
  <c r="E22" i="68" s="1"/>
  <c r="G22" i="68" a="1"/>
  <c r="G22" i="68" s="1"/>
  <c r="D22" i="68" a="1"/>
  <c r="D22" i="68" s="1"/>
  <c r="H22" i="68" a="1"/>
  <c r="H22" i="68" s="1"/>
  <c r="O22" i="68" a="1"/>
  <c r="O22" i="68" s="1"/>
  <c r="J22" i="68" a="1"/>
  <c r="J22" i="68" s="1"/>
  <c r="V22" i="68" a="1"/>
  <c r="V22" i="68" s="1"/>
  <c r="S55" i="68" a="1"/>
  <c r="S55" i="68" s="1"/>
  <c r="AD6" i="29"/>
  <c r="AE6" i="29" s="1"/>
  <c r="AG6" i="29" s="1"/>
  <c r="AD22" i="29"/>
  <c r="AE22" i="29" s="1"/>
  <c r="AG22" i="29" s="1"/>
  <c r="AD55" i="29"/>
  <c r="AE55" i="29" s="1"/>
  <c r="AG55" i="29" s="1"/>
  <c r="AD56" i="29"/>
  <c r="AE56" i="29" s="1"/>
  <c r="AG56" i="29" s="1"/>
  <c r="AD24" i="29"/>
  <c r="AE24" i="29" s="1"/>
  <c r="AG24" i="29" s="1"/>
  <c r="AD18" i="29"/>
  <c r="AE18" i="29" s="1"/>
  <c r="AG18" i="29" s="1"/>
  <c r="AD50" i="29"/>
  <c r="AE50" i="29" s="1"/>
  <c r="AG50" i="29" s="1"/>
  <c r="AD42" i="29"/>
  <c r="AE42" i="29" s="1"/>
  <c r="AG42" i="29" s="1"/>
  <c r="AD23" i="29"/>
  <c r="AE23" i="29" s="1"/>
  <c r="AG23" i="29" s="1"/>
  <c r="AD31" i="29"/>
  <c r="AE31" i="29" s="1"/>
  <c r="AG31" i="29" s="1"/>
  <c r="AD47" i="29"/>
  <c r="AE47" i="29" s="1"/>
  <c r="AD30" i="29"/>
  <c r="AE30" i="29" s="1"/>
  <c r="AG30" i="29" s="1"/>
  <c r="AD16" i="29"/>
  <c r="AE16" i="29" s="1"/>
  <c r="AG1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E4" i="61"/>
  <c r="AE5" i="61"/>
  <c r="AL18" i="29"/>
  <c r="AL17" i="29"/>
  <c r="AL6" i="29"/>
  <c r="AL22" i="29"/>
  <c r="AL16" i="29"/>
  <c r="AL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3" i="68" a="1"/>
  <c r="V33" i="68" s="1"/>
  <c r="V32" i="68" s="1"/>
  <c r="V46" i="68" s="1"/>
  <c r="O50" i="32" a="1"/>
  <c r="O50" i="32" s="1"/>
  <c r="O49" i="32" s="1"/>
  <c r="P50" i="32" a="1"/>
  <c r="P50" i="32" s="1"/>
  <c r="P49" i="32" s="1"/>
  <c r="P137" i="32" s="1"/>
  <c r="J74" i="32" a="1"/>
  <c r="J74" i="32" s="1"/>
  <c r="P74" i="32" a="1"/>
  <c r="P74" i="32" s="1"/>
  <c r="O74" i="32" a="1"/>
  <c r="O74" i="32" s="1"/>
  <c r="K74" i="32" a="1"/>
  <c r="K74" i="32" s="1"/>
  <c r="M5" i="29"/>
  <c r="AB44" i="6"/>
  <c r="AC44" i="6" s="1"/>
  <c r="AD44" i="6" s="1"/>
  <c r="AE44" i="6" s="1"/>
  <c r="AF44" i="6" s="1"/>
  <c r="AG44" i="6" s="1"/>
  <c r="AH44" i="6" s="1"/>
  <c r="AI44" i="6" s="1"/>
  <c r="AJ44" i="6" s="1"/>
  <c r="AK44" i="6" s="1"/>
  <c r="AL44" i="6" s="1"/>
  <c r="AM44" i="6" s="1"/>
  <c r="AN44" i="6" s="1"/>
  <c r="AO44" i="6" s="1"/>
  <c r="AP44" i="6" s="1"/>
  <c r="AL61" i="29"/>
  <c r="AL31" i="29"/>
  <c r="AL44" i="29"/>
  <c r="AL58" i="29"/>
  <c r="AL43" i="29"/>
  <c r="AL48" i="29"/>
  <c r="AL70" i="29"/>
  <c r="AL55" i="29"/>
  <c r="AL42" i="29"/>
  <c r="AL56" i="29"/>
  <c r="AL39" i="29"/>
  <c r="AL50" i="29"/>
  <c r="AL63" i="29"/>
  <c r="AL33" i="29"/>
  <c r="AL27" i="29"/>
  <c r="AL30" i="29"/>
  <c r="AL47" i="29"/>
  <c r="AL24" i="29"/>
  <c r="AL64" i="29"/>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F12" i="68" a="1"/>
  <c r="F12" i="68" s="1"/>
  <c r="E12" i="68" a="1"/>
  <c r="E12" i="68" s="1"/>
  <c r="J12" i="68" a="1"/>
  <c r="J12" i="68" s="1"/>
  <c r="J20" i="32" a="1"/>
  <c r="J20" i="32" s="1"/>
  <c r="O9" i="32" a="1"/>
  <c r="O9" i="32" s="1"/>
  <c r="K20" i="32" a="1"/>
  <c r="K20" i="32" s="1"/>
  <c r="O11" i="32" a="1"/>
  <c r="O11" i="32" s="1"/>
  <c r="O30" i="32" a="1"/>
  <c r="O30" i="32" s="1"/>
  <c r="P11" i="32" a="1"/>
  <c r="P11" i="32" s="1"/>
  <c r="P30" i="32" a="1"/>
  <c r="P30" i="32" s="1"/>
  <c r="V12" i="68" a="1"/>
  <c r="V12" i="68" s="1"/>
  <c r="G12" i="68" a="1"/>
  <c r="G12" i="68" s="1"/>
  <c r="K12" i="68" a="1"/>
  <c r="K12" i="68" s="1"/>
  <c r="O20" i="32" a="1"/>
  <c r="O20" i="32" s="1"/>
  <c r="D12" i="68" a="1"/>
  <c r="D12" i="68" s="1"/>
  <c r="I12" i="68" a="1"/>
  <c r="I12" i="68" s="1"/>
  <c r="K6" i="71" a="1"/>
  <c r="K6" i="71" s="1"/>
  <c r="K11" i="32" a="1"/>
  <c r="K11" i="32" s="1"/>
  <c r="K30" i="32" a="1"/>
  <c r="K30" i="32" s="1"/>
  <c r="N12" i="68" a="1"/>
  <c r="N12" i="68" s="1"/>
  <c r="H12" i="68" a="1"/>
  <c r="H12" i="68" s="1"/>
  <c r="M12" i="68" a="1"/>
  <c r="M12" i="68" s="1"/>
  <c r="P9" i="32" a="1"/>
  <c r="P9" i="32" s="1"/>
  <c r="J11" i="32" a="1"/>
  <c r="J11" i="32" s="1"/>
  <c r="P20" i="32" a="1"/>
  <c r="P20" i="32" s="1"/>
  <c r="J30" i="32" a="1"/>
  <c r="J30" i="32" s="1"/>
  <c r="L12" i="68" a="1"/>
  <c r="L12"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M6" i="71" a="1"/>
  <c r="M6" i="71" s="1"/>
  <c r="BJ22" i="34" a="1"/>
  <c r="BJ22" i="34" s="1"/>
  <c r="J26" i="58" s="1"/>
  <c r="H26" i="58" s="1"/>
  <c r="BL25" i="34" a="1"/>
  <c r="BL25" i="34" s="1"/>
  <c r="BJ25" i="34" a="1"/>
  <c r="BJ25" i="34" s="1"/>
  <c r="BQ25" i="34" a="1"/>
  <c r="BQ25" i="34" s="1"/>
  <c r="BZ31" i="73" a="1"/>
  <c r="BZ31" i="73" s="1"/>
  <c r="C170" i="40" a="1"/>
  <c r="C170" i="40" s="1"/>
  <c r="F184" i="40" a="1"/>
  <c r="F184" i="40" s="1"/>
  <c r="F185" i="40" s="1"/>
  <c r="F42" i="40" s="1"/>
  <c r="G1" i="40"/>
  <c r="H1" i="40" s="1"/>
  <c r="K103" i="40"/>
  <c r="K16" i="40" s="1"/>
  <c r="O103" i="40"/>
  <c r="O16" i="40" s="1"/>
  <c r="I103" i="40"/>
  <c r="I16" i="40" s="1"/>
  <c r="F103" i="40"/>
  <c r="F16" i="40" s="1"/>
  <c r="H103" i="40"/>
  <c r="H16" i="40" s="1"/>
  <c r="E103" i="40"/>
  <c r="E16" i="40" s="1"/>
  <c r="N103" i="40"/>
  <c r="N16" i="40" s="1"/>
  <c r="M103" i="40"/>
  <c r="M16" i="40" s="1"/>
  <c r="G103" i="40"/>
  <c r="G16" i="40" s="1"/>
  <c r="L103" i="40"/>
  <c r="L16" i="40" s="1"/>
  <c r="J103" i="40"/>
  <c r="J16" i="40" s="1"/>
  <c r="P35" i="6" a="1"/>
  <c r="P35" i="6" s="1"/>
  <c r="Q34" i="81" s="1"/>
  <c r="S53" i="68" a="1"/>
  <c r="S53" i="68" s="1"/>
  <c r="C102" i="40" a="1"/>
  <c r="C102" i="40" s="1"/>
  <c r="C103" i="40" s="1"/>
  <c r="C54" i="40" a="1"/>
  <c r="C54" i="40" s="1"/>
  <c r="C63" i="40" a="1"/>
  <c r="C63" i="40" s="1"/>
  <c r="C69" i="40" a="1"/>
  <c r="C69" i="40" s="1"/>
  <c r="C59" i="40" a="1"/>
  <c r="C59" i="40" s="1"/>
  <c r="T6" i="71" a="1"/>
  <c r="T6" i="71" s="1"/>
  <c r="F38" i="32" a="1"/>
  <c r="F38"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38" i="32" a="1"/>
  <c r="E38" i="32" s="1"/>
  <c r="K38" i="32" a="1"/>
  <c r="K38" i="32" s="1"/>
  <c r="J38" i="32" a="1"/>
  <c r="J38" i="32" s="1"/>
  <c r="K14" i="32" a="1"/>
  <c r="K14" i="32" s="1"/>
  <c r="O26" i="68" a="1"/>
  <c r="O26" i="68" s="1"/>
  <c r="J14" i="32" a="1"/>
  <c r="J14" i="32" s="1"/>
  <c r="E14" i="32" a="1"/>
  <c r="E14" i="32" s="1"/>
  <c r="J26" i="32" a="1"/>
  <c r="J26" i="32" s="1"/>
  <c r="K26" i="32" a="1"/>
  <c r="K26" i="32" s="1"/>
  <c r="E26" i="32" a="1"/>
  <c r="E26" i="32" s="1"/>
  <c r="J33" i="32" a="1"/>
  <c r="J33" i="32" s="1"/>
  <c r="E33" i="32" a="1"/>
  <c r="E33" i="32" s="1"/>
  <c r="K33" i="32" a="1"/>
  <c r="K33" i="32" s="1"/>
  <c r="M21" i="68" a="1"/>
  <c r="M21" i="68" s="1"/>
  <c r="C14" i="68" a="1"/>
  <c r="C14" i="68" s="1"/>
  <c r="D14" i="68" a="1"/>
  <c r="D14" i="68" s="1"/>
  <c r="H14" i="68" a="1"/>
  <c r="H14" i="68" s="1"/>
  <c r="O14" i="68" a="1"/>
  <c r="O14" i="68" s="1"/>
  <c r="I14" i="68" a="1"/>
  <c r="I14" i="68" s="1"/>
  <c r="N14" i="68" a="1"/>
  <c r="N14" i="68" s="1"/>
  <c r="K14" i="68" a="1"/>
  <c r="K14" i="68" s="1"/>
  <c r="E14" i="68" a="1"/>
  <c r="E14" i="68" s="1"/>
  <c r="M14" i="68" a="1"/>
  <c r="M14" i="68" s="1"/>
  <c r="L14" i="68" a="1"/>
  <c r="L14" i="68" s="1"/>
  <c r="F14" i="68" a="1"/>
  <c r="F14" i="68" s="1"/>
  <c r="J14" i="68" a="1"/>
  <c r="J14" i="68" s="1"/>
  <c r="G14" i="68" a="1"/>
  <c r="G14" i="68" s="1"/>
  <c r="V21" i="68" a="1"/>
  <c r="V21" i="68" s="1"/>
  <c r="J21" i="68" a="1"/>
  <c r="J21" i="68" s="1"/>
  <c r="I21" i="68" a="1"/>
  <c r="I21" i="68" s="1"/>
  <c r="H21" i="68" a="1"/>
  <c r="H21" i="68" s="1"/>
  <c r="F21" i="68" a="1"/>
  <c r="F21" i="68" s="1"/>
  <c r="G21" i="68" a="1"/>
  <c r="G21" i="68" s="1"/>
  <c r="S14" i="68" a="1"/>
  <c r="S14" i="68" s="1"/>
  <c r="V14" i="68" a="1"/>
  <c r="V14" i="68" s="1"/>
  <c r="S21" i="68" a="1"/>
  <c r="S21" i="68" s="1"/>
  <c r="K21" i="68" a="1"/>
  <c r="K21" i="68" s="1"/>
  <c r="L21" i="68" a="1"/>
  <c r="L21" i="68" s="1"/>
  <c r="C21" i="68" a="1"/>
  <c r="C21" i="68" s="1"/>
  <c r="D21" i="68" a="1"/>
  <c r="D21" i="68" s="1"/>
  <c r="E21" i="68" a="1"/>
  <c r="E21" i="68" s="1"/>
  <c r="O21" i="68" a="1"/>
  <c r="O21" i="68" s="1"/>
  <c r="N21" i="68" a="1"/>
  <c r="N21" i="68" s="1"/>
  <c r="J39" i="32" a="1"/>
  <c r="J39" i="32" s="1"/>
  <c r="K39" i="32" a="1"/>
  <c r="K39" i="32" s="1"/>
  <c r="H4" i="65"/>
  <c r="K4" i="65" s="1" a="1"/>
  <c r="K4" i="65" s="1"/>
  <c r="O76" i="32"/>
  <c r="O104" i="32" a="1"/>
  <c r="O104" i="32" s="1"/>
  <c r="P104" i="32" a="1"/>
  <c r="P104" i="32" s="1"/>
  <c r="K104" i="32" a="1"/>
  <c r="K104" i="32" s="1"/>
  <c r="J104" i="32" a="1"/>
  <c r="J104" i="32" s="1"/>
  <c r="J156" i="32" s="1"/>
  <c r="O82" i="32"/>
  <c r="S27" i="68" a="1"/>
  <c r="S27" i="68" s="1"/>
  <c r="C27" i="68" a="1"/>
  <c r="C27" i="68" s="1"/>
  <c r="S48" i="68" a="1"/>
  <c r="S48" i="68" s="1"/>
  <c r="V5" i="68" a="1"/>
  <c r="V5" i="68" s="1"/>
  <c r="S5" i="68" a="1"/>
  <c r="S5" i="68" s="1"/>
  <c r="E104" i="32" a="1"/>
  <c r="E104" i="32" s="1"/>
  <c r="P80" i="32" a="1"/>
  <c r="P80" i="32" s="1"/>
  <c r="J80" i="32" a="1"/>
  <c r="J80" i="32" s="1"/>
  <c r="K80" i="32" a="1"/>
  <c r="K80" i="32" s="1"/>
  <c r="CO5" i="76" a="1"/>
  <c r="CO5" i="76" s="1"/>
  <c r="I5" i="68" a="1"/>
  <c r="I5" i="68" s="1"/>
  <c r="O22" i="32" a="1"/>
  <c r="O22" i="32" s="1"/>
  <c r="O6" i="32" a="1"/>
  <c r="O6" i="32" s="1"/>
  <c r="O158" i="32" s="1"/>
  <c r="J22" i="32" a="1"/>
  <c r="J22" i="32" s="1"/>
  <c r="J6" i="32" a="1"/>
  <c r="J6" i="32" s="1"/>
  <c r="J158" i="32" s="1"/>
  <c r="O37" i="32"/>
  <c r="F104" i="32" a="1"/>
  <c r="F104" i="32" s="1"/>
  <c r="F80" i="32" a="1"/>
  <c r="F80" i="32" s="1"/>
  <c r="AE29" i="61" a="1"/>
  <c r="AE29" i="61" s="1"/>
  <c r="AE24" i="61" a="1"/>
  <c r="AE24" i="61" s="1"/>
  <c r="P82" i="32"/>
  <c r="M81" i="29"/>
  <c r="K22" i="32" a="1"/>
  <c r="K22" i="32" s="1"/>
  <c r="BR11" i="76" a="1"/>
  <c r="BR11" i="76" s="1"/>
  <c r="F22" i="32" a="1"/>
  <c r="F22" i="32" s="1"/>
  <c r="BR7" i="76" a="1"/>
  <c r="BR7" i="76" s="1"/>
  <c r="E22" i="32" a="1"/>
  <c r="E22" i="32" s="1"/>
  <c r="BR12" i="76" a="1"/>
  <c r="BR12" i="76" s="1"/>
  <c r="BR13" i="76" a="1"/>
  <c r="BR13" i="76" s="1"/>
  <c r="BR5" i="76" a="1"/>
  <c r="BR5" i="76" s="1"/>
  <c r="BR9" i="76" a="1"/>
  <c r="BR9" i="76" s="1"/>
  <c r="P6" i="32" a="1"/>
  <c r="P6" i="32" s="1"/>
  <c r="P158" i="32" s="1"/>
  <c r="BR14" i="76" a="1"/>
  <c r="BR14" i="76" s="1"/>
  <c r="BR6" i="76" a="1"/>
  <c r="BR6" i="76" s="1"/>
  <c r="K6" i="32" a="1"/>
  <c r="K6" i="32" s="1"/>
  <c r="K158" i="32" s="1"/>
  <c r="BR15" i="76" a="1"/>
  <c r="BR15" i="76" s="1"/>
  <c r="BR16" i="76" a="1"/>
  <c r="BR16" i="76" s="1"/>
  <c r="BR8" i="76" a="1"/>
  <c r="BR8" i="76" s="1"/>
  <c r="P22" i="32" a="1"/>
  <c r="P22"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3" i="32" a="1"/>
  <c r="D93" i="32" s="1"/>
  <c r="D91" i="32" s="1"/>
  <c r="D86" i="32" s="1"/>
  <c r="M152" i="40" a="1"/>
  <c r="M152" i="40" s="1"/>
  <c r="M28" i="40" s="1"/>
  <c r="G152" i="40" a="1"/>
  <c r="G152" i="40" s="1"/>
  <c r="G28" i="40" s="1"/>
  <c r="O152" i="40" a="1"/>
  <c r="O152" i="40" s="1"/>
  <c r="O28" i="40" s="1"/>
  <c r="D152" i="40" a="1"/>
  <c r="D152" i="40" s="1"/>
  <c r="D28" i="40" s="1"/>
  <c r="L152" i="40" a="1"/>
  <c r="L152" i="40" s="1"/>
  <c r="L28" i="40" s="1"/>
  <c r="E152" i="40" a="1"/>
  <c r="E152" i="40" s="1"/>
  <c r="E28" i="40" s="1"/>
  <c r="H152" i="40" a="1"/>
  <c r="H152" i="40" s="1"/>
  <c r="H28" i="40" s="1"/>
  <c r="F152" i="40" a="1"/>
  <c r="F152" i="40" s="1"/>
  <c r="F28" i="40" s="1"/>
  <c r="N152" i="40" a="1"/>
  <c r="N152" i="40" s="1"/>
  <c r="N28" i="40" s="1"/>
  <c r="K152" i="40" a="1"/>
  <c r="K152" i="40" s="1"/>
  <c r="K28" i="40" s="1"/>
  <c r="J152" i="40" a="1"/>
  <c r="J152" i="40" s="1"/>
  <c r="J28" i="40" s="1"/>
  <c r="AI46" i="6"/>
  <c r="AL46" i="6" s="1"/>
  <c r="AJ46" i="6" s="1"/>
  <c r="AK46" i="6" s="1"/>
  <c r="E93" i="32" a="1"/>
  <c r="E93" i="32" s="1"/>
  <c r="I152" i="40" a="1"/>
  <c r="I152" i="40" s="1"/>
  <c r="I28" i="40" s="1"/>
  <c r="P91" i="32"/>
  <c r="P86" i="32" s="1"/>
  <c r="E6" i="32" a="1"/>
  <c r="E6" i="32" s="1"/>
  <c r="E158" i="32" s="1"/>
  <c r="D98" i="32"/>
  <c r="D105" i="32"/>
  <c r="CD31" i="72" a="1"/>
  <c r="CD31" i="72" s="1"/>
  <c r="BB3" i="72" s="1"/>
  <c r="BC3" i="72" s="1"/>
  <c r="O36" i="68"/>
  <c r="I36" i="68"/>
  <c r="Q43" i="10"/>
  <c r="U43" i="10" s="1"/>
  <c r="H33" i="10" s="1"/>
  <c r="G16" i="68" a="1"/>
  <c r="G16" i="68" s="1"/>
  <c r="N16" i="68" a="1"/>
  <c r="N16" i="68" s="1"/>
  <c r="E16" i="68" a="1"/>
  <c r="E16" i="68" s="1"/>
  <c r="BF6" i="57"/>
  <c r="BA6" i="57"/>
  <c r="BS24" i="57"/>
  <c r="BM24" i="57"/>
  <c r="AQ6" i="57"/>
  <c r="BQ24" i="57"/>
  <c r="BN25" i="57"/>
  <c r="BN22" i="57" s="1"/>
  <c r="K16" i="68" a="1"/>
  <c r="K16" i="68" s="1"/>
  <c r="L16" i="68" a="1"/>
  <c r="L16"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6" i="68" a="1"/>
  <c r="H16" i="68" s="1"/>
  <c r="F16" i="68" a="1"/>
  <c r="F16" i="68" s="1"/>
  <c r="M16" i="68" a="1"/>
  <c r="M16" i="68" s="1"/>
  <c r="F23" i="32" a="1"/>
  <c r="F23" i="32" s="1"/>
  <c r="J16" i="68" a="1"/>
  <c r="J16" i="68" s="1"/>
  <c r="P5" i="52"/>
  <c r="Q5" i="52" s="1" a="1"/>
  <c r="Q5" i="52" s="1"/>
  <c r="AO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2" i="68"/>
  <c r="I42" i="68"/>
  <c r="O6" i="71" a="1"/>
  <c r="O6" i="71" s="1"/>
  <c r="BR31" i="72"/>
  <c r="BV31" i="72"/>
  <c r="F50" i="32" a="1"/>
  <c r="F50" i="32" s="1"/>
  <c r="W81" i="29"/>
  <c r="CV49" i="71" a="1"/>
  <c r="CV49" i="71" s="1"/>
  <c r="CX49" i="71" s="1" a="1"/>
  <c r="CX49" i="71" s="1"/>
  <c r="I35" i="13"/>
  <c r="T36" i="81" s="1"/>
  <c r="CV45" i="71" a="1"/>
  <c r="CV45" i="71" s="1"/>
  <c r="CX45" i="71" s="1" a="1"/>
  <c r="CX45" i="71" s="1"/>
  <c r="CZ45" i="71" s="1"/>
  <c r="CV46" i="71" a="1"/>
  <c r="CV46" i="71" s="1"/>
  <c r="CX46" i="71" s="1" a="1"/>
  <c r="CX46" i="71" s="1"/>
  <c r="CZ46" i="71" s="1"/>
  <c r="M42" i="68"/>
  <c r="CV50" i="71" a="1"/>
  <c r="CV50" i="71" s="1"/>
  <c r="CX50" i="71" s="1" a="1"/>
  <c r="CX50" i="71" s="1"/>
  <c r="CZ50" i="71" s="1"/>
  <c r="F42" i="68"/>
  <c r="L42" i="68"/>
  <c r="CV36" i="71" a="1"/>
  <c r="CV36" i="71" s="1"/>
  <c r="CX36" i="71" s="1" a="1"/>
  <c r="CX36" i="71" s="1"/>
  <c r="CZ36" i="71" s="1"/>
  <c r="D42" i="68"/>
  <c r="CV44" i="71" a="1"/>
  <c r="CV44" i="71" s="1"/>
  <c r="CX44" i="71" s="1" a="1"/>
  <c r="CX44" i="71" s="1"/>
  <c r="F39" i="32" a="1"/>
  <c r="F39" i="32" s="1"/>
  <c r="E42" i="68"/>
  <c r="N42" i="68"/>
  <c r="CV41" i="71" a="1"/>
  <c r="CV41" i="71" s="1"/>
  <c r="CX41" i="71" s="1" a="1"/>
  <c r="CX41" i="71" s="1"/>
  <c r="CZ41" i="71" s="1"/>
  <c r="G42" i="68"/>
  <c r="BU31" i="72" a="1"/>
  <c r="BU31" i="72" s="1"/>
  <c r="BT31" i="72" a="1"/>
  <c r="BT31" i="72" s="1"/>
  <c r="CJ31" i="72" a="1"/>
  <c r="CJ31" i="72" s="1"/>
  <c r="BR9" i="72" a="1"/>
  <c r="BR9" i="72" s="1"/>
  <c r="BS9" i="72" s="1"/>
  <c r="BT7" i="72" a="1"/>
  <c r="BT7" i="72" s="1"/>
  <c r="BR7" i="72" a="1"/>
  <c r="BR7" i="72" s="1"/>
  <c r="BS7" i="72" s="1"/>
  <c r="BT6" i="72" a="1"/>
  <c r="BT6" i="72" s="1"/>
  <c r="L38" i="68" a="1"/>
  <c r="L38" i="68" s="1"/>
  <c r="L36" i="68" s="1"/>
  <c r="G115" i="40"/>
  <c r="G116" i="40" s="1"/>
  <c r="G18" i="40" s="1"/>
  <c r="G121" i="40"/>
  <c r="G19" i="40" s="1"/>
  <c r="E115" i="40"/>
  <c r="E116" i="40" s="1"/>
  <c r="E18" i="40" s="1"/>
  <c r="E121" i="40"/>
  <c r="E19" i="40" s="1"/>
  <c r="E54" i="32" a="1"/>
  <c r="E54" i="32" s="1"/>
  <c r="J36" i="68"/>
  <c r="F51" i="32"/>
  <c r="C36" i="68"/>
  <c r="N36" i="68"/>
  <c r="M36" i="68"/>
  <c r="AJ6" i="71" a="1"/>
  <c r="AJ6" i="71" s="1"/>
  <c r="AI6" i="71" s="1"/>
  <c r="D41" i="68" a="1"/>
  <c r="D41" i="68" s="1"/>
  <c r="E56" i="32" a="1"/>
  <c r="E56" i="32" s="1"/>
  <c r="C41" i="68" a="1"/>
  <c r="C41" i="68" s="1"/>
  <c r="E74" i="32" a="1"/>
  <c r="E74" i="32" s="1"/>
  <c r="G36" i="68"/>
  <c r="F74" i="32" a="1"/>
  <c r="F74" i="32" s="1"/>
  <c r="F36" i="68"/>
  <c r="E23" i="32" a="1"/>
  <c r="E23" i="32" s="1"/>
  <c r="O16" i="68" a="1"/>
  <c r="O16" i="68" s="1"/>
  <c r="L5" i="68" a="1"/>
  <c r="L5" i="68" s="1"/>
  <c r="F121" i="40"/>
  <c r="F19" i="40" s="1"/>
  <c r="F115" i="40"/>
  <c r="F116" i="40" s="1"/>
  <c r="F18" i="40" s="1"/>
  <c r="M121" i="40"/>
  <c r="M19" i="40" s="1"/>
  <c r="M115" i="40"/>
  <c r="M116" i="40" s="1"/>
  <c r="M18" i="40" s="1"/>
  <c r="J115" i="40"/>
  <c r="J116" i="40" s="1"/>
  <c r="J18" i="40" s="1"/>
  <c r="J121" i="40"/>
  <c r="J19" i="40" s="1"/>
  <c r="C50" i="40" a="1"/>
  <c r="C50" i="40" s="1"/>
  <c r="F6" i="32" a="1"/>
  <c r="F6" i="32" s="1"/>
  <c r="F158" i="32" s="1"/>
  <c r="O5" i="68" a="1"/>
  <c r="O5" i="68" s="1"/>
  <c r="K5" i="68" a="1"/>
  <c r="K5" i="68" s="1"/>
  <c r="J5" i="68" a="1"/>
  <c r="J5" i="68" s="1"/>
  <c r="C5" i="68" a="1"/>
  <c r="C5" i="68" s="1"/>
  <c r="E6" i="71" a="1"/>
  <c r="E6" i="71" s="1"/>
  <c r="D36" i="68"/>
  <c r="E5" i="68" a="1"/>
  <c r="E5" i="68" s="1"/>
  <c r="O115" i="40"/>
  <c r="O116" i="40" s="1"/>
  <c r="O18" i="40" s="1"/>
  <c r="O121" i="40"/>
  <c r="O19" i="40" s="1"/>
  <c r="AE2" i="61"/>
  <c r="AF1" i="61"/>
  <c r="H42" i="68"/>
  <c r="L121" i="40"/>
  <c r="L19" i="40" s="1"/>
  <c r="L115" i="40"/>
  <c r="L116" i="40" s="1"/>
  <c r="L18" i="40" s="1"/>
  <c r="K36" i="68"/>
  <c r="E36" i="68"/>
  <c r="O5" i="53" a="1"/>
  <c r="O5" i="53" s="1"/>
  <c r="N5" i="68" a="1"/>
  <c r="N5" i="68" s="1"/>
  <c r="J42" i="68"/>
  <c r="H115" i="40"/>
  <c r="H116" i="40" s="1"/>
  <c r="H18" i="40" s="1"/>
  <c r="H121" i="40"/>
  <c r="H19" i="40" s="1"/>
  <c r="N121" i="40"/>
  <c r="N19" i="40" s="1"/>
  <c r="N115" i="40"/>
  <c r="N116" i="40" s="1"/>
  <c r="N18" i="40" s="1"/>
  <c r="O42" i="68"/>
  <c r="O3" i="53" a="1"/>
  <c r="O3" i="53" s="1"/>
  <c r="U44" i="10"/>
  <c r="V44" i="10" s="1"/>
  <c r="D5" i="68" a="1"/>
  <c r="D5" i="68" s="1"/>
  <c r="M5" i="68" a="1"/>
  <c r="M5" i="68" s="1"/>
  <c r="I121" i="40"/>
  <c r="I19" i="40" s="1"/>
  <c r="I115" i="40"/>
  <c r="I116" i="40" s="1"/>
  <c r="I18" i="40" s="1"/>
  <c r="G5" i="68" a="1"/>
  <c r="G5" i="68" s="1"/>
  <c r="E39" i="32" a="1"/>
  <c r="E39" i="32" s="1"/>
  <c r="H5" i="68" a="1"/>
  <c r="H5" i="68" s="1"/>
  <c r="C16" i="68" a="1"/>
  <c r="C16" i="68" s="1"/>
  <c r="F5" i="68" a="1"/>
  <c r="F5" i="68" s="1"/>
  <c r="H36" i="68"/>
  <c r="K115" i="40"/>
  <c r="K116" i="40" s="1"/>
  <c r="K18" i="40" s="1"/>
  <c r="K121" i="40"/>
  <c r="K19" i="40" s="1"/>
  <c r="AJ47" i="29" l="1"/>
  <c r="AG47" i="29"/>
  <c r="J6" i="71"/>
  <c r="AM47" i="29"/>
  <c r="K156" i="32"/>
  <c r="AM24" i="29"/>
  <c r="AB56" i="6"/>
  <c r="AH56" i="6" s="1"/>
  <c r="AJ56" i="6" s="1"/>
  <c r="AK56" i="6" s="1"/>
  <c r="AC56" i="6"/>
  <c r="AJ31" i="29"/>
  <c r="AJ23" i="29"/>
  <c r="AB59" i="6"/>
  <c r="AH59" i="6" s="1"/>
  <c r="AJ59" i="6" s="1"/>
  <c r="AK59" i="6" s="1"/>
  <c r="AC59" i="6"/>
  <c r="AJ42" i="29"/>
  <c r="AB64" i="6"/>
  <c r="AH64" i="6" s="1"/>
  <c r="AC64" i="6"/>
  <c r="AJ50" i="29"/>
  <c r="AC51" i="6"/>
  <c r="AJ18" i="29"/>
  <c r="AB51" i="6"/>
  <c r="AB66" i="6"/>
  <c r="AH66" i="6" s="1"/>
  <c r="AJ66" i="6" s="1"/>
  <c r="AK66" i="6" s="1"/>
  <c r="AC66" i="6"/>
  <c r="AJ56" i="29"/>
  <c r="AC49" i="6"/>
  <c r="AJ16" i="29"/>
  <c r="AB49" i="6"/>
  <c r="AH49" i="6" s="1"/>
  <c r="AB65" i="6"/>
  <c r="AH65" i="6" s="1"/>
  <c r="AJ65" i="6" s="1"/>
  <c r="AK65" i="6" s="1"/>
  <c r="AC65" i="6"/>
  <c r="AJ55" i="29"/>
  <c r="AB55" i="6"/>
  <c r="AH55" i="6" s="1"/>
  <c r="AC55" i="6"/>
  <c r="AJ30" i="29"/>
  <c r="AC52" i="6"/>
  <c r="AJ22" i="29"/>
  <c r="AB52" i="6"/>
  <c r="AH52" i="6" s="1"/>
  <c r="AJ52" i="6" s="1"/>
  <c r="AK52" i="6" s="1"/>
  <c r="AC48" i="6"/>
  <c r="AB48" i="6"/>
  <c r="AH48" i="6" s="1"/>
  <c r="AJ48" i="6" s="1"/>
  <c r="AK48" i="6" s="1"/>
  <c r="AJ6" i="29"/>
  <c r="AD70" i="29"/>
  <c r="AE70" i="29" s="1"/>
  <c r="AG70" i="29" s="1"/>
  <c r="AD48" i="29"/>
  <c r="AE48" i="29" s="1"/>
  <c r="AM30" i="29"/>
  <c r="AD63" i="29"/>
  <c r="AE63" i="29" s="1"/>
  <c r="AG63" i="29" s="1"/>
  <c r="AM23" i="29"/>
  <c r="AB62" i="6"/>
  <c r="AH62" i="6" s="1"/>
  <c r="AJ62" i="6" s="1"/>
  <c r="AK62" i="6" s="1"/>
  <c r="AC62" i="6"/>
  <c r="AB53" i="6"/>
  <c r="AH53" i="6" s="1"/>
  <c r="AC53" i="6"/>
  <c r="AJ24" i="29"/>
  <c r="AM16" i="29"/>
  <c r="AM31" i="29"/>
  <c r="AD17" i="29"/>
  <c r="AE17" i="29" s="1"/>
  <c r="AG17" i="29" s="1"/>
  <c r="AM22" i="29"/>
  <c r="AD27" i="29"/>
  <c r="AE27" i="29" s="1"/>
  <c r="AG27" i="29" s="1"/>
  <c r="AD64" i="29"/>
  <c r="AE64" i="29" s="1"/>
  <c r="AG64" i="29" s="1"/>
  <c r="AD58" i="29"/>
  <c r="AE58" i="29" s="1"/>
  <c r="AG58" i="29" s="1"/>
  <c r="AM6" i="29"/>
  <c r="AM50" i="29"/>
  <c r="AD44" i="29"/>
  <c r="AE44" i="29" s="1"/>
  <c r="AG44" i="29" s="1"/>
  <c r="AD43" i="29"/>
  <c r="AE43" i="29" s="1"/>
  <c r="AG43" i="29" s="1"/>
  <c r="AM18" i="29"/>
  <c r="AM56" i="29"/>
  <c r="AM42" i="29"/>
  <c r="AD39" i="29"/>
  <c r="AE39" i="29" s="1"/>
  <c r="AG39" i="29" s="1"/>
  <c r="AD33" i="29"/>
  <c r="AE33" i="29" s="1"/>
  <c r="AG33" i="29" s="1"/>
  <c r="AD61" i="29"/>
  <c r="AE61" i="29" s="1"/>
  <c r="AG61" i="29" s="1"/>
  <c r="AM55" i="29"/>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H51" i="6"/>
  <c r="P156" i="32"/>
  <c r="O156" i="32"/>
  <c r="P135" i="32"/>
  <c r="P163" i="32"/>
  <c r="P136" i="32"/>
  <c r="P70" i="32"/>
  <c r="P164" i="32" s="1"/>
  <c r="O163" i="32"/>
  <c r="O136" i="32"/>
  <c r="O70" i="32"/>
  <c r="O164" i="32" s="1"/>
  <c r="I25" i="9"/>
  <c r="I23" i="9"/>
  <c r="I24" i="9"/>
  <c r="CG5" i="76" a="1"/>
  <c r="CG5" i="76" s="1"/>
  <c r="AQ6" i="76" s="1"/>
  <c r="AU6" i="76" s="1"/>
  <c r="AV6" i="76" s="1"/>
  <c r="L26" i="58"/>
  <c r="N26" i="58" s="1"/>
  <c r="G26" i="58"/>
  <c r="N25" i="58"/>
  <c r="O25" i="58"/>
  <c r="P25" i="58" s="1" a="1"/>
  <c r="P25" i="58" s="1"/>
  <c r="N24" i="58"/>
  <c r="O24" i="58"/>
  <c r="V20" i="68"/>
  <c r="BO31" i="34" a="1"/>
  <c r="BO31" i="34" s="1"/>
  <c r="BN31" i="34" s="1"/>
  <c r="P139" i="32"/>
  <c r="P140" i="32" s="1"/>
  <c r="BO30" i="34" a="1"/>
  <c r="BO30" i="34" s="1"/>
  <c r="BN30" i="34" s="1"/>
  <c r="H184" i="40" a="1"/>
  <c r="H184" i="40" s="1"/>
  <c r="H185" i="40" s="1"/>
  <c r="H42" i="40" s="1"/>
  <c r="BO25" i="34" a="1"/>
  <c r="BO25" i="34" s="1"/>
  <c r="BN25" i="34" s="1"/>
  <c r="BO26" i="34" a="1"/>
  <c r="BO26" i="34" s="1"/>
  <c r="BN26" i="34" s="1"/>
  <c r="P36" i="6"/>
  <c r="Q35" i="81" s="1"/>
  <c r="G184" i="40" a="1"/>
  <c r="G184" i="40" s="1"/>
  <c r="G185" i="40" s="1"/>
  <c r="G42" i="40" s="1"/>
  <c r="AI45" i="6"/>
  <c r="AL45" i="6" s="1"/>
  <c r="AJ45" i="6" s="1"/>
  <c r="AK45" i="6" s="1"/>
  <c r="V53" i="68" a="1"/>
  <c r="V53" i="68" s="1"/>
  <c r="V55" i="68" a="1"/>
  <c r="V55" i="68" s="1"/>
  <c r="C68"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6" i="68" a="1"/>
  <c r="S26" i="68" s="1"/>
  <c r="S20" i="68" s="1"/>
  <c r="C26" i="68" a="1"/>
  <c r="C26" i="68" s="1"/>
  <c r="K37" i="32"/>
  <c r="J37" i="32"/>
  <c r="J19" i="32" a="1"/>
  <c r="J19" i="32" s="1"/>
  <c r="J18" i="32" s="1" a="1"/>
  <c r="J18" i="32" s="1"/>
  <c r="J17" i="32" s="1"/>
  <c r="K19" i="32" a="1"/>
  <c r="K19" i="32" s="1"/>
  <c r="K18" i="32" s="1" a="1"/>
  <c r="K18" i="32" s="1"/>
  <c r="O73" i="32"/>
  <c r="O153" i="32" s="1"/>
  <c r="O139" i="32"/>
  <c r="O140" i="32" s="1"/>
  <c r="V40" i="68"/>
  <c r="V35" i="68"/>
  <c r="C15" i="68" a="1"/>
  <c r="C15" i="68" s="1"/>
  <c r="S15" i="68" a="1"/>
  <c r="S15" i="68" s="1"/>
  <c r="V48" i="68" a="1"/>
  <c r="V48" i="68" s="1"/>
  <c r="S35" i="68"/>
  <c r="J159" i="32"/>
  <c r="J10" i="32" a="1"/>
  <c r="J10" i="32" s="1"/>
  <c r="O10" i="32" a="1"/>
  <c r="O10" i="32" s="1"/>
  <c r="O8" i="32" s="1"/>
  <c r="O29" i="32" a="1"/>
  <c r="O29" i="32" s="1"/>
  <c r="O28" i="32" s="1"/>
  <c r="J29" i="32" a="1"/>
  <c r="J29" i="32" s="1"/>
  <c r="J28" i="32" s="1"/>
  <c r="O18" i="32" a="1"/>
  <c r="O18" i="32" s="1"/>
  <c r="O17" i="32" s="1"/>
  <c r="E29" i="32" a="1"/>
  <c r="E29" i="32" s="1"/>
  <c r="P29" i="32" a="1"/>
  <c r="P29" i="32" s="1"/>
  <c r="P28" i="32" s="1"/>
  <c r="K10" i="32" a="1"/>
  <c r="K10" i="32" s="1"/>
  <c r="K29" i="32" a="1"/>
  <c r="K29" i="32" s="1"/>
  <c r="P10" i="32" a="1"/>
  <c r="P10" i="32" s="1"/>
  <c r="P18" i="32" a="1"/>
  <c r="P18"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8" i="40"/>
  <c r="CV47" i="71" a="1"/>
  <c r="CV47" i="71" s="1"/>
  <c r="CX47" i="71" s="1" a="1"/>
  <c r="CX47" i="71" s="1"/>
  <c r="CZ47" i="71" s="1"/>
  <c r="E91" i="32"/>
  <c r="F91" i="32"/>
  <c r="D97"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U65" i="10"/>
  <c r="V65" i="10" s="1"/>
  <c r="BO7" i="73"/>
  <c r="BP6" i="73"/>
  <c r="BQ6" i="73" a="1"/>
  <c r="BQ6" i="73" s="1"/>
  <c r="BS6" i="73" a="1"/>
  <c r="BS6" i="73" s="1"/>
  <c r="BS7" i="73" s="1"/>
  <c r="AZ8" i="73"/>
  <c r="F49" i="32"/>
  <c r="CV40" i="71" a="1"/>
  <c r="CV40" i="71" s="1"/>
  <c r="CX40" i="71" s="1" a="1"/>
  <c r="CX40" i="71" s="1"/>
  <c r="CZ40" i="71" s="1"/>
  <c r="BK8" i="72"/>
  <c r="CT31" i="72" a="1"/>
  <c r="CB31" i="72" a="1"/>
  <c r="CB31" i="72" s="1"/>
  <c r="C23" i="40"/>
  <c r="P76" i="32"/>
  <c r="P73" i="32" s="1"/>
  <c r="V47" i="68" s="1"/>
  <c r="F50" i="40" a="1"/>
  <c r="F50" i="40" s="1"/>
  <c r="E50" i="40" a="1"/>
  <c r="E50" i="40" s="1"/>
  <c r="G50" i="40" a="1"/>
  <c r="G50" i="40" s="1"/>
  <c r="D50" i="40" a="1"/>
  <c r="D50" i="40" s="1"/>
  <c r="E51" i="32"/>
  <c r="E50" i="32" a="1"/>
  <c r="E50" i="32" s="1"/>
  <c r="G153" i="40" a="1"/>
  <c r="G153" i="40" s="1"/>
  <c r="G154" i="40" a="1"/>
  <c r="G154" i="40" s="1"/>
  <c r="CZ49" i="71"/>
  <c r="CV5" i="71" a="1"/>
  <c r="CV5" i="71" s="1"/>
  <c r="H50" i="40" a="1"/>
  <c r="H50" i="40" s="1"/>
  <c r="I1" i="40"/>
  <c r="CZ44" i="71"/>
  <c r="C55" i="40"/>
  <c r="AF2" i="61"/>
  <c r="AG1" i="61"/>
  <c r="P105" i="32"/>
  <c r="AY6" i="71" a="1"/>
  <c r="AY6" i="71" s="1"/>
  <c r="W5" i="53" a="1"/>
  <c r="W5" i="53" s="1"/>
  <c r="K154" i="40" a="1"/>
  <c r="K154" i="40" s="1"/>
  <c r="O154" i="40" a="1"/>
  <c r="O154" i="40" s="1"/>
  <c r="AG48" i="29" l="1"/>
  <c r="AC63" i="6" s="1"/>
  <c r="AI64" i="6"/>
  <c r="AL64" i="6" s="1"/>
  <c r="AI51" i="6"/>
  <c r="AL51" i="6" s="1"/>
  <c r="AI55" i="6"/>
  <c r="AL55" i="6" s="1"/>
  <c r="AJ64" i="6"/>
  <c r="AK64" i="6" s="1"/>
  <c r="AI56" i="6"/>
  <c r="AL56" i="6" s="1"/>
  <c r="AC54" i="6"/>
  <c r="AM27" i="29"/>
  <c r="AC50" i="6"/>
  <c r="AM17" i="29"/>
  <c r="AJ17" i="29"/>
  <c r="AB50" i="6"/>
  <c r="AH50" i="6" s="1"/>
  <c r="AM64" i="29"/>
  <c r="AJ64" i="29"/>
  <c r="AI49" i="6"/>
  <c r="AL49" i="6" s="1"/>
  <c r="AJ55" i="6"/>
  <c r="AK55" i="6" s="1"/>
  <c r="AI65" i="6"/>
  <c r="AL65" i="6" s="1"/>
  <c r="AJ39" i="29"/>
  <c r="AM39" i="29"/>
  <c r="AI53" i="6"/>
  <c r="AL53" i="6" s="1"/>
  <c r="AI48" i="6"/>
  <c r="AL48" i="6" s="1"/>
  <c r="AI52" i="6"/>
  <c r="AL52" i="6" s="1"/>
  <c r="AJ53" i="6"/>
  <c r="AK53" i="6" s="1"/>
  <c r="AC71" i="6"/>
  <c r="AB71" i="6"/>
  <c r="AH71" i="6" s="1"/>
  <c r="AJ70" i="29"/>
  <c r="AM70" i="29"/>
  <c r="AC68" i="6"/>
  <c r="AM61" i="29"/>
  <c r="AB68" i="6"/>
  <c r="AH68" i="6" s="1"/>
  <c r="AJ68" i="6" s="1"/>
  <c r="AK68" i="6" s="1"/>
  <c r="AJ61" i="29"/>
  <c r="AC57" i="6"/>
  <c r="BT31" i="73" a="1"/>
  <c r="BT31" i="73" s="1"/>
  <c r="BV31" i="73" s="1" a="1"/>
  <c r="BV31" i="73" s="1"/>
  <c r="CA31" i="73" a="1"/>
  <c r="CA31" i="73" s="1"/>
  <c r="BB3" i="73" s="1"/>
  <c r="BC3" i="73" s="1"/>
  <c r="BD3" i="73" s="1"/>
  <c r="AM33" i="29"/>
  <c r="AJ33" i="29"/>
  <c r="AB57" i="6"/>
  <c r="AH57" i="6" s="1"/>
  <c r="AC60" i="6"/>
  <c r="AB60" i="6"/>
  <c r="AH60" i="6" s="1"/>
  <c r="AJ43" i="29"/>
  <c r="AM43" i="29"/>
  <c r="AC67" i="6"/>
  <c r="AM58" i="29"/>
  <c r="AB67" i="6"/>
  <c r="AH67" i="6" s="1"/>
  <c r="AJ58" i="29"/>
  <c r="AB69" i="6"/>
  <c r="AH69" i="6" s="1"/>
  <c r="AJ69" i="6" s="1"/>
  <c r="AK69" i="6" s="1"/>
  <c r="AC69" i="6"/>
  <c r="AJ63" i="29"/>
  <c r="AM63" i="29"/>
  <c r="AM48" i="29"/>
  <c r="AB61" i="6"/>
  <c r="AH61" i="6" s="1"/>
  <c r="AJ61" i="6" s="1"/>
  <c r="AK61" i="6" s="1"/>
  <c r="AC61" i="6"/>
  <c r="AM44" i="29"/>
  <c r="AI59" i="6"/>
  <c r="AL59" i="6" s="1"/>
  <c r="AJ27" i="29"/>
  <c r="AB58" i="6"/>
  <c r="AH58" i="6" s="1"/>
  <c r="AJ58" i="6" s="1"/>
  <c r="AK58" i="6" s="1"/>
  <c r="AC58" i="6"/>
  <c r="AI62" i="6"/>
  <c r="AL62" i="6" s="1"/>
  <c r="AJ44" i="29"/>
  <c r="AB70" i="6"/>
  <c r="AH70" i="6" s="1"/>
  <c r="AJ70" i="6" s="1"/>
  <c r="AK70" i="6" s="1"/>
  <c r="AC70" i="6"/>
  <c r="AI66" i="6"/>
  <c r="AL66" i="6" s="1"/>
  <c r="AB54" i="6"/>
  <c r="AH54" i="6" s="1"/>
  <c r="AJ48" i="29"/>
  <c r="AB63" i="6"/>
  <c r="AH63" i="6" s="1"/>
  <c r="AJ63" i="6" s="1"/>
  <c r="AK63" i="6" s="1"/>
  <c r="AM13" i="83"/>
  <c r="P24" i="58" a="1"/>
  <c r="P24" i="58" s="1"/>
  <c r="AJ49" i="6"/>
  <c r="AK49" i="6" s="1"/>
  <c r="AG4" i="61"/>
  <c r="AG5" i="61"/>
  <c r="AJ51" i="6"/>
  <c r="AK51" i="6" s="1"/>
  <c r="I184" i="40" a="1"/>
  <c r="I184" i="40" s="1"/>
  <c r="I185" i="40" s="1"/>
  <c r="I42" i="40" s="1"/>
  <c r="H8" i="47"/>
  <c r="H6" i="47"/>
  <c r="H4" i="47"/>
  <c r="H2" i="47"/>
  <c r="G4" i="47"/>
  <c r="J78" i="32" s="1"/>
  <c r="G2" i="47"/>
  <c r="K99" i="32" s="1"/>
  <c r="G8" i="47"/>
  <c r="J79" i="32" s="1"/>
  <c r="G6" i="47"/>
  <c r="J102"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141" i="32"/>
  <c r="P142" i="32" s="1"/>
  <c r="BL10" i="72"/>
  <c r="BL9" i="72"/>
  <c r="BG9" i="72"/>
  <c r="BG10" i="72"/>
  <c r="BG11" i="72"/>
  <c r="BG12" i="72"/>
  <c r="BG13" i="72"/>
  <c r="BG14" i="72"/>
  <c r="AU8" i="72"/>
  <c r="AU9" i="72"/>
  <c r="AU10" i="72"/>
  <c r="AU11" i="72"/>
  <c r="AU12" i="72"/>
  <c r="AU13" i="72"/>
  <c r="AU14" i="72"/>
  <c r="P21" i="49"/>
  <c r="O165" i="32"/>
  <c r="O135" i="32"/>
  <c r="O137" i="32"/>
  <c r="O133" i="32"/>
  <c r="F136" i="32"/>
  <c r="F163" i="32"/>
  <c r="F135" i="32"/>
  <c r="F137" i="32"/>
  <c r="V11" i="68"/>
  <c r="V10" i="68" s="1"/>
  <c r="K130" i="32"/>
  <c r="K159" i="32"/>
  <c r="F156" i="32"/>
  <c r="P165" i="32"/>
  <c r="J130" i="32"/>
  <c r="O143" i="32"/>
  <c r="O144" i="32" s="1"/>
  <c r="P133" i="32"/>
  <c r="P153"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0" i="32"/>
  <c r="F164"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4" i="40" a="1"/>
  <c r="D154" i="40" s="1"/>
  <c r="BK22" i="34" a="1"/>
  <c r="BK22" i="34" s="1"/>
  <c r="BL22" i="34" s="1" a="1"/>
  <c r="BL22" i="34" s="1"/>
  <c r="CV7" i="71" a="1"/>
  <c r="CV7" i="71" s="1"/>
  <c r="CW7" i="71" s="1"/>
  <c r="BO9" i="73"/>
  <c r="BP9" i="73" s="1"/>
  <c r="BS8" i="73" a="1"/>
  <c r="BS8" i="73" s="1"/>
  <c r="BS9" i="73" s="1"/>
  <c r="BQ8" i="73" a="1"/>
  <c r="BQ8" i="73" s="1"/>
  <c r="BR8" i="73" s="1"/>
  <c r="BR6" i="73"/>
  <c r="BQ7" i="73"/>
  <c r="BR7" i="73" s="1"/>
  <c r="BP7" i="73"/>
  <c r="BQ10" i="73"/>
  <c r="BR10" i="73" s="1"/>
  <c r="BA8" i="73"/>
  <c r="BD3" i="72"/>
  <c r="BL8" i="72"/>
  <c r="CT31" i="72"/>
  <c r="J154" i="40" a="1"/>
  <c r="J154" i="40" s="1"/>
  <c r="I154" i="40" a="1"/>
  <c r="I154" i="40" s="1"/>
  <c r="E76" i="32"/>
  <c r="BQ20" i="72"/>
  <c r="BQ26" i="72"/>
  <c r="BQ17" i="72"/>
  <c r="BQ18" i="72"/>
  <c r="BQ25" i="72"/>
  <c r="BQ21" i="72"/>
  <c r="BQ19" i="72"/>
  <c r="BQ24" i="72"/>
  <c r="BQ15" i="72"/>
  <c r="BQ22" i="72"/>
  <c r="BQ23" i="72"/>
  <c r="F76" i="32"/>
  <c r="I50" i="40" a="1"/>
  <c r="I50" i="40" s="1"/>
  <c r="J1" i="40"/>
  <c r="J184" i="40" s="1" a="1"/>
  <c r="J184" i="40" s="1"/>
  <c r="J185" i="40" s="1"/>
  <c r="J42" i="40" s="1"/>
  <c r="F105" i="32"/>
  <c r="N153" i="40" a="1"/>
  <c r="N153" i="40" s="1"/>
  <c r="M153" i="40" a="1"/>
  <c r="M153" i="40" s="1"/>
  <c r="D153" i="40" a="1"/>
  <c r="D153" i="40" s="1"/>
  <c r="G38" i="40"/>
  <c r="G37" i="40" s="1"/>
  <c r="G29" i="40"/>
  <c r="G22" i="40" s="1"/>
  <c r="K153" i="40" a="1"/>
  <c r="K153" i="40" s="1"/>
  <c r="N154" i="40" a="1"/>
  <c r="N154" i="40" s="1"/>
  <c r="M154" i="40" a="1"/>
  <c r="M154" i="40" s="1"/>
  <c r="E86" i="32"/>
  <c r="K105" i="32"/>
  <c r="E105" i="32"/>
  <c r="AG2" i="61"/>
  <c r="AH1" i="61"/>
  <c r="CY5" i="71" a="1"/>
  <c r="CY5" i="71" s="1"/>
  <c r="DB5" i="71" s="1"/>
  <c r="L154" i="40" a="1"/>
  <c r="L154" i="40" s="1"/>
  <c r="E49" i="32"/>
  <c r="J153" i="40" a="1"/>
  <c r="J153" i="40" s="1"/>
  <c r="I153" i="40" a="1"/>
  <c r="I153" i="40" s="1"/>
  <c r="L153" i="40" a="1"/>
  <c r="L153" i="40" s="1"/>
  <c r="H153" i="40" a="1"/>
  <c r="H153" i="40" s="1"/>
  <c r="F86" i="32"/>
  <c r="D63" i="40"/>
  <c r="D55" i="40"/>
  <c r="D7" i="40" s="1"/>
  <c r="D77" i="40"/>
  <c r="D78" i="40" s="1"/>
  <c r="D14" i="40" s="1"/>
  <c r="H154" i="40" a="1"/>
  <c r="H154" i="40" s="1"/>
  <c r="F154" i="40" a="1"/>
  <c r="F154" i="40" s="1"/>
  <c r="O153" i="40" a="1"/>
  <c r="O153" i="40" s="1"/>
  <c r="F153" i="40" a="1"/>
  <c r="F153" i="40" s="1"/>
  <c r="C64" i="40"/>
  <c r="C120" i="40"/>
  <c r="AD5" i="53" a="1"/>
  <c r="AD5" i="53" s="1"/>
  <c r="F29" i="32" a="1"/>
  <c r="F29" i="32" s="1"/>
  <c r="E154" i="40" a="1"/>
  <c r="E154" i="40" s="1"/>
  <c r="C130" i="40"/>
  <c r="E10" i="32" a="1"/>
  <c r="E10" i="32" s="1"/>
  <c r="P37" i="32"/>
  <c r="E153" i="40" a="1"/>
  <c r="E153" i="40" s="1"/>
  <c r="AI50" i="6" l="1"/>
  <c r="AL50" i="6" s="1"/>
  <c r="AI61" i="6"/>
  <c r="AL61" i="6" s="1"/>
  <c r="AI60" i="6"/>
  <c r="AL60" i="6" s="1"/>
  <c r="AI70" i="6"/>
  <c r="AL70" i="6" s="1"/>
  <c r="E25" i="46" s="1" a="1"/>
  <c r="E25" i="46" s="1"/>
  <c r="AI71" i="6"/>
  <c r="AL71" i="6" s="1"/>
  <c r="AI67" i="6"/>
  <c r="AL67" i="6" s="1"/>
  <c r="AI54" i="6"/>
  <c r="AL54" i="6" s="1"/>
  <c r="AI68" i="6"/>
  <c r="AL68" i="6" s="1"/>
  <c r="E26" i="46" s="1" a="1"/>
  <c r="E26" i="46" s="1"/>
  <c r="AI69" i="6"/>
  <c r="AL69" i="6" s="1"/>
  <c r="AJ60" i="6"/>
  <c r="AK60" i="6" s="1"/>
  <c r="AI63" i="6"/>
  <c r="AL63" i="6" s="1"/>
  <c r="F26" i="46" s="1" a="1"/>
  <c r="F26" i="46" s="1"/>
  <c r="AM48" i="6"/>
  <c r="AN48" i="6" s="1"/>
  <c r="AO48" i="6" s="1"/>
  <c r="AT3" i="73"/>
  <c r="AU3" i="73" s="1"/>
  <c r="AI58" i="6"/>
  <c r="AL58" i="6" s="1"/>
  <c r="AI57" i="6"/>
  <c r="AL57" i="6" s="1"/>
  <c r="BF3" i="73"/>
  <c r="AH5" i="61"/>
  <c r="AH4" i="61"/>
  <c r="AJ71" i="6"/>
  <c r="AK71" i="6" s="1"/>
  <c r="AJ67" i="6"/>
  <c r="AK67" i="6" s="1"/>
  <c r="AJ54" i="6"/>
  <c r="AK54" i="6" s="1"/>
  <c r="AJ57" i="6"/>
  <c r="AK57" i="6" s="1"/>
  <c r="AJ50" i="6"/>
  <c r="AK50" i="6" s="1"/>
  <c r="K102" i="32"/>
  <c r="J99" i="32"/>
  <c r="K78" i="32"/>
  <c r="K79" i="32"/>
  <c r="AM55" i="6"/>
  <c r="AN55" i="6" s="1"/>
  <c r="AO55" i="6" s="1"/>
  <c r="AM56" i="6"/>
  <c r="AN56" i="6" s="1"/>
  <c r="AO56" i="6" s="1"/>
  <c r="AM59" i="6"/>
  <c r="AN59" i="6" s="1"/>
  <c r="AO59" i="6" s="1"/>
  <c r="AM63" i="6"/>
  <c r="AN63" i="6" s="1"/>
  <c r="AO63" i="6" s="1"/>
  <c r="AM68" i="6"/>
  <c r="AN68" i="6" s="1"/>
  <c r="AO68" i="6" s="1"/>
  <c r="AD68" i="6" s="1" a="1"/>
  <c r="AD68" i="6" s="1"/>
  <c r="AM69" i="6"/>
  <c r="AN69" i="6" s="1"/>
  <c r="AO69" i="6" s="1"/>
  <c r="AD69" i="6" s="1" a="1"/>
  <c r="AD69" i="6" s="1"/>
  <c r="AM46" i="6" a="1"/>
  <c r="AM46" i="6" s="1"/>
  <c r="AN46" i="6" s="1" a="1"/>
  <c r="AN46" i="6" s="1"/>
  <c r="AO46" i="6" s="1"/>
  <c r="AM45" i="6" a="1"/>
  <c r="AM45" i="6" s="1"/>
  <c r="AN45" i="6" s="1" a="1"/>
  <c r="AN45" i="6" s="1"/>
  <c r="AO45" i="6" s="1"/>
  <c r="AH29" i="61" a="1"/>
  <c r="AH29" i="61" s="1"/>
  <c r="P130" i="32"/>
  <c r="P159" i="32"/>
  <c r="CB25" i="57" a="1"/>
  <c r="CB25" i="57" s="1"/>
  <c r="AS7" i="57"/>
  <c r="AS8" i="57"/>
  <c r="AS9" i="57"/>
  <c r="BB10" i="73"/>
  <c r="BB9" i="73"/>
  <c r="AT8" i="73"/>
  <c r="AT9" i="73"/>
  <c r="AT10" i="73"/>
  <c r="CC25" i="57" a="1"/>
  <c r="CC25" i="57" s="1"/>
  <c r="K9" i="32" a="1"/>
  <c r="K9" i="32" s="1"/>
  <c r="AK21" i="49"/>
  <c r="AK20" i="49" a="1"/>
  <c r="AK20" i="49" s="1"/>
  <c r="E163" i="32"/>
  <c r="E136" i="32"/>
  <c r="E137" i="32"/>
  <c r="E135" i="32"/>
  <c r="E156" i="32"/>
  <c r="V18" i="68"/>
  <c r="V30" i="68" s="1"/>
  <c r="V31" i="68" s="1"/>
  <c r="V19" i="68"/>
  <c r="J9" i="32" a="1"/>
  <c r="J9" i="32" s="1"/>
  <c r="J8" i="32" s="1"/>
  <c r="O12" i="68" a="1"/>
  <c r="O12" i="68" s="1"/>
  <c r="S12" i="68" a="1"/>
  <c r="S12" i="68" s="1"/>
  <c r="C12" i="68" a="1"/>
  <c r="C12" i="68" s="1"/>
  <c r="C40" i="68" s="1"/>
  <c r="O141" i="32"/>
  <c r="O142" i="32" s="1"/>
  <c r="O145" i="32" s="1"/>
  <c r="O159" i="32"/>
  <c r="O16" i="32"/>
  <c r="O130"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Y7" i="71" a="1"/>
  <c r="CY7" i="71" s="1"/>
  <c r="DA7" i="71" s="1"/>
  <c r="L33" i="68" a="1"/>
  <c r="L33" i="68" s="1"/>
  <c r="BT9" i="76"/>
  <c r="BU9" i="76" s="1"/>
  <c r="AZ5" i="76"/>
  <c r="BD5" i="76" s="1"/>
  <c r="BE5" i="76" s="1"/>
  <c r="CP5" i="76" a="1"/>
  <c r="CP5" i="76" s="1"/>
  <c r="BQ9" i="73"/>
  <c r="BR9" i="73" s="1"/>
  <c r="BQ12" i="73" a="1"/>
  <c r="BQ12" i="73" s="1"/>
  <c r="BO13" i="73" a="1"/>
  <c r="BO13" i="73" s="1"/>
  <c r="E19" i="32" a="1"/>
  <c r="E19" i="32" s="1"/>
  <c r="CV37" i="71" a="1"/>
  <c r="CV37" i="71" s="1"/>
  <c r="CX37" i="71" s="1" a="1"/>
  <c r="CX37" i="71" s="1"/>
  <c r="AS5" i="72"/>
  <c r="AU5" i="72"/>
  <c r="AU6" i="72"/>
  <c r="BE3" i="72"/>
  <c r="BG3" i="72" s="1"/>
  <c r="BF3" i="72" s="1"/>
  <c r="CU31" i="72" a="1"/>
  <c r="CU31" i="72" s="1"/>
  <c r="BG8" i="72"/>
  <c r="AS6" i="72"/>
  <c r="F19" i="32" a="1"/>
  <c r="F19" i="32" s="1"/>
  <c r="F18" i="32" s="1" a="1"/>
  <c r="F18" i="32" s="1"/>
  <c r="BP8" i="72" a="1"/>
  <c r="BP8" i="72" s="1"/>
  <c r="BS23" i="72"/>
  <c r="BR12" i="72" a="1"/>
  <c r="BR12" i="72" s="1"/>
  <c r="BS16" i="72"/>
  <c r="BS19" i="72"/>
  <c r="BS18" i="72"/>
  <c r="BS21" i="72"/>
  <c r="BS26" i="72"/>
  <c r="BP13" i="72" a="1"/>
  <c r="BP13" i="72" s="1"/>
  <c r="BS25" i="72"/>
  <c r="BS20" i="72"/>
  <c r="CV48" i="71" a="1"/>
  <c r="CV48" i="71" s="1"/>
  <c r="CX48" i="71" s="1" a="1"/>
  <c r="CX48" i="71" s="1"/>
  <c r="CZ48" i="71" s="1"/>
  <c r="BS22" i="72"/>
  <c r="BQ16" i="72"/>
  <c r="BS15" i="72"/>
  <c r="BS17" i="72"/>
  <c r="BS24" i="72"/>
  <c r="E38" i="40"/>
  <c r="E37" i="40" s="1"/>
  <c r="E29" i="40"/>
  <c r="E22" i="40" s="1"/>
  <c r="M38" i="40"/>
  <c r="M37" i="40" s="1"/>
  <c r="M29" i="40"/>
  <c r="M22" i="40" s="1"/>
  <c r="C7" i="40"/>
  <c r="H38" i="40"/>
  <c r="H37" i="40" s="1"/>
  <c r="H29" i="40"/>
  <c r="H22" i="40" s="1"/>
  <c r="E70" i="32"/>
  <c r="E164" i="32" s="1"/>
  <c r="E37" i="32"/>
  <c r="D102" i="40"/>
  <c r="D64" i="40"/>
  <c r="K38" i="40"/>
  <c r="K37" i="40" s="1"/>
  <c r="K29" i="40"/>
  <c r="K22" i="40" s="1"/>
  <c r="N38" i="40"/>
  <c r="N37" i="40" s="1"/>
  <c r="N29" i="40"/>
  <c r="N22" i="40" s="1"/>
  <c r="AH2" i="61"/>
  <c r="AI1" i="61"/>
  <c r="H34" i="68" a="1"/>
  <c r="H34" i="68" s="1"/>
  <c r="H33" i="68" a="1"/>
  <c r="H33" i="68" s="1"/>
  <c r="I29" i="40"/>
  <c r="I22" i="40" s="1"/>
  <c r="I38" i="40"/>
  <c r="I37" i="40" s="1"/>
  <c r="D38" i="40"/>
  <c r="D29" i="40"/>
  <c r="F37" i="32"/>
  <c r="K28" i="32"/>
  <c r="L38" i="40"/>
  <c r="L37" i="40" s="1"/>
  <c r="L29" i="40"/>
  <c r="L22" i="40" s="1"/>
  <c r="F38" i="40"/>
  <c r="F37" i="40" s="1"/>
  <c r="F29" i="40"/>
  <c r="F22" i="40" s="1"/>
  <c r="O38" i="40"/>
  <c r="O37" i="40" s="1"/>
  <c r="O29" i="40"/>
  <c r="O22" i="40" s="1"/>
  <c r="J38" i="40"/>
  <c r="J37" i="40" s="1"/>
  <c r="J29" i="40"/>
  <c r="J22" i="40" s="1"/>
  <c r="BS14" i="76" a="1"/>
  <c r="BS14" i="76" s="1"/>
  <c r="J50" i="40" a="1"/>
  <c r="J50" i="40" s="1"/>
  <c r="K1" i="40"/>
  <c r="K184" i="40" s="1" a="1"/>
  <c r="K184" i="40" s="1"/>
  <c r="K185" i="40" s="1"/>
  <c r="K42" i="40" s="1"/>
  <c r="G24" i="46" l="1" a="1"/>
  <c r="G24" i="46" s="1"/>
  <c r="J8" i="3" s="1"/>
  <c r="E24" i="46" a="1"/>
  <c r="E24" i="46" s="1"/>
  <c r="E4" i="46" s="1"/>
  <c r="F25" i="46" a="1"/>
  <c r="F25" i="46" s="1"/>
  <c r="F24" i="46" a="1"/>
  <c r="F24" i="46" s="1"/>
  <c r="G25" i="46" a="1"/>
  <c r="G25" i="46" s="1"/>
  <c r="J7" i="3" s="1"/>
  <c r="G26" i="46" a="1"/>
  <c r="G26" i="46" s="1"/>
  <c r="J6" i="3" s="1"/>
  <c r="AM58" i="6"/>
  <c r="AN58" i="6" s="1"/>
  <c r="AO58" i="6" s="1"/>
  <c r="AY48" i="6"/>
  <c r="AV3" i="73"/>
  <c r="AW3" i="73" s="1" a="1"/>
  <c r="AW3" i="73" s="1"/>
  <c r="AD56" i="6" a="1"/>
  <c r="AD56" i="6" s="1"/>
  <c r="AD55" i="6" a="1"/>
  <c r="AD55" i="6" s="1"/>
  <c r="AD63" i="6" a="1"/>
  <c r="AD63" i="6" s="1"/>
  <c r="AD59" i="6" a="1"/>
  <c r="AD59" i="6" s="1"/>
  <c r="AD48" i="6" a="1"/>
  <c r="AD48" i="6" s="1"/>
  <c r="AM70" i="6"/>
  <c r="AN70" i="6" s="1"/>
  <c r="AO70" i="6" s="1"/>
  <c r="AM71" i="6"/>
  <c r="AN71" i="6" s="1"/>
  <c r="AO71" i="6" s="1"/>
  <c r="AD71" i="6" s="1" a="1"/>
  <c r="AD71" i="6" s="1"/>
  <c r="AM53" i="6"/>
  <c r="AN53" i="6" s="1"/>
  <c r="AO53" i="6" s="1"/>
  <c r="AM67" i="6"/>
  <c r="AN67" i="6" s="1"/>
  <c r="AO67" i="6" s="1"/>
  <c r="AD67" i="6" s="1" a="1"/>
  <c r="AD67" i="6" s="1"/>
  <c r="AM61" i="6"/>
  <c r="AN61" i="6" s="1"/>
  <c r="AO61" i="6" s="1"/>
  <c r="AM60" i="6"/>
  <c r="AN60" i="6" s="1"/>
  <c r="AO60" i="6" s="1"/>
  <c r="AM66" i="6"/>
  <c r="AN66" i="6" s="1"/>
  <c r="AO66" i="6" s="1"/>
  <c r="AM54" i="6"/>
  <c r="AN54" i="6" s="1"/>
  <c r="AO54" i="6" s="1"/>
  <c r="AM62" i="6"/>
  <c r="AN62" i="6" s="1"/>
  <c r="AO62" i="6" s="1"/>
  <c r="AI5" i="61"/>
  <c r="AI4" i="61"/>
  <c r="AM65" i="6"/>
  <c r="AN65" i="6" s="1"/>
  <c r="AO65" i="6" s="1"/>
  <c r="AM51" i="6"/>
  <c r="AN51" i="6" s="1"/>
  <c r="AO51" i="6" s="1"/>
  <c r="AM64" i="6"/>
  <c r="AN64" i="6" s="1"/>
  <c r="AO64" i="6" s="1"/>
  <c r="AM52" i="6"/>
  <c r="AN52" i="6" s="1"/>
  <c r="AO52" i="6" s="1"/>
  <c r="AM50" i="6"/>
  <c r="AN50" i="6" s="1"/>
  <c r="AO50" i="6" s="1"/>
  <c r="AM49" i="6"/>
  <c r="AN49" i="6" s="1"/>
  <c r="AO49" i="6" s="1"/>
  <c r="AM57" i="6"/>
  <c r="AN57" i="6" s="1"/>
  <c r="AO57" i="6" s="1"/>
  <c r="D103" i="40"/>
  <c r="D16" i="40" s="1"/>
  <c r="C16" i="40" s="1"/>
  <c r="D69" i="40"/>
  <c r="D11" i="40" s="1"/>
  <c r="D34" i="40" s="1"/>
  <c r="E69" i="40"/>
  <c r="E11" i="40" s="1"/>
  <c r="E34" i="40" s="1"/>
  <c r="F69" i="40"/>
  <c r="F11" i="40" s="1"/>
  <c r="F34" i="40" s="1"/>
  <c r="G69" i="40"/>
  <c r="G11" i="40" s="1"/>
  <c r="G34" i="40" s="1"/>
  <c r="H69" i="40"/>
  <c r="H11" i="40" s="1"/>
  <c r="H34" i="40" s="1"/>
  <c r="I69" i="40"/>
  <c r="I11" i="40" s="1"/>
  <c r="I34" i="40" s="1"/>
  <c r="J69" i="40"/>
  <c r="J11" i="40" s="1"/>
  <c r="J34" i="40" s="1"/>
  <c r="K69" i="40"/>
  <c r="K11" i="40" s="1"/>
  <c r="K34" i="40" s="1"/>
  <c r="L69" i="40"/>
  <c r="L11" i="40" s="1"/>
  <c r="L34" i="40" s="1"/>
  <c r="M69" i="40"/>
  <c r="M11" i="40" s="1"/>
  <c r="M34" i="40" s="1"/>
  <c r="N69" i="40"/>
  <c r="N11" i="40" s="1"/>
  <c r="N34" i="40" s="1"/>
  <c r="O69" i="40"/>
  <c r="O11" i="40" s="1"/>
  <c r="O34" i="40" s="1"/>
  <c r="BM25" i="57" a="1"/>
  <c r="BM25" i="57" s="1"/>
  <c r="BM22" i="57" s="1"/>
  <c r="AN7" i="57"/>
  <c r="AN8" i="57"/>
  <c r="AN9" i="57"/>
  <c r="CD25" i="57" a="1"/>
  <c r="CD25" i="57" s="1"/>
  <c r="CC21" i="57" s="1"/>
  <c r="CD21" i="57" s="1"/>
  <c r="AU8" i="57"/>
  <c r="AU9" i="57"/>
  <c r="AU7" i="57"/>
  <c r="BA8" i="76"/>
  <c r="BA6" i="76"/>
  <c r="BA7" i="76"/>
  <c r="BA9" i="76"/>
  <c r="CP6" i="71" a="1"/>
  <c r="CP6" i="71" s="1"/>
  <c r="CS6" i="71" s="1" a="1"/>
  <c r="CS6" i="71" s="1"/>
  <c r="CQ6" i="71" s="1" a="1"/>
  <c r="CQ6" i="71" s="1"/>
  <c r="CR6" i="71" s="1"/>
  <c r="AT8" i="57"/>
  <c r="AT7" i="57"/>
  <c r="AT9" i="57"/>
  <c r="AU6" i="57"/>
  <c r="V6" i="68"/>
  <c r="V7" i="68" s="1"/>
  <c r="V8" i="68" s="1"/>
  <c r="S40" i="68"/>
  <c r="S11" i="68"/>
  <c r="O121" i="32"/>
  <c r="O160" i="32"/>
  <c r="O36" i="32"/>
  <c r="J143" i="32"/>
  <c r="J144" i="32" s="1"/>
  <c r="J16"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I6" i="71"/>
  <c r="K33" i="68" a="1"/>
  <c r="K33" i="68" s="1"/>
  <c r="K35"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3" i="68" a="1"/>
  <c r="D33" i="68" s="1"/>
  <c r="D35" i="68" s="1"/>
  <c r="CV34" i="71" a="1"/>
  <c r="CV34" i="71" s="1"/>
  <c r="CX34" i="71" s="1" a="1"/>
  <c r="CX34" i="71" s="1"/>
  <c r="K34" i="68" a="1"/>
  <c r="K34" i="68" s="1"/>
  <c r="F34" i="68" a="1"/>
  <c r="F34" i="68" s="1"/>
  <c r="F33" i="68" a="1"/>
  <c r="F33" i="68" s="1"/>
  <c r="F35" i="68" s="1"/>
  <c r="D34" i="68" a="1"/>
  <c r="D34" i="68" s="1"/>
  <c r="DB7" i="71"/>
  <c r="BT12" i="76"/>
  <c r="BU12" i="76" s="1"/>
  <c r="P17" i="32"/>
  <c r="N34" i="68" a="1"/>
  <c r="N34" i="68" s="1"/>
  <c r="N33" i="68" a="1"/>
  <c r="N33" i="68" s="1"/>
  <c r="L34" i="68" a="1"/>
  <c r="L34" i="68" s="1"/>
  <c r="L32" i="68" s="1"/>
  <c r="L46" i="68" s="1"/>
  <c r="L47" i="68" s="1"/>
  <c r="K17" i="32"/>
  <c r="BT13" i="76"/>
  <c r="BU13" i="76" s="1"/>
  <c r="E18" i="32" a="1"/>
  <c r="E18" i="32" s="1"/>
  <c r="BT5" i="76"/>
  <c r="BU5" i="76" s="1"/>
  <c r="BT14" i="76"/>
  <c r="BU14" i="76" s="1"/>
  <c r="CQ5" i="76" a="1"/>
  <c r="CQ5" i="76" s="1"/>
  <c r="BA5" i="76"/>
  <c r="AX3" i="73"/>
  <c r="AY3" i="73" s="1"/>
  <c r="AT5" i="73"/>
  <c r="AR5" i="73"/>
  <c r="AR6" i="73"/>
  <c r="AT6" i="73"/>
  <c r="BT8" i="72" a="1"/>
  <c r="BT8" i="72" s="1"/>
  <c r="BQ8" i="72"/>
  <c r="BR8" i="72" a="1"/>
  <c r="BR8" i="72" s="1"/>
  <c r="BS8" i="72" s="1"/>
  <c r="CZ37" i="71"/>
  <c r="H32" i="68"/>
  <c r="H46" i="68" s="1"/>
  <c r="H47" i="68" s="1"/>
  <c r="H35" i="68"/>
  <c r="L1" i="40"/>
  <c r="L184" i="40" s="1" a="1"/>
  <c r="L184" i="40" s="1"/>
  <c r="L185" i="40" s="1"/>
  <c r="L42" i="40" s="1"/>
  <c r="K50" i="40" a="1"/>
  <c r="K50" i="40" s="1"/>
  <c r="I34" i="68" a="1"/>
  <c r="I34" i="68" s="1"/>
  <c r="I33" i="68" a="1"/>
  <c r="I33" i="68" s="1"/>
  <c r="G33" i="68" a="1"/>
  <c r="G33" i="68" s="1"/>
  <c r="G34" i="68" a="1"/>
  <c r="G34" i="68" s="1"/>
  <c r="D115" i="40"/>
  <c r="D116" i="40" s="1"/>
  <c r="D18" i="40" s="1"/>
  <c r="D121" i="40"/>
  <c r="C29" i="40"/>
  <c r="D22" i="40"/>
  <c r="C38" i="40"/>
  <c r="C37" i="40" s="1"/>
  <c r="D37" i="40"/>
  <c r="L35" i="68"/>
  <c r="AI2" i="61"/>
  <c r="AJ1" i="61"/>
  <c r="M34" i="68" a="1"/>
  <c r="M34" i="68" s="1"/>
  <c r="M33" i="68" a="1"/>
  <c r="M33" i="68" s="1"/>
  <c r="S6" i="71"/>
  <c r="C11" i="40" l="1"/>
  <c r="E2" i="46"/>
  <c r="G4" i="46"/>
  <c r="J100" i="32" s="1"/>
  <c r="G2" i="46"/>
  <c r="K77" i="32" s="1"/>
  <c r="F2" i="46"/>
  <c r="F4" i="46"/>
  <c r="AD64" i="6" a="1"/>
  <c r="AD64" i="6" s="1"/>
  <c r="AD61" i="6" a="1"/>
  <c r="AD61" i="6" s="1"/>
  <c r="AD58" i="6" a="1"/>
  <c r="AD58" i="6" s="1"/>
  <c r="AD51" i="6" a="1"/>
  <c r="AD51" i="6" s="1"/>
  <c r="AD65" i="6" a="1"/>
  <c r="AD65" i="6" s="1"/>
  <c r="AD70" i="6" a="1"/>
  <c r="AD70" i="6" s="1"/>
  <c r="AD53" i="6" a="1"/>
  <c r="AD53" i="6" s="1"/>
  <c r="AD57" i="6" a="1"/>
  <c r="AD57" i="6" s="1"/>
  <c r="AD62" i="6" a="1"/>
  <c r="AD62" i="6" s="1"/>
  <c r="AD49" i="6" a="1"/>
  <c r="AD49" i="6" s="1"/>
  <c r="AD54" i="6" a="1"/>
  <c r="AD54" i="6" s="1"/>
  <c r="AD50" i="6" a="1"/>
  <c r="AD50" i="6" s="1"/>
  <c r="AD66" i="6" a="1"/>
  <c r="AD66" i="6" s="1"/>
  <c r="AD52" i="6" a="1"/>
  <c r="AD52" i="6" s="1"/>
  <c r="AD60" i="6" a="1"/>
  <c r="AD60" i="6" s="1"/>
  <c r="AJ4" i="61"/>
  <c r="AJ5" i="61"/>
  <c r="J77" i="32"/>
  <c r="K100" i="32"/>
  <c r="AY49" i="6"/>
  <c r="AY50" i="6"/>
  <c r="AY51" i="6"/>
  <c r="AY52" i="6"/>
  <c r="AY53" i="6"/>
  <c r="AY54" i="6"/>
  <c r="AY55" i="6"/>
  <c r="AY56" i="6"/>
  <c r="AY57" i="6"/>
  <c r="AY58" i="6"/>
  <c r="AY59" i="6"/>
  <c r="AY60" i="6"/>
  <c r="AY61" i="6"/>
  <c r="AY62" i="6"/>
  <c r="AY63" i="6"/>
  <c r="AY64" i="6"/>
  <c r="AY65" i="6"/>
  <c r="AY66" i="6"/>
  <c r="AY67" i="6"/>
  <c r="AY68" i="6"/>
  <c r="AY69" i="6"/>
  <c r="AY70" i="6"/>
  <c r="AY71" i="6"/>
  <c r="D19" i="40"/>
  <c r="C19" i="40" s="1"/>
  <c r="L13" i="40"/>
  <c r="K13" i="40"/>
  <c r="N13" i="40"/>
  <c r="M13" i="40"/>
  <c r="I13" i="40"/>
  <c r="H13" i="40"/>
  <c r="G13" i="40"/>
  <c r="F13" i="40"/>
  <c r="E13" i="40"/>
  <c r="E21" i="40" s="1"/>
  <c r="O13" i="40"/>
  <c r="AV6" i="57"/>
  <c r="CB21" i="57"/>
  <c r="AV7" i="57"/>
  <c r="AV8" i="57"/>
  <c r="AV9" i="57"/>
  <c r="BB6" i="76"/>
  <c r="BB7" i="76"/>
  <c r="BB8" i="76"/>
  <c r="BB9" i="76"/>
  <c r="AO7" i="57"/>
  <c r="AO8" i="57"/>
  <c r="AO9" i="57"/>
  <c r="E159" i="32"/>
  <c r="E141" i="32"/>
  <c r="E142" i="32" s="1"/>
  <c r="E130" i="32"/>
  <c r="S18" i="68"/>
  <c r="S19" i="68"/>
  <c r="S10" i="68"/>
  <c r="O128" i="32"/>
  <c r="O126" i="32"/>
  <c r="O127" i="32"/>
  <c r="J121" i="32"/>
  <c r="J160" i="32"/>
  <c r="J36" i="32"/>
  <c r="O122" i="32"/>
  <c r="O161" i="32"/>
  <c r="O132" i="32"/>
  <c r="O131" i="32"/>
  <c r="O44" i="32"/>
  <c r="O46"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2" i="68"/>
  <c r="K46" i="68" s="1"/>
  <c r="K47" i="68" s="1"/>
  <c r="W23" i="49"/>
  <c r="CV38" i="71" a="1"/>
  <c r="CV38" i="71" s="1"/>
  <c r="CX38" i="71" s="1" a="1"/>
  <c r="CX38" i="71" s="1"/>
  <c r="CZ38" i="71" s="1"/>
  <c r="O34" i="68" a="1"/>
  <c r="O34" i="68" s="1"/>
  <c r="O33" i="68" a="1"/>
  <c r="O33"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2" i="68"/>
  <c r="D46" i="68" s="1"/>
  <c r="D47" i="68" s="1"/>
  <c r="F32" i="68"/>
  <c r="F46" i="68" s="1"/>
  <c r="F47" i="68" s="1"/>
  <c r="N35" i="68"/>
  <c r="N32" i="68"/>
  <c r="N46" i="68" s="1"/>
  <c r="N47" i="68" s="1"/>
  <c r="CV39" i="71" a="1"/>
  <c r="CV39" i="71" s="1"/>
  <c r="CX39" i="71" s="1" a="1"/>
  <c r="CX39" i="71" s="1"/>
  <c r="CZ39" i="71" s="1"/>
  <c r="J33" i="68" a="1"/>
  <c r="J33" i="68" s="1"/>
  <c r="J34" i="68" a="1"/>
  <c r="J34" i="68" s="1"/>
  <c r="AZ3" i="73"/>
  <c r="BA3" i="73" s="1" a="1"/>
  <c r="BA3" i="73" s="1"/>
  <c r="CR5" i="76" a="1"/>
  <c r="CR5" i="76" s="1"/>
  <c r="BB5" i="76"/>
  <c r="CV42" i="71" a="1"/>
  <c r="CV42" i="71" s="1"/>
  <c r="CX42" i="71" s="1" a="1"/>
  <c r="CX42" i="71" s="1"/>
  <c r="CZ42" i="71" s="1"/>
  <c r="Q6" i="71"/>
  <c r="AC6" i="71" s="1"/>
  <c r="AD6" i="71" s="1"/>
  <c r="C18" i="40"/>
  <c r="M32" i="68"/>
  <c r="M46" i="68" s="1"/>
  <c r="M47" i="68" s="1"/>
  <c r="M35" i="68"/>
  <c r="E33" i="68" a="1"/>
  <c r="E33" i="68" s="1"/>
  <c r="E34" i="68" a="1"/>
  <c r="E34" i="68" s="1"/>
  <c r="G32" i="68"/>
  <c r="G46" i="68" s="1"/>
  <c r="G47" i="68" s="1"/>
  <c r="G35" i="68"/>
  <c r="AJ2" i="61"/>
  <c r="AK1" i="61"/>
  <c r="M1" i="40"/>
  <c r="M184" i="40" s="1" a="1"/>
  <c r="M184" i="40" s="1"/>
  <c r="M185" i="40" s="1"/>
  <c r="M42" i="40" s="1"/>
  <c r="L50" i="40" a="1"/>
  <c r="L50" i="40" s="1"/>
  <c r="AM6" i="71"/>
  <c r="R6" i="71"/>
  <c r="C34" i="40"/>
  <c r="I32" i="68"/>
  <c r="I46" i="68" s="1"/>
  <c r="I47" i="68" s="1"/>
  <c r="I35" i="68"/>
  <c r="AG6" i="71" a="1"/>
  <c r="AG6" i="71" s="1"/>
  <c r="AF6" i="71" a="1"/>
  <c r="AF6" i="71" s="1"/>
  <c r="CZ34" i="71"/>
  <c r="C22" i="40"/>
  <c r="C15" i="40"/>
  <c r="AK5" i="61" l="1"/>
  <c r="AK4" i="61"/>
  <c r="K141" i="32"/>
  <c r="K142" i="32" s="1"/>
  <c r="K76" i="32"/>
  <c r="J141" i="32"/>
  <c r="J142" i="32" s="1"/>
  <c r="J76" i="32"/>
  <c r="D55" i="68" a="1"/>
  <c r="D55" i="68" s="1"/>
  <c r="D53" i="68" a="1"/>
  <c r="D53" i="68" s="1"/>
  <c r="D48" i="68" a="1"/>
  <c r="D48" i="68" s="1"/>
  <c r="I21" i="40"/>
  <c r="I20" i="40"/>
  <c r="I160" i="40" s="1"/>
  <c r="I161" i="40" s="1"/>
  <c r="I30" i="40" s="1"/>
  <c r="E20" i="40"/>
  <c r="E160" i="40" s="1"/>
  <c r="E161" i="40" s="1"/>
  <c r="E30" i="40" s="1"/>
  <c r="E12" i="40"/>
  <c r="E36" i="40"/>
  <c r="E33" i="40" s="1"/>
  <c r="E41" i="40" s="1"/>
  <c r="H21" i="40"/>
  <c r="H12" i="40"/>
  <c r="H20" i="40"/>
  <c r="H160" i="40" s="1"/>
  <c r="H161" i="40" s="1"/>
  <c r="H30" i="40" s="1"/>
  <c r="H36" i="40"/>
  <c r="H33" i="40" s="1"/>
  <c r="H41" i="40" s="1"/>
  <c r="M21" i="40"/>
  <c r="M20" i="40"/>
  <c r="M160" i="40" s="1"/>
  <c r="M161" i="40" s="1"/>
  <c r="M30" i="40" s="1"/>
  <c r="M36" i="40"/>
  <c r="M33" i="40" s="1"/>
  <c r="M41" i="40" s="1"/>
  <c r="M12" i="40"/>
  <c r="F12" i="40"/>
  <c r="F21" i="40"/>
  <c r="F36" i="40"/>
  <c r="F33" i="40" s="1"/>
  <c r="F41" i="40" s="1"/>
  <c r="F20" i="40"/>
  <c r="F160" i="40" s="1"/>
  <c r="F161" i="40" s="1"/>
  <c r="F30" i="40" s="1"/>
  <c r="G20" i="40"/>
  <c r="G160" i="40" s="1"/>
  <c r="G161" i="40" s="1"/>
  <c r="G30" i="40" s="1"/>
  <c r="G12" i="40"/>
  <c r="G36" i="40"/>
  <c r="G33" i="40" s="1"/>
  <c r="G41" i="40" s="1"/>
  <c r="G21" i="40"/>
  <c r="O21" i="40"/>
  <c r="O36" i="40"/>
  <c r="O33" i="40" s="1"/>
  <c r="O41" i="40" s="1"/>
  <c r="O20" i="40"/>
  <c r="O160" i="40" s="1"/>
  <c r="O161" i="40" s="1"/>
  <c r="O30" i="40" s="1"/>
  <c r="O12" i="40"/>
  <c r="N21" i="40"/>
  <c r="N36" i="40"/>
  <c r="N33" i="40" s="1"/>
  <c r="N41" i="40" s="1"/>
  <c r="N20" i="40"/>
  <c r="N160" i="40" s="1"/>
  <c r="N161" i="40" s="1"/>
  <c r="N30" i="40" s="1"/>
  <c r="N12" i="40"/>
  <c r="K12" i="40"/>
  <c r="K20" i="40"/>
  <c r="K160" i="40" s="1"/>
  <c r="K161" i="40" s="1"/>
  <c r="K30" i="40" s="1"/>
  <c r="K36" i="40"/>
  <c r="K33" i="40" s="1"/>
  <c r="K41" i="40" s="1"/>
  <c r="K21" i="40"/>
  <c r="L21" i="40"/>
  <c r="L20" i="40"/>
  <c r="L160" i="40" s="1"/>
  <c r="L161" i="40" s="1"/>
  <c r="L30" i="40" s="1"/>
  <c r="L12" i="40"/>
  <c r="L36" i="40"/>
  <c r="L33" i="40" s="1"/>
  <c r="L41" i="40" s="1"/>
  <c r="J13" i="40"/>
  <c r="I36" i="40"/>
  <c r="I33" i="40" s="1"/>
  <c r="I41" i="40" s="1"/>
  <c r="I12" i="40"/>
  <c r="AP6" i="57"/>
  <c r="AP7" i="57"/>
  <c r="AP9" i="57"/>
  <c r="AP8" i="57"/>
  <c r="F141" i="32"/>
  <c r="F142" i="32" s="1"/>
  <c r="F159" i="32"/>
  <c r="F130" i="32"/>
  <c r="S30" i="68"/>
  <c r="S6" i="68"/>
  <c r="S7" i="68" s="1"/>
  <c r="S8" i="68" s="1"/>
  <c r="J127" i="32"/>
  <c r="O123" i="32"/>
  <c r="O162" i="32"/>
  <c r="O124" i="32"/>
  <c r="J122" i="32"/>
  <c r="J161" i="32"/>
  <c r="J132" i="32"/>
  <c r="J131" i="32"/>
  <c r="J44" i="32"/>
  <c r="J46"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2" i="68"/>
  <c r="O46" i="68" s="1"/>
  <c r="O47" i="68" s="1"/>
  <c r="O35" i="68"/>
  <c r="BI7" i="57" a="1"/>
  <c r="BI7" i="57" s="1"/>
  <c r="BK7" i="57" s="1"/>
  <c r="BS6" i="76" a="1"/>
  <c r="BS6" i="76" s="1"/>
  <c r="BT6" i="76" s="1"/>
  <c r="BU6" i="76" s="1"/>
  <c r="CE5" i="76" a="1"/>
  <c r="CE5" i="76" s="1"/>
  <c r="AQ5" i="76" s="1"/>
  <c r="AU5" i="76" s="1"/>
  <c r="AV5" i="76" s="1"/>
  <c r="DD9" i="71" a="1"/>
  <c r="DD9" i="71" s="1"/>
  <c r="DE9" i="71" s="1" a="1"/>
  <c r="DE9" i="71" s="1"/>
  <c r="J32" i="68"/>
  <c r="J46" i="68" s="1"/>
  <c r="J47" i="68" s="1"/>
  <c r="J35" i="68"/>
  <c r="F45" i="32" a="1"/>
  <c r="F45" i="32" s="1"/>
  <c r="F6" i="71"/>
  <c r="G6" i="71" s="1"/>
  <c r="BP10" i="72" a="1"/>
  <c r="BP10" i="72" s="1"/>
  <c r="BQ10" i="72" s="1"/>
  <c r="BX31" i="72" a="1"/>
  <c r="BX31" i="72" s="1"/>
  <c r="AT3" i="72" s="1"/>
  <c r="CF31" i="72" a="1"/>
  <c r="CF31" i="72" s="1"/>
  <c r="BZ31" i="72" a="1"/>
  <c r="CK31" i="72" a="1"/>
  <c r="AZ9" i="72" s="1"/>
  <c r="AL1" i="61"/>
  <c r="AK2" i="61"/>
  <c r="N1" i="40"/>
  <c r="N184" i="40" s="1" a="1"/>
  <c r="N184" i="40" s="1"/>
  <c r="N185" i="40" s="1"/>
  <c r="N42" i="40" s="1"/>
  <c r="M50" i="40" a="1"/>
  <c r="M50" i="40" s="1"/>
  <c r="C32" i="68"/>
  <c r="C46" i="68" s="1"/>
  <c r="C35" i="68"/>
  <c r="E32" i="68"/>
  <c r="E46" i="68" s="1"/>
  <c r="E47" i="68" s="1"/>
  <c r="E35" i="68"/>
  <c r="AE6" i="71"/>
  <c r="AS6" i="71" s="1"/>
  <c r="AH6" i="71"/>
  <c r="AL5" i="61" l="1"/>
  <c r="AL4" i="61"/>
  <c r="J53" i="68" a="1"/>
  <c r="J53" i="68" s="1"/>
  <c r="O53" i="68" a="1"/>
  <c r="O53" i="68" s="1"/>
  <c r="H53" i="68" a="1"/>
  <c r="H53" i="68" s="1"/>
  <c r="G55" i="68" a="1"/>
  <c r="G55" i="68" s="1"/>
  <c r="K55" i="68" a="1"/>
  <c r="K55" i="68" s="1"/>
  <c r="E48" i="68" a="1"/>
  <c r="E48" i="68" s="1"/>
  <c r="I48" i="68" a="1"/>
  <c r="I48" i="68" s="1"/>
  <c r="M53" i="68" a="1"/>
  <c r="M53" i="68" s="1"/>
  <c r="L48" i="68" a="1"/>
  <c r="L48" i="68" s="1"/>
  <c r="O55" i="68" a="1"/>
  <c r="O55" i="68" s="1"/>
  <c r="H55" i="68" a="1"/>
  <c r="H55" i="68" s="1"/>
  <c r="F48" i="68" a="1"/>
  <c r="F48" i="68" s="1"/>
  <c r="K48" i="68" a="1"/>
  <c r="K48" i="68" s="1"/>
  <c r="E53" i="68" a="1"/>
  <c r="E53" i="68" s="1"/>
  <c r="J48" i="68" a="1"/>
  <c r="J48" i="68" s="1"/>
  <c r="I53" i="68" a="1"/>
  <c r="I53" i="68" s="1"/>
  <c r="M55" i="68" a="1"/>
  <c r="M55" i="68" s="1"/>
  <c r="L53" i="68" a="1"/>
  <c r="L53" i="68" s="1"/>
  <c r="N48" i="68" a="1"/>
  <c r="N48" i="68" s="1"/>
  <c r="G48" i="68" a="1"/>
  <c r="G48" i="68" s="1"/>
  <c r="F53" i="68" a="1"/>
  <c r="F53" i="68" s="1"/>
  <c r="I55" i="68" a="1"/>
  <c r="I55" i="68" s="1"/>
  <c r="J55" i="68" a="1"/>
  <c r="J55" i="68" s="1"/>
  <c r="M48" i="68" a="1"/>
  <c r="M48" i="68" s="1"/>
  <c r="O48" i="68" a="1"/>
  <c r="O48" i="68" s="1"/>
  <c r="H48" i="68" a="1"/>
  <c r="H48" i="68" s="1"/>
  <c r="K53" i="68" a="1"/>
  <c r="K53" i="68" s="1"/>
  <c r="N55" i="68" a="1"/>
  <c r="N55" i="68" s="1"/>
  <c r="G53" i="68" a="1"/>
  <c r="G53" i="68" s="1"/>
  <c r="E55" i="68" a="1"/>
  <c r="E55" i="68" s="1"/>
  <c r="F55" i="68" a="1"/>
  <c r="F55" i="68" s="1"/>
  <c r="N53" i="68" a="1"/>
  <c r="N53" i="68" s="1"/>
  <c r="L55" i="68" a="1"/>
  <c r="L55" i="68" s="1"/>
  <c r="N32" i="40"/>
  <c r="F32" i="40"/>
  <c r="I32" i="40"/>
  <c r="G8" i="40"/>
  <c r="G9" i="40" s="1"/>
  <c r="G10" i="40" s="1"/>
  <c r="G32" i="40"/>
  <c r="N8" i="40"/>
  <c r="N9" i="40" s="1"/>
  <c r="N10" i="40" s="1"/>
  <c r="O32" i="40"/>
  <c r="L8" i="40"/>
  <c r="L9" i="40" s="1"/>
  <c r="L10" i="40" s="1"/>
  <c r="K8" i="40"/>
  <c r="K9" i="40" s="1"/>
  <c r="K10" i="40" s="1"/>
  <c r="K32" i="40"/>
  <c r="H8" i="40"/>
  <c r="H9" i="40" s="1"/>
  <c r="H10" i="40" s="1"/>
  <c r="F8" i="40"/>
  <c r="F9" i="40" s="1"/>
  <c r="F10" i="40" s="1"/>
  <c r="O8" i="40"/>
  <c r="O9" i="40" s="1"/>
  <c r="O10" i="40" s="1"/>
  <c r="L32" i="40"/>
  <c r="H32" i="40"/>
  <c r="M8" i="40"/>
  <c r="M9" i="40" s="1"/>
  <c r="M10" i="40" s="1"/>
  <c r="E8" i="40"/>
  <c r="E9" i="40" s="1"/>
  <c r="E10" i="40" s="1"/>
  <c r="E32" i="40"/>
  <c r="I8" i="40"/>
  <c r="I9" i="40" s="1"/>
  <c r="I10" i="40" s="1"/>
  <c r="M32" i="40"/>
  <c r="J21" i="40"/>
  <c r="J36" i="40"/>
  <c r="J33" i="40" s="1"/>
  <c r="J41" i="40" s="1"/>
  <c r="J12" i="40"/>
  <c r="J20" i="40"/>
  <c r="C53" i="68" a="1"/>
  <c r="C53" i="68" s="1"/>
  <c r="C55" i="68" a="1"/>
  <c r="C55" i="68" s="1"/>
  <c r="AT6" i="71"/>
  <c r="AU6" i="71" a="1"/>
  <c r="AU6" i="71" s="1"/>
  <c r="AZ6" i="71" s="1"/>
  <c r="BB6" i="71" s="1"/>
  <c r="C48" i="68" a="1"/>
  <c r="C48" i="68" s="1"/>
  <c r="J162" i="32"/>
  <c r="J123"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1" i="32" s="1" a="1"/>
  <c r="P101" i="32" s="1"/>
  <c r="P98" i="32" s="1"/>
  <c r="E45" i="32" a="1"/>
  <c r="E45" i="32" s="1"/>
  <c r="BR10" i="72" a="1"/>
  <c r="BR10" i="72" s="1"/>
  <c r="BS10" i="72" s="1"/>
  <c r="BT10" i="72" a="1"/>
  <c r="BT10" i="72" s="1"/>
  <c r="CF5" i="76" a="1"/>
  <c r="CF5" i="76" s="1"/>
  <c r="CH5" i="76" a="1"/>
  <c r="CH5" i="76" s="1"/>
  <c r="CV9" i="71" a="1"/>
  <c r="CV9" i="71" s="1"/>
  <c r="AV3" i="72"/>
  <c r="AW3" i="72" s="1" a="1"/>
  <c r="AW3" i="72" s="1"/>
  <c r="AU3" i="72"/>
  <c r="BZ31" i="72"/>
  <c r="E101" i="32" a="1"/>
  <c r="E101" i="32" s="1"/>
  <c r="CK31" i="72"/>
  <c r="CM31" i="72" a="1"/>
  <c r="BA9" i="72" s="1"/>
  <c r="CO31" i="72" a="1"/>
  <c r="BB9" i="72" s="1"/>
  <c r="N50" i="40" a="1"/>
  <c r="N50" i="40" s="1"/>
  <c r="O1" i="40"/>
  <c r="O184" i="40" s="1" a="1"/>
  <c r="O184" i="40" s="1"/>
  <c r="O185" i="40" s="1"/>
  <c r="O42" i="40" s="1"/>
  <c r="C42" i="40" s="1"/>
  <c r="AL2" i="61"/>
  <c r="AM1" i="61"/>
  <c r="AM5" i="61" l="1"/>
  <c r="AM4" i="61"/>
  <c r="J160" i="40"/>
  <c r="J161" i="40" s="1"/>
  <c r="J30" i="40" s="1"/>
  <c r="J32" i="40"/>
  <c r="J8" i="40"/>
  <c r="J9" i="40" s="1"/>
  <c r="J10" i="40" s="1"/>
  <c r="AR7" i="76"/>
  <c r="AR6" i="76"/>
  <c r="AR8" i="76"/>
  <c r="AR9" i="76"/>
  <c r="AR10" i="76"/>
  <c r="AT9" i="72"/>
  <c r="AT10" i="72"/>
  <c r="AT11" i="72"/>
  <c r="AT12" i="72"/>
  <c r="AT14" i="72"/>
  <c r="AT13" i="72"/>
  <c r="P97" i="32"/>
  <c r="P150" i="32"/>
  <c r="P147" i="32"/>
  <c r="P149" i="32"/>
  <c r="P148" i="32"/>
  <c r="K101" i="32" a="1"/>
  <c r="K101" i="32" s="1"/>
  <c r="K98" i="32" s="1"/>
  <c r="O101" i="32" a="1"/>
  <c r="O101" i="32" s="1"/>
  <c r="O98" i="32" s="1"/>
  <c r="J101" i="32" a="1"/>
  <c r="J101" i="32" s="1"/>
  <c r="J98"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Y9" i="71" a="1"/>
  <c r="CY9" i="71" s="1"/>
  <c r="DA9" i="71" s="1"/>
  <c r="CW9" i="71"/>
  <c r="CZ9" i="71" a="1"/>
  <c r="CZ9" i="71" s="1"/>
  <c r="AT8" i="72"/>
  <c r="E98" i="32"/>
  <c r="F98" i="32"/>
  <c r="CO31" i="72"/>
  <c r="BB8" i="72" s="1"/>
  <c r="CM31" i="72"/>
  <c r="CP31" i="72" s="1" a="1"/>
  <c r="BC9" i="72" s="1"/>
  <c r="CL31" i="72" a="1"/>
  <c r="CL31" i="72" s="1"/>
  <c r="AZ8" i="72"/>
  <c r="O50" i="40" a="1"/>
  <c r="O50" i="40" s="1"/>
  <c r="AN1" i="61"/>
  <c r="AM2" i="61"/>
  <c r="AN5" i="61" l="1"/>
  <c r="AN4" i="61"/>
  <c r="AS9" i="76"/>
  <c r="AS10" i="76"/>
  <c r="AS6" i="76"/>
  <c r="AS7" i="76"/>
  <c r="AS8" i="76"/>
  <c r="E147" i="32"/>
  <c r="E150" i="32"/>
  <c r="F150" i="32"/>
  <c r="F147" i="32"/>
  <c r="J97" i="32"/>
  <c r="J150" i="32"/>
  <c r="J147" i="32"/>
  <c r="O97" i="32"/>
  <c r="O150" i="32"/>
  <c r="O147" i="32"/>
  <c r="O149" i="32"/>
  <c r="O148" i="32"/>
  <c r="K97" i="32"/>
  <c r="K150" i="32"/>
  <c r="K147" i="32"/>
  <c r="P155" i="32"/>
  <c r="P152"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97" i="32"/>
  <c r="E155" i="32" s="1"/>
  <c r="AS5" i="76"/>
  <c r="CJ5" i="76" a="1"/>
  <c r="CJ5" i="76" s="1"/>
  <c r="F97" i="32"/>
  <c r="F155"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5" i="32"/>
  <c r="O155" i="32"/>
  <c r="O152" i="32"/>
  <c r="J155"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5" i="32" l="1" a="1"/>
  <c r="O115" i="32" s="1"/>
  <c r="O112" i="32" s="1"/>
  <c r="O111" i="32" s="1"/>
  <c r="J115" i="32" a="1"/>
  <c r="J115" i="32" s="1"/>
  <c r="J112" i="32" s="1"/>
  <c r="J111" i="32" s="1"/>
  <c r="K115" i="32" a="1"/>
  <c r="K115" i="32" s="1"/>
  <c r="F115" i="32" a="1"/>
  <c r="F115" i="32" s="1"/>
  <c r="P115" i="32" a="1"/>
  <c r="P115" i="32" s="1"/>
  <c r="AB5" i="53"/>
  <c r="S52" i="68" l="1"/>
  <c r="C52" i="68"/>
  <c r="J166" i="32"/>
  <c r="J134" i="32"/>
  <c r="J154" i="32"/>
  <c r="J125" i="32"/>
  <c r="O166" i="32"/>
  <c r="O134" i="32"/>
  <c r="O154" i="32"/>
  <c r="O125" i="32"/>
  <c r="D20" i="68" l="1"/>
  <c r="F20" i="32" a="1"/>
  <c r="F20" i="32" s="1"/>
  <c r="E20" i="68" l="1"/>
  <c r="F17" i="32"/>
  <c r="F20" i="68" l="1"/>
  <c r="G20" i="68"/>
  <c r="H20" i="68" l="1"/>
  <c r="F11" i="32" a="1"/>
  <c r="F11" i="32" s="1"/>
  <c r="P8" i="32" s="1"/>
  <c r="P16" i="32" l="1"/>
  <c r="P143" i="32"/>
  <c r="P144" i="32" s="1"/>
  <c r="P145" i="32" s="1"/>
  <c r="I20" i="68"/>
  <c r="E20" i="32" a="1"/>
  <c r="E20" i="32" s="1"/>
  <c r="P36" i="32" l="1"/>
  <c r="P128" i="32" s="1"/>
  <c r="P160" i="32"/>
  <c r="P121" i="32"/>
  <c r="F30" i="32" a="1"/>
  <c r="F30" i="32" s="1"/>
  <c r="J20" i="68"/>
  <c r="E17" i="32"/>
  <c r="P44" i="32" l="1"/>
  <c r="P46" i="32" s="1"/>
  <c r="P123" i="32" s="1"/>
  <c r="P132" i="32"/>
  <c r="P131" i="32"/>
  <c r="P161" i="32"/>
  <c r="P122" i="32"/>
  <c r="P127" i="32"/>
  <c r="P126" i="32"/>
  <c r="F28" i="32"/>
  <c r="P124" i="32" l="1"/>
  <c r="P162" i="32"/>
  <c r="M20" i="68"/>
  <c r="K20" i="68"/>
  <c r="E11" i="32" l="1" a="1"/>
  <c r="E11" i="32" s="1"/>
  <c r="K8" i="32" s="1"/>
  <c r="L20" i="68"/>
  <c r="N20" i="68"/>
  <c r="C82" i="40" a="1"/>
  <c r="C82" i="40" s="1"/>
  <c r="C83" i="40" s="1"/>
  <c r="K16" i="32" l="1"/>
  <c r="K36" i="32" s="1"/>
  <c r="K143" i="32"/>
  <c r="K144" i="32" s="1"/>
  <c r="K127" i="32" l="1"/>
  <c r="K122" i="32"/>
  <c r="K161" i="32"/>
  <c r="K132" i="32"/>
  <c r="K131" i="32"/>
  <c r="K121" i="32"/>
  <c r="K160" i="32"/>
  <c r="K44" i="32"/>
  <c r="K46" i="32" s="1"/>
  <c r="O20" i="68"/>
  <c r="C20" i="68"/>
  <c r="E30" i="32" a="1"/>
  <c r="E30" i="32" s="1"/>
  <c r="K123" i="32" l="1"/>
  <c r="K162" i="32"/>
  <c r="CV43" i="71" a="1"/>
  <c r="CV43" i="71" s="1"/>
  <c r="E28" i="32"/>
  <c r="CV29" i="71" l="1"/>
  <c r="CW29" i="71" s="1"/>
  <c r="CX43" i="71" a="1"/>
  <c r="CX43" i="71" s="1"/>
  <c r="CZ43" i="71" s="1"/>
  <c r="D13" i="40" l="1"/>
  <c r="C14" i="40"/>
  <c r="D12" i="40" l="1"/>
  <c r="C13" i="40"/>
  <c r="D36" i="40"/>
  <c r="D20" i="40"/>
  <c r="D21" i="40"/>
  <c r="D160" i="40" l="1"/>
  <c r="D161" i="40" s="1"/>
  <c r="D33" i="40"/>
  <c r="D41" i="40" s="1"/>
  <c r="C21" i="40"/>
  <c r="C12" i="40"/>
  <c r="C36" i="40"/>
  <c r="C20" i="40"/>
  <c r="D8" i="40"/>
  <c r="D9" i="40" s="1"/>
  <c r="D10" i="40" s="1"/>
  <c r="D32" i="40"/>
  <c r="J46" i="40" l="1" a="1"/>
  <c r="J46" i="40" s="1"/>
  <c r="G46" i="40" a="1"/>
  <c r="G46" i="40" s="1"/>
  <c r="N46" i="40" a="1"/>
  <c r="N46" i="40" s="1"/>
  <c r="H46" i="40" a="1"/>
  <c r="H46" i="40" s="1"/>
  <c r="M46" i="40" a="1"/>
  <c r="M46" i="40" s="1"/>
  <c r="D46" i="40" a="1"/>
  <c r="D46" i="40" s="1"/>
  <c r="I46" i="40" a="1"/>
  <c r="I46" i="40" s="1"/>
  <c r="K46" i="40" a="1"/>
  <c r="K46" i="40" s="1"/>
  <c r="L46" i="40" a="1"/>
  <c r="L46" i="40" s="1"/>
  <c r="O46" i="40" a="1"/>
  <c r="O46" i="40" s="1"/>
  <c r="E46" i="40" a="1"/>
  <c r="E46" i="40" s="1"/>
  <c r="F46" i="40" a="1"/>
  <c r="F46" i="40" s="1"/>
  <c r="D30" i="40"/>
  <c r="C30" i="40" s="1"/>
  <c r="C33" i="40"/>
  <c r="C41" i="40" s="1"/>
  <c r="C9" i="40"/>
  <c r="C10" i="40" s="1"/>
  <c r="C8" i="40"/>
  <c r="C32" i="40"/>
  <c r="C46" i="40" l="1" a="1"/>
  <c r="C46" i="40" s="1"/>
  <c r="D11" i="68" l="1"/>
  <c r="D40" i="68" l="1"/>
  <c r="D19" i="68"/>
  <c r="D10" i="68"/>
  <c r="D18" i="68"/>
  <c r="D30" i="68" l="1"/>
  <c r="D31" i="68" s="1"/>
  <c r="D6" i="68"/>
  <c r="D7" i="68" s="1"/>
  <c r="D8" i="68" s="1"/>
  <c r="CV14" i="71" a="1"/>
  <c r="CV14" i="71" s="1"/>
  <c r="CP5" i="71" a="1"/>
  <c r="CP5" i="71" s="1"/>
  <c r="CS5" i="71" l="1" a="1"/>
  <c r="CS5" i="71" s="1"/>
  <c r="CQ5" i="71" s="1" a="1"/>
  <c r="CQ5" i="71" s="1"/>
  <c r="CR5" i="71" s="1"/>
  <c r="CY14" i="71" a="1"/>
  <c r="CY14" i="71" s="1"/>
  <c r="CW14" i="71" s="1" a="1"/>
  <c r="CW14" i="71" s="1"/>
  <c r="CX14" i="71" s="1"/>
  <c r="E40" i="68" l="1"/>
  <c r="E11" i="68"/>
  <c r="E18" i="68" l="1"/>
  <c r="E10" i="68"/>
  <c r="E19" i="68"/>
  <c r="F11" i="68" l="1"/>
  <c r="CV15" i="71" a="1"/>
  <c r="CV15" i="71" s="1"/>
  <c r="E6" i="68"/>
  <c r="E7" i="68" s="1"/>
  <c r="E8" i="68" s="1"/>
  <c r="E30" i="68"/>
  <c r="E31" i="68" s="1"/>
  <c r="F40" i="68" l="1"/>
  <c r="CY15" i="71" a="1"/>
  <c r="CY15" i="71" s="1"/>
  <c r="CW15" i="71" s="1" a="1"/>
  <c r="CW15" i="71" s="1"/>
  <c r="CX15" i="71" s="1"/>
  <c r="F19" i="68"/>
  <c r="F18" i="68"/>
  <c r="F10" i="68"/>
  <c r="CV16" i="71" l="1" a="1"/>
  <c r="CV16" i="71" s="1"/>
  <c r="F6" i="68"/>
  <c r="F7" i="68" s="1"/>
  <c r="F8" i="68" s="1"/>
  <c r="F30" i="68"/>
  <c r="F31" i="68" s="1"/>
  <c r="G11" i="68" l="1"/>
  <c r="G40" i="68"/>
  <c r="CY16" i="71" a="1"/>
  <c r="CY16" i="71" s="1"/>
  <c r="CW16" i="71" s="1" a="1"/>
  <c r="CW16" i="71" s="1"/>
  <c r="CX16" i="71" s="1"/>
  <c r="G10" i="68" l="1"/>
  <c r="G19" i="68"/>
  <c r="G18" i="68"/>
  <c r="G30" i="68" l="1"/>
  <c r="G31" i="68" s="1"/>
  <c r="G6" i="68"/>
  <c r="G7" i="68" s="1"/>
  <c r="G8" i="68" s="1"/>
  <c r="CV17" i="71" a="1"/>
  <c r="CV17" i="71" s="1"/>
  <c r="CY17" i="71" l="1" a="1"/>
  <c r="CY17" i="71" s="1"/>
  <c r="CW17" i="71" s="1" a="1"/>
  <c r="CW17" i="71" s="1"/>
  <c r="CX17" i="71" s="1"/>
  <c r="CX9" i="71" l="1" a="1"/>
  <c r="CX9" i="71" s="1"/>
  <c r="H40" i="68"/>
  <c r="H11" i="68"/>
  <c r="I40" i="68" l="1"/>
  <c r="I11" i="68"/>
  <c r="H18" i="68"/>
  <c r="H19" i="68"/>
  <c r="H10" i="68"/>
  <c r="DB9" i="71" a="1"/>
  <c r="DB9" i="71" s="1"/>
  <c r="DC9" i="71" a="1"/>
  <c r="DC9" i="71" s="1"/>
  <c r="CV18" i="71" l="1" a="1"/>
  <c r="CV18" i="71" s="1"/>
  <c r="I10" i="68"/>
  <c r="I19" i="68"/>
  <c r="I18" i="68"/>
  <c r="H6" i="68"/>
  <c r="H7" i="68" s="1"/>
  <c r="H8" i="68" s="1"/>
  <c r="H30" i="68"/>
  <c r="H31" i="68" s="1"/>
  <c r="I6" i="68" l="1"/>
  <c r="I7" i="68" s="1"/>
  <c r="I8" i="68" s="1"/>
  <c r="I30" i="68"/>
  <c r="I31" i="68" s="1"/>
  <c r="CY18" i="71" a="1"/>
  <c r="CY18" i="71" s="1"/>
  <c r="CW18" i="71" s="1" a="1"/>
  <c r="CW18" i="71" s="1"/>
  <c r="CX18" i="71" s="1"/>
  <c r="CV19" i="71" l="1" a="1"/>
  <c r="CV19" i="71" s="1"/>
  <c r="F9" i="32" a="1"/>
  <c r="F9" i="32" s="1"/>
  <c r="CY19" i="71" l="1" a="1"/>
  <c r="CY19" i="71" s="1"/>
  <c r="CW19" i="71" s="1" a="1"/>
  <c r="CW19" i="71" s="1"/>
  <c r="CX19" i="71" s="1"/>
  <c r="J11" i="68"/>
  <c r="J40" i="68"/>
  <c r="F8" i="32"/>
  <c r="F143" i="32" s="1"/>
  <c r="F144" i="32" s="1"/>
  <c r="J18" i="68" l="1"/>
  <c r="J19" i="68"/>
  <c r="J10" i="68"/>
  <c r="F16" i="32"/>
  <c r="F121" i="32" l="1"/>
  <c r="F160" i="32"/>
  <c r="F36" i="32"/>
  <c r="J6" i="68"/>
  <c r="J7" i="68" s="1"/>
  <c r="J8" i="68" s="1"/>
  <c r="J30" i="68"/>
  <c r="J31" i="68" s="1"/>
  <c r="F122" i="32" l="1"/>
  <c r="F132" i="32"/>
  <c r="F131" i="32"/>
  <c r="F161" i="32"/>
  <c r="F127" i="32"/>
  <c r="F126" i="32"/>
  <c r="F128" i="32"/>
  <c r="F44" i="32"/>
  <c r="CV20" i="71" a="1"/>
  <c r="CV20" i="71" s="1"/>
  <c r="CY20" i="71" l="1" a="1"/>
  <c r="CY20" i="71" s="1"/>
  <c r="CW20" i="71" s="1" a="1"/>
  <c r="CW20" i="71" s="1"/>
  <c r="F46" i="32"/>
  <c r="F162" i="32" l="1"/>
  <c r="F123" i="32"/>
  <c r="CX20" i="71"/>
  <c r="K11" i="68" l="1"/>
  <c r="K40" i="68"/>
  <c r="L40" i="68" l="1"/>
  <c r="L11" i="68"/>
  <c r="K18" i="68"/>
  <c r="K10" i="68"/>
  <c r="K19" i="68"/>
  <c r="K6" i="68" l="1"/>
  <c r="K7" i="68" s="1"/>
  <c r="K8" i="68" s="1"/>
  <c r="K30" i="68"/>
  <c r="K31" i="68" s="1"/>
  <c r="L10" i="68"/>
  <c r="L19" i="68"/>
  <c r="L18" i="68"/>
  <c r="L30" i="68" l="1"/>
  <c r="L31" i="68" s="1"/>
  <c r="L6" i="68"/>
  <c r="L7" i="68" s="1"/>
  <c r="L8" i="68" s="1"/>
  <c r="CV21" i="71" a="1"/>
  <c r="CV21" i="71" s="1"/>
  <c r="C77" i="40" a="1"/>
  <c r="C77" i="40" s="1"/>
  <c r="C78" i="40" s="1"/>
  <c r="M40" i="68" l="1"/>
  <c r="M11" i="68"/>
  <c r="CV22" i="71" a="1"/>
  <c r="CV22" i="71" s="1"/>
  <c r="CY21" i="71" a="1"/>
  <c r="CY21" i="71" s="1"/>
  <c r="CW21" i="71" s="1" a="1"/>
  <c r="CW21" i="71" s="1"/>
  <c r="CX21" i="71" l="1"/>
  <c r="CY22" i="71" a="1"/>
  <c r="CY22" i="71" s="1"/>
  <c r="CW22" i="71" s="1" a="1"/>
  <c r="CW22" i="71" s="1"/>
  <c r="CX22" i="71" s="1"/>
  <c r="M19" i="68"/>
  <c r="M10" i="68"/>
  <c r="M18" i="68"/>
  <c r="AU8" i="73" l="1"/>
  <c r="M30" i="68"/>
  <c r="M31" i="68" s="1"/>
  <c r="M6" i="68"/>
  <c r="M7" i="68" s="1"/>
  <c r="M8" i="68" s="1"/>
  <c r="BB8" i="73"/>
  <c r="AS5" i="73" l="1"/>
  <c r="AU5" i="73"/>
  <c r="AS6" i="73"/>
  <c r="AU6" i="73"/>
  <c r="CV23" i="71" a="1"/>
  <c r="CV23" i="71" s="1"/>
  <c r="BG8" i="73"/>
  <c r="AV10" i="73" l="1" a="1"/>
  <c r="AV10" i="73" s="1"/>
  <c r="AV9" i="73" a="1"/>
  <c r="AV9" i="73" s="1"/>
  <c r="AV8" i="73" a="1"/>
  <c r="AV8" i="73" s="1"/>
  <c r="BC8" i="73"/>
  <c r="AS3" i="73" l="1"/>
  <c r="N40" i="68"/>
  <c r="N11" i="68"/>
  <c r="N10" i="68" l="1"/>
  <c r="N19" i="68"/>
  <c r="N18" i="68"/>
  <c r="N30" i="68" l="1"/>
  <c r="N31" i="68" s="1"/>
  <c r="N6" i="68"/>
  <c r="N7" i="68" s="1"/>
  <c r="N8" i="68" s="1"/>
  <c r="BO22" i="34" l="1" a="1"/>
  <c r="BO22" i="34" s="1"/>
  <c r="CY23" i="71" a="1"/>
  <c r="CY23" i="71" s="1"/>
  <c r="CW23" i="71" s="1" a="1"/>
  <c r="CW23" i="71" s="1"/>
  <c r="CX23" i="71" s="1"/>
  <c r="P112" i="32"/>
  <c r="P111" i="32" s="1"/>
  <c r="E9" i="32" a="1"/>
  <c r="E9" i="32" s="1"/>
  <c r="CV35" i="71" a="1"/>
  <c r="CV35" i="71" s="1"/>
  <c r="CW48" i="71" s="1"/>
  <c r="CV24" i="71" a="1"/>
  <c r="CV24" i="71" s="1"/>
  <c r="BN22" i="34" l="1"/>
  <c r="P1" i="58"/>
  <c r="P166" i="32"/>
  <c r="P134" i="32"/>
  <c r="P154" i="32"/>
  <c r="P125" i="32"/>
  <c r="K83" i="32" a="1"/>
  <c r="K83" i="32" s="1"/>
  <c r="J83" i="32" a="1"/>
  <c r="J83" i="32" s="1"/>
  <c r="F112" i="32"/>
  <c r="K112" i="32"/>
  <c r="K111" i="32" s="1"/>
  <c r="E112" i="32"/>
  <c r="E82" i="32"/>
  <c r="E139" i="32" s="1"/>
  <c r="E140" i="32" s="1"/>
  <c r="F82" i="32"/>
  <c r="F139" i="32" s="1"/>
  <c r="F140" i="32" s="1"/>
  <c r="F145" i="32" s="1"/>
  <c r="CW40" i="71"/>
  <c r="CW44" i="71"/>
  <c r="CW38" i="71"/>
  <c r="CW37" i="71"/>
  <c r="CW36" i="71"/>
  <c r="CX35" i="71" a="1"/>
  <c r="CX35" i="71" s="1"/>
  <c r="CZ35" i="71" s="1"/>
  <c r="CX55" i="71" s="1" a="1"/>
  <c r="CX55" i="71" s="1"/>
  <c r="CY55" i="71" s="1" a="1"/>
  <c r="CY55" i="71" s="1"/>
  <c r="CW42" i="71"/>
  <c r="CW47" i="71"/>
  <c r="CV55" i="71" a="1"/>
  <c r="CV55" i="71" s="1"/>
  <c r="CW50" i="71"/>
  <c r="CV28" i="71"/>
  <c r="CW28" i="71" s="1"/>
  <c r="CW46" i="71"/>
  <c r="CV54" i="71" a="1"/>
  <c r="CV54" i="71" s="1"/>
  <c r="CW43" i="71"/>
  <c r="CW34" i="71"/>
  <c r="CW35" i="71"/>
  <c r="CW41" i="71"/>
  <c r="CW45" i="71"/>
  <c r="CV53" i="71" a="1"/>
  <c r="CV53" i="71" s="1"/>
  <c r="CW39" i="71"/>
  <c r="CW49" i="71"/>
  <c r="C11" i="68"/>
  <c r="O11" i="68"/>
  <c r="O40" i="68"/>
  <c r="E8" i="32"/>
  <c r="E143" i="32" s="1"/>
  <c r="E144" i="32" s="1"/>
  <c r="CY24" i="71" a="1"/>
  <c r="CY24" i="71" s="1"/>
  <c r="CW24" i="71" s="1" a="1"/>
  <c r="CW24" i="71" s="1"/>
  <c r="E145" i="32" l="1"/>
  <c r="J82" i="32"/>
  <c r="J139" i="32" s="1"/>
  <c r="J140" i="32" s="1"/>
  <c r="J145" i="32" s="1"/>
  <c r="J135" i="32"/>
  <c r="J137" i="32"/>
  <c r="J126" i="32"/>
  <c r="J128" i="32"/>
  <c r="K82" i="32"/>
  <c r="K73" i="32" s="1"/>
  <c r="K137" i="32"/>
  <c r="K135" i="32"/>
  <c r="K128" i="32"/>
  <c r="K126" i="32"/>
  <c r="K166" i="32"/>
  <c r="V52" i="68" s="1"/>
  <c r="K134" i="32"/>
  <c r="K154" i="32"/>
  <c r="K125" i="32"/>
  <c r="F73" i="32"/>
  <c r="E73" i="32"/>
  <c r="E111" i="32"/>
  <c r="F111" i="32"/>
  <c r="CY40" i="71"/>
  <c r="CY41" i="71"/>
  <c r="CX53" i="71" a="1"/>
  <c r="CX53" i="71" s="1"/>
  <c r="CY53" i="71" s="1" a="1"/>
  <c r="CY53" i="71" s="1"/>
  <c r="CX54" i="71" a="1"/>
  <c r="CX54" i="71" s="1"/>
  <c r="CY54" i="71" s="1" a="1"/>
  <c r="CY54" i="71" s="1"/>
  <c r="CY34" i="71"/>
  <c r="CY44" i="71"/>
  <c r="CY35" i="71"/>
  <c r="CY36" i="71"/>
  <c r="CY39" i="71"/>
  <c r="CW53" i="71" a="1"/>
  <c r="CW53" i="71" s="1"/>
  <c r="CY50" i="71"/>
  <c r="CY49" i="71"/>
  <c r="CW32" i="71"/>
  <c r="CY38" i="71"/>
  <c r="CY45" i="71"/>
  <c r="CW54" i="71" a="1"/>
  <c r="CW54" i="71" s="1"/>
  <c r="CY43" i="71"/>
  <c r="CW55" i="71" a="1"/>
  <c r="CW55" i="71" s="1"/>
  <c r="CY48" i="71"/>
  <c r="CY37" i="71"/>
  <c r="CY47" i="71"/>
  <c r="CY42" i="71"/>
  <c r="CY46" i="71"/>
  <c r="E16" i="32"/>
  <c r="O19" i="68"/>
  <c r="O10" i="68"/>
  <c r="O18" i="68"/>
  <c r="DD8" i="71" a="1"/>
  <c r="DD8" i="71" s="1"/>
  <c r="DE8" i="71" s="1" a="1"/>
  <c r="DE8" i="71" s="1"/>
  <c r="C10" i="68"/>
  <c r="C19" i="68"/>
  <c r="C18" i="68"/>
  <c r="CX24" i="71"/>
  <c r="S31" i="68" l="1"/>
  <c r="C47" i="68"/>
  <c r="S47" i="68"/>
  <c r="J73" i="32"/>
  <c r="J148" i="32" s="1"/>
  <c r="K139" i="32"/>
  <c r="K140" i="32" s="1"/>
  <c r="K145" i="32" s="1"/>
  <c r="F154" i="32"/>
  <c r="F166" i="32"/>
  <c r="F134" i="32"/>
  <c r="F125" i="32"/>
  <c r="E166" i="32"/>
  <c r="E134" i="32"/>
  <c r="E154" i="32"/>
  <c r="E165" i="32"/>
  <c r="E152" i="32"/>
  <c r="E149" i="32"/>
  <c r="E133" i="32"/>
  <c r="E148" i="32"/>
  <c r="E153" i="32"/>
  <c r="E121" i="32"/>
  <c r="E160" i="32"/>
  <c r="F149" i="32"/>
  <c r="F148" i="32"/>
  <c r="F153" i="32"/>
  <c r="F165" i="32"/>
  <c r="F152" i="32"/>
  <c r="F133" i="32"/>
  <c r="F124" i="32"/>
  <c r="K165" i="32"/>
  <c r="K149" i="32"/>
  <c r="K148" i="32"/>
  <c r="K133" i="32"/>
  <c r="K153" i="32"/>
  <c r="K152" i="32"/>
  <c r="K124" i="32"/>
  <c r="E2" i="32"/>
  <c r="F2" i="32"/>
  <c r="CY32" i="71"/>
  <c r="O30" i="68"/>
  <c r="O31" i="68" s="1"/>
  <c r="O6" i="68"/>
  <c r="O7" i="68" s="1"/>
  <c r="O8" i="68" s="1"/>
  <c r="E36" i="32"/>
  <c r="C6" i="68"/>
  <c r="C30" i="68"/>
  <c r="C31" i="68" s="1"/>
  <c r="C7" i="68"/>
  <c r="C8" i="68" s="1"/>
  <c r="J152" i="32" l="1"/>
  <c r="J133" i="32"/>
  <c r="J153" i="32"/>
  <c r="J124" i="32"/>
  <c r="J149" i="32"/>
  <c r="J165" i="32"/>
  <c r="E122" i="32"/>
  <c r="E132" i="32"/>
  <c r="E128" i="32"/>
  <c r="E161" i="32"/>
  <c r="E131" i="32"/>
  <c r="E127" i="32"/>
  <c r="E126" i="32"/>
  <c r="CV6" i="71" a="1"/>
  <c r="CV6" i="71" s="1"/>
  <c r="CX5" i="71" s="1"/>
  <c r="CV25" i="71" a="1"/>
  <c r="CV25" i="71" s="1"/>
  <c r="CV8" i="71" a="1"/>
  <c r="CV8" i="71" s="1"/>
  <c r="E44" i="32"/>
  <c r="CZ8" i="71" l="1" a="1"/>
  <c r="CZ8" i="71" s="1"/>
  <c r="CX8" i="71" a="1"/>
  <c r="CX8" i="71" s="1"/>
  <c r="CY8" i="71" a="1"/>
  <c r="CY8" i="71" s="1"/>
  <c r="DA8" i="71" s="1"/>
  <c r="CW8" i="71"/>
  <c r="CY25" i="71" a="1"/>
  <c r="CY25" i="71" s="1"/>
  <c r="CW25" i="71" s="1" a="1"/>
  <c r="CW25" i="71" s="1"/>
  <c r="E46" i="32"/>
  <c r="E123" i="32" l="1"/>
  <c r="E162" i="32"/>
  <c r="E125" i="32"/>
  <c r="E124" i="32"/>
  <c r="CW12" i="71"/>
  <c r="CX25" i="71"/>
  <c r="CW11" i="71"/>
  <c r="DB8" i="71" a="1"/>
  <c r="DB8" i="71" s="1"/>
  <c r="DC8" i="71" a="1"/>
  <c r="DC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1"/>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1"/>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1"/>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1"/>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1"/>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1"/>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1"/>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1"/>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1"/>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<sst xmlns="http://schemas.openxmlformats.org/spreadsheetml/2006/main" count="5554" uniqueCount="1271">
  <si>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</si>
  <si>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</si>
  <si>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</si>
  <si>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</si>
  <si>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</si>
  <si>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</si>
  <si>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</si>
  <si>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</si>
  <si>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</si>
  <si>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</si>
  <si>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</si>
  <si>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</si>
  <si>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</si>
  <si>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</si>
  <si>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</si>
  <si>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</si>
  <si>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</si>
  <si>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</si>
  <si>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</si>
  <si>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</si>
  <si>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</si>
  <si>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</si>
  <si>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</si>
  <si>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</si>
  <si>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</si>
  <si>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</si>
  <si>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</si>
  <si>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</si>
  <si>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</si>
  <si>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</si>
  <si>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</si>
  <si>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</si>
  <si>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</si>
  <si>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</si>
  <si>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</si>
  <si>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</si>
  <si>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</si>
  <si>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</si>
  <si>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</si>
  <si>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</si>
  <si>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</si>
  <si>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</si>
  <si>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</si>
  <si>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</si>
  <si>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</si>
  <si>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</si>
  <si>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</si>
  <si>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</si>
  <si>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</si>
  <si>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</si>
  <si>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</si>
  <si>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</si>
  <si>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</si>
  <si>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</si>
  <si>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</si>
  <si>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</si>
  <si>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</si>
  <si>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</si>
  <si>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</si>
  <si>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</si>
  <si>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</si>
  <si>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</si>
  <si>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</si>
  <si>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</si>
  <si>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</si>
  <si>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</si>
  <si>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</si>
  <si>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</si>
  <si>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</si>
  <si>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</si>
  <si>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</si>
  <si>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</si>
  <si>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</si>
  <si>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</si>
  <si>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</si>
  <si>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</si>
  <si>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</si>
  <si>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</si>
  <si>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</si>
  <si>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</si>
  <si>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</si>
  <si>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</si>
  <si>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</si>
  <si>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</si>
  <si>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</si>
  <si>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</si>
  <si>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</si>
  <si>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</si>
  <si>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</si>
  <si>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</si>
  <si>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</si>
  <si>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</si>
  <si>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</si>
  <si>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</si>
  <si>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</si>
  <si>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</si>
  <si>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</si>
  <si>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</si>
  <si>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</si>
  <si>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</si>
  <si>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</si>
  <si>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</si>
  <si>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</si>
  <si>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</si>
  <si>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</si>
  <si>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</si>
  <si>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</si>
  <si>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</si>
  <si>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</si>
  <si>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</si>
  <si>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</si>
  <si>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</si>
  <si>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</si>
  <si>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</si>
  <si>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</si>
  <si>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</si>
  <si>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</si>
  <si>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</si>
  <si>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</si>
  <si>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</si>
  <si>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</si>
  <si>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</si>
  <si>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</si>
  <si>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</si>
  <si>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</si>
  <si>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</si>
  <si>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</si>
  <si>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</si>
  <si>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</si>
  <si>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</si>
  <si>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</si>
  <si>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</si>
  <si>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</si>
  <si>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</si>
  <si>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</si>
  <si>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</si>
  <si>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</si>
  <si>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</si>
  <si>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</si>
  <si>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</si>
  <si>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</si>
  <si>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</si>
  <si>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</si>
  <si>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</si>
  <si>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</si>
  <si>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</si>
  <si>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</si>
  <si>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</si>
  <si>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</si>
  <si>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</si>
  <si>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</si>
  <si>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</si>
  <si>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</si>
  <si>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</si>
  <si>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</si>
  <si>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</si>
  <si>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</si>
  <si>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</si>
  <si>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</si>
  <si>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</si>
  <si>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</si>
  <si>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</si>
  <si>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</si>
  <si>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</si>
  <si>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</si>
  <si>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</si>
  <si>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</si>
  <si>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</si>
  <si>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</si>
  <si>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</si>
  <si>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</si>
  <si>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</si>
  <si>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</si>
  <si>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</si>
  <si>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</si>
  <si>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</si>
  <si>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</si>
  <si>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</si>
  <si>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</si>
  <si>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</si>
  <si>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</si>
  <si>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</si>
  <si>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</si>
  <si>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</si>
  <si>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</si>
  <si>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</si>
  <si>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</si>
  <si>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</si>
  <si>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</si>
  <si>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</si>
  <si>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</si>
  <si>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</si>
  <si>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</si>
  <si>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</si>
  <si>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</si>
  <si>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</si>
  <si>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</si>
  <si>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</si>
  <si>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</si>
  <si>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</si>
  <si>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</si>
  <si>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</si>
  <si>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</si>
  <si>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</si>
  <si>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</si>
  <si>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</si>
  <si>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</si>
  <si>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</si>
  <si>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</si>
  <si>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</si>
  <si>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</si>
  <si>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</si>
  <si>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</si>
  <si>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</si>
  <si>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</si>
  <si>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</si>
  <si>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</si>
  <si>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</si>
  <si>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</si>
  <si>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</si>
  <si>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</si>
  <si>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</si>
  <si>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</si>
  <si>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</si>
  <si>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</si>
  <si>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</si>
  <si>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</si>
  <si>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</si>
  <si>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</si>
  <si>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</si>
  <si>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</si>
  <si>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</si>
  <si>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</si>
  <si>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</si>
  <si>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</si>
  <si>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</si>
  <si>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</si>
  <si>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</si>
  <si>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</si>
  <si>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</si>
  <si>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</si>
  <si>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</si>
  <si>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</si>
  <si>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</si>
  <si>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</si>
  <si>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</si>
  <si>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</si>
  <si>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</si>
  <si>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</si>
  <si>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</si>
  <si>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</si>
  <si>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</si>
  <si>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</si>
  <si>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</si>
  <si>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</si>
  <si>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</si>
  <si>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</si>
  <si>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</si>
  <si>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</si>
  <si>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</si>
  <si>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</si>
  <si>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</si>
  <si>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</si>
  <si>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</si>
  <si>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</si>
  <si>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</si>
  <si>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</si>
  <si>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</si>
  <si>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</si>
  <si>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</si>
  <si>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</si>
  <si>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</si>
  <si>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</si>
  <si>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</si>
  <si>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</si>
  <si>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</si>
  <si>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</si>
  <si>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</si>
  <si>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</si>
  <si>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</si>
  <si>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</si>
  <si>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</si>
  <si>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</si>
  <si>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</si>
  <si>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</si>
  <si>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</si>
  <si>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</si>
  <si>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</si>
  <si>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</si>
  <si>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</si>
  <si>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</si>
  <si>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</si>
  <si>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</si>
  <si>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</si>
  <si>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</si>
  <si>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</si>
  <si>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</si>
  <si>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</si>
  <si>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</si>
  <si>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</si>
  <si>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</si>
  <si>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</si>
  <si>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</si>
  <si>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</si>
  <si>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</si>
  <si>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</si>
  <si>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</si>
  <si>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</si>
  <si>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</si>
  <si>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</si>
  <si>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</si>
  <si>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</si>
  <si>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</si>
  <si>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</si>
  <si>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</si>
  <si>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</si>
  <si>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</si>
  <si>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</si>
  <si>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</si>
  <si>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</si>
  <si>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</si>
  <si>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</si>
  <si>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</si>
  <si>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</si>
  <si>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</si>
  <si>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</si>
  <si>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</si>
  <si>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</si>
  <si>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</si>
  <si>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</si>
  <si>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</si>
  <si>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</si>
  <si>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</si>
  <si>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</si>
  <si>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</si>
  <si>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</si>
  <si>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</si>
  <si>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</si>
  <si>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</si>
  <si>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</si>
  <si>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</si>
  <si>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</si>
  <si>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</si>
  <si>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</si>
  <si>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</si>
  <si>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</si>
  <si>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</si>
  <si>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</si>
  <si>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</si>
  <si>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</si>
  <si>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</si>
  <si>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</si>
  <si>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</si>
  <si>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</si>
  <si>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</si>
  <si>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</si>
  <si>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</si>
  <si>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</si>
  <si>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</si>
  <si>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</si>
  <si>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</si>
  <si>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</si>
  <si>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02</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</si>
  <si>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</si>
  <si>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</si>
  <si>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</si>
  <si>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</si>
  <si>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</si>
  <si>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</si>
  <si>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</si>
  <si>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</si>
  <si>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</si>
  <si>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</si>
  <si>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</si>
  <si>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</si>
  <si>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</si>
  <si>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</si>
  <si>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</si>
  <si>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</si>
  <si>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</si>
  <si>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</si>
  <si>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</si>
  <si>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</si>
  <si>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</si>
  <si>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</si>
  <si>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</si>
  <si>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</si>
  <si>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</si>
  <si>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</si>
  <si>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</si>
  <si>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</si>
  <si>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</si>
  <si>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</si>
  <si>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</si>
  <si>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</si>
  <si>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</si>
  <si>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</si>
  <si>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</si>
  <si>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</si>
  <si>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</si>
  <si>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</si>
  <si>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</si>
  <si>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</si>
  <si>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</si>
  <si>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</si>
  <si>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</si>
  <si>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</si>
  <si>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</si>
  <si>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</si>
  <si>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</si>
  <si>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</si>
  <si>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</si>
  <si>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</si>
  <si>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</si>
  <si>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</si>
  <si>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</si>
  <si>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</si>
  <si>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</si>
  <si>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</si>
  <si>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</si>
  <si>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</si>
  <si>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</si>
  <si>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</si>
  <si>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</si>
  <si>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</si>
  <si>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</si>
  <si>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</si>
  <si>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</si>
  <si>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</si>
  <si>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</si>
  <si>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</si>
  <si>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</si>
  <si>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</si>
  <si>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</si>
  <si>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</si>
  <si>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</si>
  <si>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</si>
  <si>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</si>
  <si>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</si>
  <si>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</si>
  <si>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</si>
  <si>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</si>
  <si>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</si>
  <si>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</si>
  <si>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</si>
  <si>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</si>
  <si>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</si>
  <si>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</si>
  <si>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</si>
  <si>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</si>
  <si>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</si>
  <si>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</si>
  <si>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</si>
  <si>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</si>
  <si>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</si>
  <si>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</si>
  <si>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</si>
  <si>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</si>
  <si>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</si>
  <si>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</si>
  <si>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</si>
  <si>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</si>
  <si>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</si>
  <si>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</si>
  <si>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</si>
  <si>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</si>
  <si>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</si>
  <si>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</si>
  <si>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</si>
  <si>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</si>
  <si>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</si>
  <si>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</si>
  <si>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</si>
  <si>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</si>
  <si>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</si>
  <si>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</si>
  <si>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</si>
  <si>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</si>
  <si>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</si>
  <si>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</si>
  <si>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</si>
  <si>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</si>
  <si>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</si>
  <si>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</si>
  <si>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</si>
  <si>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</si>
  <si>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</si>
  <si>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</si>
  <si>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</si>
  <si>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</si>
  <si>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</si>
  <si>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</si>
  <si>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</si>
  <si>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</si>
  <si>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</si>
  <si>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</si>
  <si>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</si>
  <si>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</si>
  <si>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</si>
  <si>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</si>
  <si>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</si>
  <si>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</si>
  <si>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</si>
  <si>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</si>
  <si>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</si>
  <si>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</si>
  <si>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</si>
  <si>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</si>
  <si>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</si>
  <si>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</si>
  <si>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</si>
  <si>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</si>
  <si>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</si>
  <si>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</si>
  <si>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</si>
  <si>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</si>
  <si>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</si>
  <si>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</si>
  <si>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</si>
  <si>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</si>
  <si>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</si>
  <si>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</si>
  <si>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</si>
  <si>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</si>
  <si>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</si>
  <si>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</si>
  <si>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</si>
  <si>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</si>
  <si>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</si>
  <si>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</si>
  <si>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</si>
  <si>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</si>
  <si>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</si>
  <si>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</si>
  <si>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</si>
  <si>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</si>
  <si>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</si>
  <si>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</si>
  <si>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</si>
  <si>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</si>
  <si>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</si>
  <si>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</si>
  <si>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</si>
  <si>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</si>
  <si>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</si>
  <si>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</si>
  <si>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</si>
  <si>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</si>
  <si>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</si>
  <si>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</si>
  <si>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</si>
  <si>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</si>
  <si>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</si>
  <si>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</si>
  <si>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</si>
  <si>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</si>
  <si>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</si>
  <si>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</si>
  <si>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</si>
  <si>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</si>
  <si>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</si>
  <si>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</si>
  <si>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</si>
  <si>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</si>
  <si>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</si>
  <si>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</si>
  <si>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</si>
  <si>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</si>
  <si>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</si>
  <si>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</si>
  <si>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</si>
  <si>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</si>
  <si>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</si>
  <si>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</si>
  <si>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</si>
  <si>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</si>
  <si>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</si>
  <si>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</si>
  <si>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</si>
  <si>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</si>
  <si>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</si>
  <si>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</si>
  <si>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</si>
  <si>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</si>
  <si>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</si>
  <si>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</si>
  <si>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</si>
  <si>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</si>
  <si>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</si>
  <si>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</si>
  <si>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</si>
  <si>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</si>
  <si>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</si>
  <si>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</si>
  <si>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</si>
  <si>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</si>
  <si>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</si>
  <si>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</si>
  <si>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</si>
  <si>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</si>
  <si>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</si>
  <si>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</si>
  <si>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</si>
  <si>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</si>
  <si>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</si>
  <si>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</si>
  <si>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</si>
  <si>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</si>
  <si>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</si>
  <si>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</si>
  <si>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</si>
  <si>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</si>
  <si>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</si>
  <si>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</si>
  <si>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</si>
  <si>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</si>
  <si>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</si>
  <si>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</si>
  <si>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</si>
  <si>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</si>
  <si>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</si>
  <si>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</si>
  <si>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</si>
  <si>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</si>
  <si>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</si>
  <si>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</si>
  <si>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</si>
  <si>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</si>
  <si>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</si>
  <si>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</si>
  <si>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</si>
  <si>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</si>
  <si>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</si>
  <si>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</si>
  <si>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</si>
  <si>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</si>
  <si>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</si>
  <si>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</si>
  <si>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</si>
  <si>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</si>
  <si>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</si>
  <si>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</si>
  <si>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</si>
  <si>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</si>
  <si>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</si>
  <si>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</si>
  <si>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</si>
  <si>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</si>
  <si>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</si>
  <si>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</si>
  <si>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</si>
  <si>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</si>
  <si>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</si>
  <si>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</si>
  <si>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</si>
  <si>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</si>
  <si>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</si>
  <si>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</si>
  <si>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</si>
  <si>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</si>
  <si>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</si>
  <si>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</si>
  <si>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</si>
  <si>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</si>
  <si>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</si>
  <si>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</si>
  <si>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</si>
  <si>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</si>
  <si>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</si>
  <si>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</si>
  <si>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</si>
  <si>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</si>
  <si>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</si>
  <si>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</si>
  <si>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</si>
  <si>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</si>
  <si>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</si>
  <si>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</si>
  <si>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</si>
  <si>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</si>
  <si>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</si>
  <si>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</si>
  <si>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</si>
  <si>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</si>
  <si>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</si>
  <si>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</si>
  <si>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</si>
  <si>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</si>
  <si>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</si>
  <si>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</si>
  <si>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</si>
  <si>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</si>
  <si>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</si>
  <si>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</si>
  <si>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</si>
  <si>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</si>
  <si>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</si>
  <si>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</si>
  <si>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</si>
  <si>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</si>
  <si>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</si>
  <si>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</si>
  <si>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</si>
  <si>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</si>
  <si>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</si>
  <si>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</si>
  <si>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</si>
  <si>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</si>
  <si>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</si>
  <si>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</si>
  <si>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</si>
  <si>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</si>
  <si>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</si>
  <si>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</si>
  <si>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</si>
  <si>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</si>
  <si>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</si>
  <si>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</si>
  <si>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</si>
  <si>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</si>
  <si>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</si>
  <si>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</si>
  <si>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</si>
  <si>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</si>
  <si>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</si>
  <si>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</si>
  <si>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</si>
  <si>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</si>
  <si>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</si>
  <si>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</si>
  <si>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</si>
  <si>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</si>
  <si>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</si>
  <si>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</si>
  <si>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</si>
  <si>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</si>
  <si>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</si>
  <si>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</si>
  <si>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</si>
  <si>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</si>
  <si>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</si>
  <si>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</si>
  <si>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</si>
  <si>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</si>
  <si>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</si>
  <si>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</si>
  <si>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</si>
  <si>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</si>
  <si>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</si>
  <si>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</si>
  <si>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</si>
  <si>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</si>
  <si>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</si>
  <si>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</si>
  <si>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</si>
  <si>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</si>
  <si>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Nhóm vendor</t>
  </si>
  <si>
    <t>Vendor</t>
  </si>
  <si>
    <t>Tỷ suất VAT kháu trừ</t>
  </si>
  <si>
    <t>Bán hàng</t>
  </si>
  <si>
    <t>Văn phòng</t>
  </si>
  <si>
    <t>Chi phí tiện ích - Năng lượng</t>
  </si>
  <si>
    <t>Chưa phân bổ</t>
  </si>
  <si>
    <t>Chi phí tiện ích - Cấp thoát nước</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</si>
  <si>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</si>
  <si>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</si>
  <si>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</si>
  <si>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</si>
  <si>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</si>
  <si>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</si>
  <si>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</si>
  <si>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</si>
  <si>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</si>
  <si>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</si>
  <si>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</si>
  <si>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</si>
  <si>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</si>
  <si>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</si>
  <si>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</si>
  <si>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</si>
  <si>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</si>
  <si>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</si>
  <si>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</si>
  <si>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</si>
  <si>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</si>
  <si>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</si>
  <si>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</si>
  <si>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</si>
  <si>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</si>
  <si>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</si>
  <si>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</si>
  <si>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</si>
  <si>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</si>
  <si>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</si>
  <si>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</si>
  <si>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</si>
  <si>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</si>
  <si>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</si>
  <si>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</si>
  <si>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</si>
  <si>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</si>
  <si>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</si>
  <si>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</si>
  <si>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</si>
  <si>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</si>
  <si>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</si>
  <si>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</si>
  <si>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</si>
  <si>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</si>
  <si>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</si>
  <si>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</si>
  <si>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</si>
  <si>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</si>
  <si>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</si>
  <si>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</si>
  <si>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</si>
  <si>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</si>
  <si>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</si>
  <si>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</si>
  <si>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</si>
  <si>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</si>
  <si>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</si>
  <si>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</si>
  <si>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</si>
  <si>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</si>
  <si>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</si>
  <si>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</si>
  <si>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</si>
  <si>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</si>
  <si>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</si>
  <si>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</si>
  <si>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</si>
  <si>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</si>
  <si>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</si>
  <si>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</si>
  <si>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</si>
  <si>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</si>
  <si>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</si>
  <si>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</si>
  <si>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</si>
  <si>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</si>
  <si>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</si>
  <si>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</si>
  <si>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</si>
  <si>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</si>
  <si>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</si>
  <si>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</si>
  <si>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</si>
  <si>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</si>
  <si>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</si>
  <si>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</si>
  <si>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</si>
  <si>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</si>
  <si>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</si>
  <si>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</si>
  <si>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</si>
  <si>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</si>
  <si>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</si>
  <si>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</si>
  <si>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</si>
  <si>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</si>
  <si>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</si>
  <si>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</si>
  <si>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</si>
  <si>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</si>
  <si>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</si>
  <si>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</si>
  <si>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</si>
  <si>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</si>
  <si>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</si>
  <si>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</si>
  <si>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</si>
  <si>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</si>
  <si>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</si>
  <si>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</si>
  <si>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</si>
  <si>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</si>
  <si>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</si>
  <si>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</si>
  <si>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</si>
  <si>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</si>
  <si>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</si>
  <si>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</si>
  <si>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</si>
  <si>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</si>
  <si>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</si>
  <si>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</si>
  <si>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</si>
  <si>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</si>
  <si>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</si>
  <si>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</si>
  <si>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</si>
  <si>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</si>
  <si>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</si>
  <si>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</si>
  <si>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</si>
  <si>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</si>
  <si>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</si>
  <si>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</si>
  <si>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</si>
  <si>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</si>
  <si>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</si>
  <si>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</si>
  <si>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</si>
  <si>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</si>
  <si>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</si>
  <si>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</si>
  <si>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</si>
  <si>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</si>
  <si>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</si>
  <si>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</si>
  <si>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</si>
  <si>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</si>
  <si>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</si>
  <si>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</si>
  <si>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</si>
  <si>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</si>
  <si>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</si>
  <si>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</si>
  <si>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</si>
  <si>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</si>
  <si>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</si>
  <si>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</si>
  <si>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</si>
  <si>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</si>
  <si>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</si>
  <si>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</si>
  <si>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</si>
  <si>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</si>
  <si>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</si>
  <si>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</si>
  <si>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</si>
  <si>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</si>
  <si>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</si>
  <si>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</si>
  <si>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</si>
  <si>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</si>
  <si>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</si>
  <si>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</si>
  <si>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</si>
  <si>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</si>
  <si>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</si>
  <si>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</si>
  <si>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</si>
  <si>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</si>
  <si>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</si>
  <si>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</si>
  <si>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</si>
  <si>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</si>
  <si>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</si>
  <si>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</si>
  <si>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</si>
  <si>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</si>
  <si>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</si>
  <si>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</si>
  <si>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</si>
  <si>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</si>
  <si>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</si>
  <si>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</si>
  <si>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</si>
  <si>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</si>
  <si>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</si>
  <si>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</si>
  <si>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</si>
  <si>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</si>
  <si>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</si>
  <si>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</si>
  <si>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</si>
  <si>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</si>
  <si>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</si>
  <si>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</si>
  <si>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</si>
  <si>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</si>
  <si>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</si>
  <si>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</si>
  <si>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</si>
  <si>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</si>
  <si>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</si>
  <si>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</si>
  <si>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</si>
  <si>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</si>
  <si>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</si>
  <si>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</si>
  <si>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</si>
  <si>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</si>
  <si>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</si>
  <si>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</si>
  <si>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</si>
  <si>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</si>
  <si>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</si>
  <si>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</si>
  <si>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</si>
  <si>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</si>
  <si>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</si>
  <si>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</si>
  <si>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</si>
  <si>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</si>
  <si>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</si>
  <si>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</si>
  <si>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</si>
  <si>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</si>
  <si>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</si>
  <si>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</si>
  <si>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</si>
  <si>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</si>
  <si>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</si>
  <si>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</si>
  <si>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</si>
  <si>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</si>
  <si>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</si>
  <si>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</si>
  <si>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</si>
  <si>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</si>
  <si>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</si>
  <si>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</si>
  <si>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</si>
  <si>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</si>
  <si>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</si>
  <si>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</si>
  <si>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</si>
  <si>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</si>
  <si>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</si>
  <si>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</si>
  <si>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</si>
  <si>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</si>
  <si>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</si>
  <si>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</si>
  <si>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</si>
  <si>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</si>
  <si>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</si>
  <si>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</si>
  <si>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</si>
  <si>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</si>
  <si>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</si>
  <si>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</si>
  <si>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</si>
  <si>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</si>
  <si>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</si>
  <si>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</si>
  <si>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</si>
  <si>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</si>
  <si>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</si>
  <si>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</si>
  <si>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</si>
  <si>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</si>
  <si>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</si>
  <si>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</si>
  <si>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</si>
  <si>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</si>
  <si>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</si>
  <si>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</si>
  <si>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</si>
  <si>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</si>
  <si>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</si>
  <si>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</si>
  <si>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</si>
  <si>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</si>
  <si>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</si>
  <si>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</si>
  <si>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</si>
  <si>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</si>
  <si>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</si>
  <si>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</si>
  <si>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</si>
  <si>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</si>
  <si>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</si>
  <si>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</si>
  <si>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</si>
  <si>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</si>
  <si>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</si>
  <si>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</si>
  <si>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</si>
  <si>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</si>
  <si>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</si>
  <si>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</si>
  <si>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</si>
  <si>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</si>
  <si>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</si>
  <si>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</si>
  <si>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</si>
  <si>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</si>
  <si>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</si>
  <si>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</si>
  <si>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</si>
  <si>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</si>
  <si>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</si>
  <si>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</si>
  <si>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</si>
  <si>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</si>
  <si>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</si>
  <si>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</si>
  <si>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</si>
  <si>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</si>
  <si>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</si>
  <si>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</si>
  <si>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</si>
  <si>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</si>
  <si>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</si>
  <si>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</si>
  <si>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</si>
  <si>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</si>
  <si>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</si>
  <si>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</si>
  <si>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</si>
  <si>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</si>
  <si>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</si>
  <si>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</si>
  <si>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</si>
  <si>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</si>
  <si>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</si>
  <si>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</si>
  <si>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</si>
  <si>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</si>
  <si>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</si>
  <si>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</si>
  <si>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</si>
  <si>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</si>
  <si>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</si>
  <si>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</si>
  <si>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</si>
  <si>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</si>
  <si>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</si>
  <si>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</si>
  <si>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</si>
  <si>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</si>
  <si>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</si>
  <si>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</si>
  <si>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</si>
  <si>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</si>
  <si>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</si>
  <si>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</si>
  <si>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</si>
  <si>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</si>
  <si>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</si>
  <si>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</si>
  <si>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</si>
  <si>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</si>
  <si>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</si>
  <si>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</si>
  <si>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</si>
  <si>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</si>
  <si>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</si>
  <si>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</si>
  <si>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</si>
  <si>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</si>
  <si>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</si>
  <si>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</si>
  <si>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</si>
  <si>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</si>
  <si>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</si>
  <si>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</si>
  <si>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</si>
  <si>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</si>
  <si>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</si>
  <si>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</si>
  <si>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</si>
  <si>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</si>
  <si>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</si>
  <si>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</si>
  <si>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</si>
  <si>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</si>
  <si>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</si>
  <si>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</si>
  <si>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</si>
  <si>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</si>
  <si>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</si>
  <si>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</si>
  <si>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</si>
  <si>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</si>
  <si>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</si>
  <si>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</si>
  <si>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</si>
  <si>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</si>
  <si>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</si>
  <si>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</si>
  <si>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</si>
  <si>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</si>
  <si>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</si>
  <si>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</si>
  <si>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</si>
  <si>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</si>
  <si>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</si>
  <si>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</si>
  <si>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</si>
  <si>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</si>
  <si>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</si>
  <si>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</si>
  <si>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</si>
  <si>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</si>
  <si>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</si>
  <si>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</si>
  <si>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</si>
  <si>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</si>
  <si>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</si>
  <si>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</si>
  <si>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</si>
  <si>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</si>
  <si>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</si>
  <si>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</si>
  <si>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</si>
  <si>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</si>
  <si>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</si>
  <si>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</si>
  <si>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</si>
  <si>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</si>
  <si>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</si>
  <si>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</si>
  <si>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</si>
  <si>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</si>
  <si>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</si>
  <si>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</si>
  <si>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</si>
  <si>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</si>
  <si>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</si>
  <si>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</si>
  <si>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</si>
  <si>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</si>
  <si>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</si>
  <si>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</si>
  <si>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</si>
  <si>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</si>
  <si>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</si>
  <si>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</si>
  <si>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</si>
  <si>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</si>
  <si>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</si>
  <si>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</si>
  <si>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</si>
  <si>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</si>
  <si>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</si>
  <si>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</si>
  <si>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</si>
  <si>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</si>
  <si>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</si>
  <si>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</si>
  <si>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</si>
  <si>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</si>
  <si>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</si>
  <si>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</si>
  <si>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</si>
  <si>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</si>
  <si>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</si>
  <si>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</si>
  <si>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</si>
  <si>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</si>
  <si>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</si>
  <si>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</si>
  <si>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Tỷ lệ sản xuất</t>
  </si>
  <si>
    <t>Phân bổ sản xuất</t>
  </si>
  <si>
    <t>EVN</t>
  </si>
  <si>
    <t>NSG</t>
  </si>
  <si>
    <t>Nước Sài Gòn</t>
  </si>
  <si>
    <t>O&amp;M</t>
  </si>
  <si>
    <t>Dịch vụ O&amp;M</t>
  </si>
  <si>
    <t>Ad1</t>
  </si>
  <si>
    <t>Dịch vụ quảng cáo</t>
  </si>
  <si>
    <t>Agency1</t>
  </si>
  <si>
    <t>Dịch vụ marketing</t>
  </si>
  <si>
    <t>Soft1</t>
  </si>
  <si>
    <t>Phần mềm quản lý 1</t>
  </si>
  <si>
    <t>Secu</t>
  </si>
  <si>
    <t>Dịch vụ an ninh</t>
  </si>
  <si>
    <t>MT</t>
  </si>
  <si>
    <t>Phí môi trường</t>
  </si>
  <si>
    <t>Đầu tư Máy móc - Thiết bị</t>
  </si>
  <si>
    <t xml:space="preserve"> </t>
  </si>
  <si>
    <t>Doanh thu chưa phân phối</t>
  </si>
  <si>
    <t>4C68A711-89BE-412A-BD2D-CB33771CC62D</t>
  </si>
  <si>
    <t>EASY-33329183463</t>
  </si>
  <si>
    <t>Kế hoạch doanh thu gộp</t>
  </si>
  <si>
    <t>Quan ly Chi phi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</si>
</sst>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2">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164" fontId="11" fillId="0" borderId="0" xfId="2" applyNumberFormat="1" applyFont="1" applyAlignment="1" applyProtection="1">
      <alignment vertical="center"/>
      <protection locked="0" hidden="1"/>
    </xf>
    <xf numFmtId="9" fontId="11" fillId="0" borderId="12" xfId="2" applyFont="1" applyFill="1" applyBorder="1" applyAlignment="1" applyProtection="1">
      <alignment vertical="center"/>
      <protection locked="0" hidden="1"/>
    </xf>
    <xf numFmtId="14" fontId="11" fillId="5" borderId="0" xfId="0" applyNumberFormat="1" applyFont="1" applyFill="1" applyAlignment="1" applyProtection="1">
      <alignment horizontal="center" vertical="center"/>
      <protection locked="0" hidden="1"/>
    </xf>
    <xf numFmtId="0" fontId="17" fillId="0" borderId="22" xfId="0" applyFont="1" applyBorder="1" applyAlignment="1" applyProtection="1">
      <alignment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4">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8" formatCode="d/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3"/>
      <tableStyleElement type="headerRow" dxfId="2252"/>
    </tableStyle>
    <tableStyle name="SlicerStyleLight1 2 2" pivot="0" table="0" count="10" xr9:uid="{9DB8D611-4D15-4128-AF8D-E3329BCC5BCE}">
      <tableStyleElement type="wholeTable" dxfId="2251"/>
      <tableStyleElement type="headerRow" dxfId="2250"/>
    </tableStyle>
    <tableStyle name="TimeSlicerStyleLight1 2" pivot="0" table="0" count="9" xr9:uid="{58382D9D-B456-41C4-B229-09D2A872184E}">
      <tableStyleElement type="wholeTable" dxfId="2249"/>
      <tableStyleElement type="headerRow" dxfId="2248"/>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Dashboard_BCQT!$CV$13</c:f>
              <c:strCache>
                <c:ptCount val="1"/>
                <c:pt idx="0">
                  <c:v>Giá trị gốc</c:v>
                </c:pt>
              </c:strCache>
            </c:strRef>
          </c:tx>
          <c:spPr>
            <a:solidFill>
              <a:schemeClr val="accent1"/>
            </a:solidFill>
            <a:ln>
              <a:noFill/>
            </a:ln>
            <a:effectLst/>
          </c:spPr>
          <c:invertIfNegative val="0"/>
          <c:val>
            <c:numRef>
              <c:f>Dashboard_BCQT!$CV$14:$CV$25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Dashboard_BCQT!$CW$13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8831E816-87FC-4224-8B3D-A4AD4A7684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C95DD269-2C85-4B92-A459-4FA3AF3E9E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4-4604-8EF4-D8C410ED02D1}"/>
                </c:ext>
              </c:extLst>
            </c:dLbl>
            <c:dLbl>
              <c:idx val="2"/>
              <c:tx>
                <c:rich>
                  <a:bodyPr/>
                  <a:lstStyle/>
                  <a:p>
                    <a:fld id="{716AEDA1-7E6D-4D30-A3F4-8ADD6B8204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4-4604-8EF4-D8C410ED02D1}"/>
                </c:ext>
              </c:extLst>
            </c:dLbl>
            <c:dLbl>
              <c:idx val="3"/>
              <c:tx>
                <c:rich>
                  <a:bodyPr/>
                  <a:lstStyle/>
                  <a:p>
                    <a:fld id="{DDE8ADDA-E5E0-4EFC-878A-483CBDEDE9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4-4604-8EF4-D8C410ED02D1}"/>
                </c:ext>
              </c:extLst>
            </c:dLbl>
            <c:dLbl>
              <c:idx val="4"/>
              <c:tx>
                <c:rich>
                  <a:bodyPr/>
                  <a:lstStyle/>
                  <a:p>
                    <a:fld id="{D71EEF85-EB2A-4EEC-BD54-BAA4E175E2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4-4604-8EF4-D8C410ED02D1}"/>
                </c:ext>
              </c:extLst>
            </c:dLbl>
            <c:dLbl>
              <c:idx val="5"/>
              <c:tx>
                <c:rich>
                  <a:bodyPr/>
                  <a:lstStyle/>
                  <a:p>
                    <a:fld id="{506C8121-855F-4DDE-9484-5EEE7FA7E2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4-4604-8EF4-D8C410ED02D1}"/>
                </c:ext>
              </c:extLst>
            </c:dLbl>
            <c:dLbl>
              <c:idx val="6"/>
              <c:tx>
                <c:rich>
                  <a:bodyPr/>
                  <a:lstStyle/>
                  <a:p>
                    <a:fld id="{BEA4087C-2D54-444D-8C0A-405DEF3779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4-4604-8EF4-D8C410ED02D1}"/>
                </c:ext>
              </c:extLst>
            </c:dLbl>
            <c:dLbl>
              <c:idx val="7"/>
              <c:tx>
                <c:rich>
                  <a:bodyPr/>
                  <a:lstStyle/>
                  <a:p>
                    <a:fld id="{E0C66085-7B86-4367-846D-04C2F57D44A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4-4604-8EF4-D8C410ED02D1}"/>
                </c:ext>
              </c:extLst>
            </c:dLbl>
            <c:dLbl>
              <c:idx val="8"/>
              <c:tx>
                <c:rich>
                  <a:bodyPr/>
                  <a:lstStyle/>
                  <a:p>
                    <a:fld id="{A0C1AC38-DB63-4BFC-BF82-35270611CB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4-4604-8EF4-D8C410ED02D1}"/>
                </c:ext>
              </c:extLst>
            </c:dLbl>
            <c:dLbl>
              <c:idx val="9"/>
              <c:tx>
                <c:rich>
                  <a:bodyPr/>
                  <a:lstStyle/>
                  <a:p>
                    <a:fld id="{DA2E5207-17F8-417C-8F88-C2B2064594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4-4604-8EF4-D8C410ED02D1}"/>
                </c:ext>
              </c:extLst>
            </c:dLbl>
            <c:dLbl>
              <c:idx val="10"/>
              <c:tx>
                <c:rich>
                  <a:bodyPr/>
                  <a:lstStyle/>
                  <a:p>
                    <a:fld id="{2DDFE4DF-5628-4682-80D1-A0B0E3FF64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4-4604-8EF4-D8C410ED02D1}"/>
                </c:ext>
              </c:extLst>
            </c:dLbl>
            <c:dLbl>
              <c:idx val="11"/>
              <c:tx>
                <c:rich>
                  <a:bodyPr/>
                  <a:lstStyle/>
                  <a:p>
                    <a:fld id="{050A31EE-FE1D-45D3-863E-5BC1B07571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Dashboard_BCQT!$CX$14:$CX$25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Dashboard_BCQT!$CY$13</c:f>
              <c:strCache>
                <c:ptCount val="1"/>
                <c:pt idx="0">
                  <c:v>Hiệu quả</c:v>
                </c:pt>
              </c:strCache>
            </c:strRef>
          </c:tx>
          <c:spPr>
            <a:ln w="28575" cap="rnd">
              <a:solidFill>
                <a:schemeClr val="accent2"/>
              </a:solidFill>
              <a:round/>
            </a:ln>
            <a:effectLst/>
          </c:spPr>
          <c:marker>
            <c:symbol val="none"/>
          </c:marker>
          <c:val>
            <c:numRef>
              <c:f>Dashboard_BCQT!$CY$14:$CY$25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8F498EBB-7823-4EAE-AF47-B55F9E839E22}" type="CELLRANGE">
                      <a:rPr lang="en-US" baseline="0"/>
                      <a:pPr/>
                      <a:t>[CELLRANGE]</a:t>
                    </a:fld>
                    <a:r>
                      <a:rPr lang="en-US" baseline="0"/>
                      <a:t>; </a:t>
                    </a:r>
                    <a:fld id="{CE917833-F476-455A-9950-98B3E717EE41}" type="CATEGORYNAME">
                      <a:rPr lang="en-US" baseline="0"/>
                      <a:pPr/>
                      <a:t>[CATEGORY NAME]</a:t>
                    </a:fld>
                    <a:r>
                      <a:rPr lang="en-US" baseline="0"/>
                      <a:t>; </a:t>
                    </a:r>
                    <a:fld id="{68FC46DD-89CD-48B6-9BF7-CABFCD9C56F9}"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26B302F6-2D01-4983-9D07-86CA7CFA58EA}" type="CELLRANGE">
                      <a:rPr lang="en-US"/>
                      <a:pPr/>
                      <a:t>[CELLRANGE]</a:t>
                    </a:fld>
                    <a:r>
                      <a:rPr lang="en-US" baseline="0"/>
                      <a:t>; </a:t>
                    </a:r>
                    <a:fld id="{EF06FD41-D6DE-4081-BD42-73C2F6C53A9A}" type="CATEGORYNAME">
                      <a:rPr lang="en-US" baseline="0"/>
                      <a:pPr/>
                      <a:t>[CATEGORY NAME]</a:t>
                    </a:fld>
                    <a:r>
                      <a:rPr lang="en-US" baseline="0"/>
                      <a:t>; </a:t>
                    </a:r>
                    <a:fld id="{4F8B792C-5832-4941-9D30-85661DFEBF41}"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Dashboard_BCQT!$CU$28:$CU$29</c:f>
              <c:strCache>
                <c:ptCount val="2"/>
                <c:pt idx="0">
                  <c:v>CP biến đổi</c:v>
                </c:pt>
                <c:pt idx="1">
                  <c:v>CP cố định</c:v>
                </c:pt>
              </c:strCache>
            </c:strRef>
          </c:cat>
          <c:val>
            <c:numRef>
              <c:f>Dashboard_BCQT!$CV$28:$CV$29</c:f>
              <c:numCache>
                <c:formatCode>General</c:formatCode>
                <c:ptCount val="2"/>
                <c:pt idx="0">
                  <c:v>0</c:v>
                </c:pt>
                <c:pt idx="1">
                  <c:v>0</c:v>
                </c:pt>
              </c:numCache>
            </c:numRef>
          </c:val>
          <c:extLst>
            <c:ext xmlns:c15="http://schemas.microsoft.com/office/drawing/2012/chart" uri="{02D57815-91ED-43cb-92C2-25804820EDAC}">
              <c15:datalabelsRange>
                <c15:f>Dashboard_BCQT!$CW$28:$CW$29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Dashboard_BCQT!$CP$4</c:f>
              <c:strCache>
                <c:ptCount val="1"/>
                <c:pt idx="0">
                  <c:v>Giá trị gốc</c:v>
                </c:pt>
              </c:strCache>
            </c:strRef>
          </c:tx>
          <c:spPr>
            <a:solidFill>
              <a:schemeClr val="accent1"/>
            </a:solidFill>
            <a:ln>
              <a:noFill/>
            </a:ln>
            <a:effectLst/>
          </c:spPr>
          <c:invertIfNegative val="0"/>
          <c:cat>
            <c:numRef>
              <c:f>Dashboard_BCQT!$CO$5:$CO$6</c:f>
              <c:numCache>
                <c:formatCode>General</c:formatCode>
                <c:ptCount val="2"/>
                <c:pt idx="0">
                  <c:v>2023</c:v>
                </c:pt>
                <c:pt idx="1">
                  <c:v>2024</c:v>
                </c:pt>
              </c:numCache>
            </c:numRef>
          </c:cat>
          <c:val>
            <c:numRef>
              <c:f>Dashboard_BCQT!$CP$5:$CP$6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Dashboard_BCQT!$CQ$4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946C8066-EF66-43C8-9BCB-1C1619418C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619E4486-ED81-4802-978B-CF0124C80CB3}" type="CELLRANGE">
                      <a:rPr lang="vi-VN"/>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Dashboard_BCQT!$CO$5:$CO$6</c:f>
              <c:numCache>
                <c:formatCode>General</c:formatCode>
                <c:ptCount val="2"/>
                <c:pt idx="0">
                  <c:v>2023</c:v>
                </c:pt>
                <c:pt idx="1">
                  <c:v>2024</c:v>
                </c:pt>
              </c:numCache>
            </c:numRef>
          </c:cat>
          <c:val>
            <c:numRef>
              <c:f>Dashboard_BCQT!$CQ$5:$CQ$6</c:f>
              <c:numCache>
                <c:formatCode>_(* #,##0_);_(* \(#,##0\);_(* "-"??_);_(@_)</c:formatCode>
                <c:ptCount val="2"/>
                <c:pt idx="0">
                  <c:v>0</c:v>
                </c:pt>
                <c:pt idx="1">
                  <c:v>0</c:v>
                </c:pt>
              </c:numCache>
            </c:numRef>
          </c:val>
          <c:extLst>
            <c:ext xmlns:c15="http://schemas.microsoft.com/office/drawing/2012/chart" uri="{02D57815-91ED-43cb-92C2-25804820EDAC}">
              <c15:datalabelsRange>
                <c15:f>Dashboard_BCQT!$CR$5:$CR$6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Dashboard_BCQT!$CS$4</c:f>
              <c:strCache>
                <c:ptCount val="1"/>
                <c:pt idx="0">
                  <c:v>Hiệu quả</c:v>
                </c:pt>
              </c:strCache>
            </c:strRef>
          </c:tx>
          <c:spPr>
            <a:ln w="28575" cap="rnd">
              <a:solidFill>
                <a:schemeClr val="accent3"/>
              </a:solidFill>
              <a:round/>
            </a:ln>
            <a:effectLst/>
          </c:spPr>
          <c:marker>
            <c:symbol val="none"/>
          </c:marker>
          <c:cat>
            <c:numRef>
              <c:f>Dashboard_BCQT!$CO$5:$CO$6</c:f>
              <c:numCache>
                <c:formatCode>General</c:formatCode>
                <c:ptCount val="2"/>
                <c:pt idx="0">
                  <c:v>2023</c:v>
                </c:pt>
                <c:pt idx="1">
                  <c:v>2024</c:v>
                </c:pt>
              </c:numCache>
            </c:numRef>
          </c:cat>
          <c:val>
            <c:numRef>
              <c:f>Dashboard_BCQT!$CS$5:$CS$6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Dashboard_BCQT!$CV$34:$CV$50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FBF17454-C03E-4BC5-B2FD-2AD51238D6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FDD4040A-FAF1-4A17-B6E0-2F4FD5C017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B9BBE2E3-386B-43FF-93A6-7A52025EF1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D840652A-102C-481B-AEFD-4A91EBAF09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2A999400-AF81-45CB-AED0-515745EBBC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4309895C-6703-41C5-A2BB-5E2442C55F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2A21D1E8-0C15-4A06-A380-7BED9E6260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132D027D-67E5-4D1E-BE4C-5D2A343414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33A418F5-E016-45A0-BD08-003AB50C4A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36EB9168-D585-4FD1-AA7C-D19F4BC451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ACEB329D-56C3-45E0-9EDD-937C5A3935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D828135E-0A41-4C2F-92CD-E0F2DC3DF2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E93AF608-53F6-4459-B7C3-57346B2802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95B0646A-4285-4D64-9DA4-2290AE4A93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DDCCF989-F347-48FA-8291-D224F4491A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45AD5A8E-7A89-48BA-898F-B6E1B5CD8C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0859594F-AC85-4BF7-B698-41667CAA2F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EB97C7F6-48F6-4C68-9C77-06CB5CF127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A231E5F9-EE02-4786-93B1-99EDE2E7DBB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C1545928-0AA1-4263-806D-60BB2B3D28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FF8FA0F7-4062-4CD9-943D-A2B0235389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B1832130-1188-4F96-8F16-7865B9E344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9B3C5C78-4CD0-42D0-A98E-D7AB5FFE7B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C0C54E9E-9FFA-4616-926C-2A46B65BFB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D282A270-38A8-482F-877E-B77B5179CE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5A40BA76-4C3D-431C-B358-ABE357EED5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5D5A47FE-0CD8-40F6-920C-1C62E7E161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D830D6C5-E377-4679-9D07-4876B8EBDB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E0374691-B46C-408F-947E-AB24A5010E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E-400D-9BDB-C2C912AC3EA6}"/>
                </c:ext>
              </c:extLst>
            </c:dLbl>
            <c:dLbl>
              <c:idx val="5"/>
              <c:tx>
                <c:rich>
                  <a:bodyPr/>
                  <a:lstStyle/>
                  <a:p>
                    <a:fld id="{3460B9F4-E6F5-49C8-A204-9320E3D3AC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E-400D-9BDB-C2C912AC3EA6}"/>
                </c:ext>
              </c:extLst>
            </c:dLbl>
            <c:dLbl>
              <c:idx val="6"/>
              <c:tx>
                <c:rich>
                  <a:bodyPr/>
                  <a:lstStyle/>
                  <a:p>
                    <a:fld id="{0B7A6567-577D-4F4D-B6C8-6AFF9D3069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E-400D-9BDB-C2C912AC3EA6}"/>
                </c:ext>
              </c:extLst>
            </c:dLbl>
            <c:dLbl>
              <c:idx val="7"/>
              <c:tx>
                <c:rich>
                  <a:bodyPr/>
                  <a:lstStyle/>
                  <a:p>
                    <a:fld id="{90854001-3F36-41FC-8D5B-0F3AD17043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E-400D-9BDB-C2C912AC3EA6}"/>
                </c:ext>
              </c:extLst>
            </c:dLbl>
            <c:dLbl>
              <c:idx val="8"/>
              <c:tx>
                <c:rich>
                  <a:bodyPr/>
                  <a:lstStyle/>
                  <a:p>
                    <a:fld id="{B8208234-FEAA-48EC-A5C5-75D10624E8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E-400D-9BDB-C2C912AC3EA6}"/>
                </c:ext>
              </c:extLst>
            </c:dLbl>
            <c:dLbl>
              <c:idx val="9"/>
              <c:tx>
                <c:rich>
                  <a:bodyPr/>
                  <a:lstStyle/>
                  <a:p>
                    <a:fld id="{13A37BE9-7AE3-4787-8348-224F0B9BBB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E-400D-9BDB-C2C912AC3EA6}"/>
                </c:ext>
              </c:extLst>
            </c:dLbl>
            <c:dLbl>
              <c:idx val="10"/>
              <c:tx>
                <c:rich>
                  <a:bodyPr/>
                  <a:lstStyle/>
                  <a:p>
                    <a:fld id="{9442D0C6-FF75-4DDA-980F-D5ADC05DFE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07A97652-AC52-4BD8-91B5-E50671F4B5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733C9C2F-6FFF-45C2-AB58-4FCCAE9347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27BEC430-53E6-47C0-92A6-5865DBAF408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46636396-CA25-467E-AE1D-4037337251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CC504A5C-AD61-40F9-B33F-86797E7F74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756E7C1D-51BC-40E7-AB75-891DD327CE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9DE-400D-9BDB-C2C912AC3EA6}"/>
                </c:ext>
              </c:extLst>
            </c:dLbl>
            <c:dLbl>
              <c:idx val="5"/>
              <c:tx>
                <c:rich>
                  <a:bodyPr/>
                  <a:lstStyle/>
                  <a:p>
                    <a:fld id="{F57F3FC7-9244-4B4E-9D73-CED4FD5C4F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9DE-400D-9BDB-C2C912AC3EA6}"/>
                </c:ext>
              </c:extLst>
            </c:dLbl>
            <c:dLbl>
              <c:idx val="6"/>
              <c:tx>
                <c:rich>
                  <a:bodyPr/>
                  <a:lstStyle/>
                  <a:p>
                    <a:fld id="{9D9F6CAD-3609-42EC-97E0-E4DAE83B612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9DE-400D-9BDB-C2C912AC3EA6}"/>
                </c:ext>
              </c:extLst>
            </c:dLbl>
            <c:dLbl>
              <c:idx val="7"/>
              <c:tx>
                <c:rich>
                  <a:bodyPr/>
                  <a:lstStyle/>
                  <a:p>
                    <a:fld id="{FC7B79BF-5FEF-4DDF-A632-CE14EBAC3F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9DE-400D-9BDB-C2C912AC3EA6}"/>
                </c:ext>
              </c:extLst>
            </c:dLbl>
            <c:dLbl>
              <c:idx val="8"/>
              <c:tx>
                <c:rich>
                  <a:bodyPr/>
                  <a:lstStyle/>
                  <a:p>
                    <a:fld id="{A4789D17-1F8F-460C-8F09-7E6DCD2262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9DE-400D-9BDB-C2C912AC3EA6}"/>
                </c:ext>
              </c:extLst>
            </c:dLbl>
            <c:dLbl>
              <c:idx val="9"/>
              <c:tx>
                <c:rich>
                  <a:bodyPr/>
                  <a:lstStyle/>
                  <a:p>
                    <a:fld id="{B7C8214C-76AD-41E7-954A-C97CF02D0C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9DE-400D-9BDB-C2C912AC3EA6}"/>
                </c:ext>
              </c:extLst>
            </c:dLbl>
            <c:dLbl>
              <c:idx val="10"/>
              <c:tx>
                <c:rich>
                  <a:bodyPr/>
                  <a:lstStyle/>
                  <a:p>
                    <a:fld id="{EBEA46BA-9F35-4D41-95B0-F340AB5875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A13C08D7-8600-4F8B-AC70-2A1B36616B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D1DEEBFF-B78E-4DE9-A8C8-AC166B6CF4C4}" type="CATEGORYNAME">
                      <a:rPr lang="en-US"/>
                      <a:pPr/>
                      <a:t>[CATEGORY NAME]</a:t>
                    </a:fld>
                    <a:r>
                      <a:rPr lang="en-US" baseline="0"/>
                      <a:t>; </a:t>
                    </a:r>
                    <a:fld id="{B7564B71-FDB2-4A74-BA34-EA7F531F5664}"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9B4A49AB-09E3-4755-B160-F48B4EC4837A}" type="CATEGORYNAME">
                      <a:rPr lang="en-US"/>
                      <a:pPr/>
                      <a:t>[CATEGORY NAME]</a:t>
                    </a:fld>
                    <a:r>
                      <a:rPr lang="en-US" baseline="0"/>
                      <a:t>; </a:t>
                    </a:r>
                    <a:fld id="{882C19BC-193E-4C6C-8B6A-7C824BC4E7EA}"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B8ED5E28-D1FB-4F6C-9294-2F713C0803D9}" type="CATEGORYNAME">
                      <a:rPr lang="en-US"/>
                      <a:pPr/>
                      <a:t>[CATEGORY NAME]</a:t>
                    </a:fld>
                    <a:r>
                      <a:rPr lang="en-US" baseline="0"/>
                      <a:t>; </a:t>
                    </a:r>
                    <a:fld id="{768167D8-557F-424F-9776-BF9C108CD4CB}"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D060FD35-1519-40F0-94D2-224A6AB4DA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93BA7445-6F6C-4432-89EA-3219027B44B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62525A92-BB38-4D3B-AB2D-A6C6DF3A0E4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C4F3175A-F5F6-4233-9653-2F19780ECED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85F7B5BF-146E-420F-934D-9A6A7650FFE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FEB348DC-FBB9-43E8-9233-1F7B0E8CBBC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5904E67B-76B6-4807-8E93-A916C9D6DF72}"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1CFE3D93-6035-48BD-996F-2E6F61B3862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B7330676-D56B-4974-B4D3-1249E4FE7D0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1CC415C7-DC3B-494A-96FE-BF5AD8069569}"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EA3442B8-9354-4E0E-9184-A5CA480AF9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105EAD5E-8611-46B4-9401-05B8E5B5B7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AC-4E93-BDD6-6BD4DD360261}"/>
                </c:ext>
              </c:extLst>
            </c:dLbl>
            <c:dLbl>
              <c:idx val="2"/>
              <c:tx>
                <c:rich>
                  <a:bodyPr/>
                  <a:lstStyle/>
                  <a:p>
                    <a:fld id="{CBC18BF8-A22A-451A-BF09-10BC318E63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AC-4E93-BDD6-6BD4DD360261}"/>
                </c:ext>
              </c:extLst>
            </c:dLbl>
            <c:dLbl>
              <c:idx val="3"/>
              <c:tx>
                <c:rich>
                  <a:bodyPr/>
                  <a:lstStyle/>
                  <a:p>
                    <a:fld id="{0E06B0BD-F38C-4523-96A5-CFBD46714F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AC-4E93-BDD6-6BD4DD360261}"/>
                </c:ext>
              </c:extLst>
            </c:dLbl>
            <c:dLbl>
              <c:idx val="4"/>
              <c:tx>
                <c:rich>
                  <a:bodyPr/>
                  <a:lstStyle/>
                  <a:p>
                    <a:fld id="{ED5D0096-7017-4D06-8088-4FA30F69CC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AC-4E93-BDD6-6BD4DD360261}"/>
                </c:ext>
              </c:extLst>
            </c:dLbl>
            <c:dLbl>
              <c:idx val="5"/>
              <c:tx>
                <c:rich>
                  <a:bodyPr/>
                  <a:lstStyle/>
                  <a:p>
                    <a:fld id="{81E8945C-5B39-4A34-B222-8C440FA93F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AC-4E93-BDD6-6BD4DD360261}"/>
                </c:ext>
              </c:extLst>
            </c:dLbl>
            <c:dLbl>
              <c:idx val="6"/>
              <c:tx>
                <c:rich>
                  <a:bodyPr/>
                  <a:lstStyle/>
                  <a:p>
                    <a:fld id="{81105884-7729-44E0-8B42-67E38C5543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AC-4E93-BDD6-6BD4DD360261}"/>
                </c:ext>
              </c:extLst>
            </c:dLbl>
            <c:dLbl>
              <c:idx val="7"/>
              <c:tx>
                <c:rich>
                  <a:bodyPr/>
                  <a:lstStyle/>
                  <a:p>
                    <a:fld id="{5103F812-9DB1-46A3-A13B-A28602F3EC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AC-4E93-BDD6-6BD4DD360261}"/>
                </c:ext>
              </c:extLst>
            </c:dLbl>
            <c:dLbl>
              <c:idx val="8"/>
              <c:tx>
                <c:rich>
                  <a:bodyPr/>
                  <a:lstStyle/>
                  <a:p>
                    <a:fld id="{197101BA-F335-491B-8DB4-74FBC2E218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AC-4E93-BDD6-6BD4DD360261}"/>
                </c:ext>
              </c:extLst>
            </c:dLbl>
            <c:dLbl>
              <c:idx val="9"/>
              <c:tx>
                <c:rich>
                  <a:bodyPr/>
                  <a:lstStyle/>
                  <a:p>
                    <a:fld id="{E5A317B0-FEE3-443E-8520-3974D1E65D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15335AAE-116D-414A-A78A-C67450A18F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AC-4E93-BDD6-6BD4DD360261}"/>
                </c:ext>
              </c:extLst>
            </c:dLbl>
            <c:dLbl>
              <c:idx val="11"/>
              <c:tx>
                <c:rich>
                  <a:bodyPr/>
                  <a:lstStyle/>
                  <a:p>
                    <a:fld id="{C4E87C58-2B35-4225-8AFD-A4CEBD52435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461BF90C-8795-4E0F-9FEA-E199CCED7A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60E3EC20-7CED-4DAC-A010-443B876699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9D9-4B81-A762-6C0B778AC1FE}"/>
                </c:ext>
              </c:extLst>
            </c:dLbl>
            <c:dLbl>
              <c:idx val="2"/>
              <c:tx>
                <c:rich>
                  <a:bodyPr/>
                  <a:lstStyle/>
                  <a:p>
                    <a:fld id="{CFF9666B-E93C-4278-AD34-D408E8BDEE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D9-4B81-A762-6C0B778AC1FE}"/>
                </c:ext>
              </c:extLst>
            </c:dLbl>
            <c:dLbl>
              <c:idx val="3"/>
              <c:tx>
                <c:rich>
                  <a:bodyPr/>
                  <a:lstStyle/>
                  <a:p>
                    <a:fld id="{0DD409D7-57C1-4AB4-A8A8-0C5FFAFF8F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D9-4B81-A762-6C0B778AC1FE}"/>
                </c:ext>
              </c:extLst>
            </c:dLbl>
            <c:dLbl>
              <c:idx val="4"/>
              <c:tx>
                <c:rich>
                  <a:bodyPr/>
                  <a:lstStyle/>
                  <a:p>
                    <a:fld id="{29AC1559-2C07-4788-96F0-2B2C871E4F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D9-4B81-A762-6C0B778AC1FE}"/>
                </c:ext>
              </c:extLst>
            </c:dLbl>
            <c:dLbl>
              <c:idx val="5"/>
              <c:tx>
                <c:rich>
                  <a:bodyPr/>
                  <a:lstStyle/>
                  <a:p>
                    <a:fld id="{99A211F2-F722-4DD9-96B4-92208177ED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D9-4B81-A762-6C0B778AC1FE}"/>
                </c:ext>
              </c:extLst>
            </c:dLbl>
            <c:dLbl>
              <c:idx val="6"/>
              <c:tx>
                <c:rich>
                  <a:bodyPr/>
                  <a:lstStyle/>
                  <a:p>
                    <a:fld id="{2CC1EB7C-142E-4C5D-85E4-F41AE44F57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D9-4B81-A762-6C0B778AC1FE}"/>
                </c:ext>
              </c:extLst>
            </c:dLbl>
            <c:dLbl>
              <c:idx val="7"/>
              <c:tx>
                <c:rich>
                  <a:bodyPr/>
                  <a:lstStyle/>
                  <a:p>
                    <a:fld id="{5613FA37-ECB6-46DF-923C-A280EC0272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D9-4B81-A762-6C0B778AC1FE}"/>
                </c:ext>
              </c:extLst>
            </c:dLbl>
            <c:dLbl>
              <c:idx val="8"/>
              <c:tx>
                <c:rich>
                  <a:bodyPr/>
                  <a:lstStyle/>
                  <a:p>
                    <a:fld id="{09D41D85-6A37-4433-8138-56D685F5A5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D9-4B81-A762-6C0B778AC1FE}"/>
                </c:ext>
              </c:extLst>
            </c:dLbl>
            <c:dLbl>
              <c:idx val="9"/>
              <c:tx>
                <c:rich>
                  <a:bodyPr/>
                  <a:lstStyle/>
                  <a:p>
                    <a:fld id="{2BB71B13-5125-4049-9B04-AFD35D4638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B1E0E166-4A2E-480F-8113-E812D6949BE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28CCCAB2-1039-48F7-91BE-CC97E17793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E1403E06-078C-449C-9601-CE6AF394FC1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D23FC88A-27C3-4B85-86B5-EC10A4EED453}"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469C7888-B9E0-43DA-BBA1-98131B3A90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DA6CD37E-9748-4458-AD66-15CDCC3AA83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2C57FC77-9A8E-4EBC-8442-A300254F55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4A2CF091-2273-4314-9F0E-9BBED79F9A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9244EEED-D1DB-4D03-9BC0-2C29B58362E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659DC98F-BDA0-4799-AC41-6E09B6CC3D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1AFD6D15-0C2E-468D-BDDE-D11B14ED59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77EFD837-DD0B-4136-AE1B-9791601253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0A797190-DD97-46F2-A43C-0E621C51B8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E0E95892-9FBD-47E5-9245-CAAB86B3A3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F902C1E5-63AA-493E-B62E-96F0A6535A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FDC6CB9F-321E-4BF4-BA0D-1C666EAF31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023E715C-EA01-406D-B144-B8426FCFE7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68643A53-2ABD-4443-9A82-F5ADA37E0BC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4CC7D628-5B6A-4AC3-9D60-5080FCD732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C24E2E15-4447-4A39-964A-6B5CF516D3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A95AB8EC-3A2D-4B58-A748-B775ED93D0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3A1B84DE-C148-4AD7-94E7-EEFA478913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9C7AB5A6-5B8C-458C-B38E-DEF6C493E1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4E13A414-0DD8-4766-9E67-6FFDBF76FA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8B354308-F07A-4A1F-B8A7-195F5796B8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C6498715-2E67-4EDF-9CD8-852E12129C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59DE05B5-145C-4B7C-98C3-6ABC7FB9A2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718DCFF4-EA90-4E3D-8C85-3D6B62CDAF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 - PhanBoDT.xlsm]Sheet_TSCD!PivotTable3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f>_xlchart.v5.3</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_xlchart.v5.0</cx:f>
              <cx:v>Tỉnh</cx:v>
            </cx:txData>
          </cx:tx>
          <cx:spPr>
            <a:solidFill>
              <a:schemeClr val="accent1"/>
            </a:solidFill>
          </cx:spPr>
          <cx:dataId val="0"/>
          <cx:layoutPr>
            <cx:geography cultureLanguage="en-US" cultureRegion="VN" attribution="Powered by Bing">
              <cx:geoCache provider="{E9337A44-BEBE-4D9F-B70C-5C5E7DAFC167}">
                <cx:binary>7HvJjt1IluWvCFo3PWweEhkJtJFv8HmUS/IN4ZM4mxlpnH+gF73pT6hadqF2vaxl1I/Un/R1KaSQ
lJGRiOxsoBNdgiDByWf2jHZ5zz3nXPM/Ps5/eKyf77tXc1Pb8IfH+cfXed/7P/zwQ3jMn5v7cNAU
j50L7kN/8OiaH9yHD8Xj8w9P3f1U2OwHgjD74TG/7/rn+fWf/gizZc/uxD3e94Wzl8Nzt1w9h6Hu
w2/c+9Vbr+6fmsImRei74rHHP76+yX/65+KV+elfbf761bPti365Wfzzj6+/+eDrVz98P92fffWr
GlbXD08wlqADjpjCDHP08Q9+/ap2Nvv5NkbigGqiBGJw49OXnt03MPAmv4fFFL+9lo8ruX966p5D
gOf5+P83Q79Z+jd3Ht1g+5fNy2Aff3x9Wzz39r55/aoILv50K3YvD3B79vGJf/h24//0x+8uwB58
d+Wr2Hy/YX/t1p+F5uSnf3Kv4vvi8xb9HeJCDqjgiCgq9cc/6ru4sAOMiZJC6c9f+ikuJ/d/dSW/
HpUvA7+LyZfr/1AR2f/0T69u/v1//vbr+ftSBasDorRSSLJfDwk/kFQSDmH5NiT7+1c3f1OifBn4
XUi+XP+HCsn7n/7FAnz9898zS/CBlIJrRH8OCSTDN+jFDrjQiFBMP4Pb1xj2/hkW9NtZ++u58mXg
d4H5cv0fKjBnWf4f//bfXv1X+/m1/T+HL6wPCBWCUCl+vaywA824kBh9lyuwlue/spJfD8mXgd+F
5Mv1f6iQQHW1+av9T//r/u8XEyj1iHFJBUWf8Ov7ZOEHFGvCGP0uJj8vxv3mWn49Kl8N/S4uX935
h4oMVNlX//4//uPf/vvfs7RAaIhAnFPKfz004oBA2UEcqU/3P78Vn2r+y5qSv6nC/DLyu/D8cuP/
6ej8pcV9TY+/+czvpMeYHjBCqWbkE4yh7+kxcAIOOAcV5tuQfOGrf3klv54xXwZ+s+z/6wT4L5Pj
L+ohue/vNx9lx1f8+LfvfnxE0EPfDf0t9fJpvw6ffnyNEdcc6vpXIXuZ5xsVYu4fX50Uz8Pnzf92
3PN96D/OcwAC5mUqIiSXCkI1PX++QyhhWmHg0Yy/BNG6rs9/fK0PBJUMCDhWEHqhqHj9Krjh0y2E
tX55JyBnJSNYf9F9F65eMme/bMrPP7+yQ3PhCtuHH19TLF+/8p8+97JaqRTMQ5CmUA+ZZBjDN/nH
+ysQl/Bx/F+ynk587uywX+pwLPOGqUSWmiXpEBEZd75ZkZF8GZVpV7vullW1J6qYxWUA3WYC1fKc
+twmqqRnrahCt6mCcLEI0a6hpU/4EtLSWOR743qldtFQFbdN/a4aFm3aJiPXebWcclatJlclux3q
sS6Nr9cyifKIPcl54TFb/XFGq9s69Zc+iPd0me9c5N7iMpyXU79xyJ6WOTsqZLYfmKs2GbanU8bO
UEWSEZed8U167kMRZ84ZmVebKKqOIudnQ3zz3Fe8jdcZEcNtf5Gy+Z768qGi1JuWdydYttigbPyQ
YjcZjrrRtOnQGh3UW163w2YoxFY3UcxyQpJCoJhHxWxsR4ZN1+nLlTTHIeex8+NowhLFWSTf1bKL
Z4nPZ9jPgOmlp/I9tdHOVSs3qR4vAtNxbZvzvhB3OGvfYI9O3DJucyv3fT5cjNNyE7L2XeVo3NTu
jZvHN2TqzxzPo10fCNopNCsTtcO96xob476sjqnkDw0ddgNb3/Kgj8m43LXNYI0smvd1jvY66rCp
IiROrat8TGR3tMzpndej3zCpjtPMXVZD8AaXSsahbKq9yjrkEzVUbh/5sGN9tpvKTsQ5qo5UnvrY
FXIaEyZdZOYSV4Ysk9haX+xp71zSVwRUOFu23VBBcMtDJMtLtfrJZC0r4pTKsxYTl4y1Og5LZk1X
5m+GaOUxttloSt6TJPgxdv0epbCnbW3EWE2Jtu1q5DrORqd433VTHfe+fO9018esrwrDCnceIpKb
AVhhxqONUNFzuchDrdhFOtrjhnsV+3k9Q8tUxTMbKuMJhmlw/bZdxJtFqRhHfWa0HI+CLwoIubjS
C5tNQXqVENXcRxRvR5QHo5WMjEaZM0E1p96lj37oalMN03mn6X4IzfU4DcNxNUd2V4z+jQ2CGboK
bEbf7gWRducgvxJWlsU2tVicpasOZzp12xGPS9zoxhkytWQbReopnZDf5C6tDF5aa/qKPqLOnYRK
1cYXzc0c+XerGthG8/JNNLfnxZoyo1m1GJaLD0Ndsl0pwlEol3uFl0OPo2dNRX+ccpue8pHFaETc
cK0aY8mUZqYdJEzNu3wDnlJS9eNb62vIMerOmhXQceOKnJqOp3fLlLPYS7ZhpDkbsrQ8G5EcY6Af
6b0XkbvgtqoPqWvbrVCQDYAg3a20ujC0wSFeOrfEiEHsx7yI9RQXZzoq71jTneNq2GYFOp2ZQSvg
VB11F0PWn1Jdr7HO6MPCo8tqDYeSrziZV91t4THyU1ZFLrGDTreqLPdszut40ZGPgS/BO+SyOyJX
FkdTmSdlvbhDbgd8mpP0psNjOO5Diwzl3bEYmugoYrKPq3XFuyiM+2IK9+uMeTITRgxr6Qc6jWXM
1xEneV8TUwZRxSqnfFM5f2fHRm31MOPtzFKj4E3/2n/6pgA8Or90RZb/7P19+fFPp58NxY+e1C/X
X9zDX366cQ38/f4jL4X6y2d+cbVeKuMXi+u7cvvJgPwLtfg3b/6uQg117Yv1+OeFGqT2Tff8K3Ua
hn2u0+JAapAoSkgNFZaQX+q0OEBEchAvkiImFAiUn+s0RgcUeDHTcFVrBj7mV3VaKqIU5ITA8HaD
C/B76jR+oXrf1WkK/g+XDFahqEJATL6u030T5ekYBbKvec/vaCQWFGe2xLtynurJBBvmuI+6aGen
Zd043K1X2ciG47QbAevqrHOJGlG2C4Tgk2Xt977z/JQFXjygLkgD2VHt6kDLWKqu5UkvqvyyB6yK
+1UBlLCi3aGBongpuL4oi7Lf52v1nNKIJTlhZVxNuEyUIJuq9pU3dV7Pd5nPsz3mrjsVeAVgiCgA
aZSrySXIqf7Id/3pLC2wgSzz74WX6DCd+jyWUY67jY2c26c9/Bzpeqg3q64vSOaaY4RyKOmW9PhS
5310EqztOjMqN75rwswSNvM3mZDqjLoyO5zXbEl6QI0pXkWqEyZIZHDe7xwAuVGuGAzGSierzC5x
52f4tnlIRKYENxGbs8uORfKDHLO7XuIodmw6aieMTO0yuUd6oIldsyK2CrebWcvofIpGNJiQegeI
OghrTQYIiQzvIvhsnaa5aXQug4kI49c1xN0l9YRta/IoLNQ0EunO0Nz5zri850WCwuQ3KtAqmCAn
/eE/QeEje1e/CQoJNBpenf1iwP3C3l/GfUYFecClxIRDklMsXhL8M3sHvOAIWhQKY04oY7+gAj7g
imAAEYYlxoz8wt4BMLjU4BkygTUM1+r3oILQsLBvUYFymEVhDXIBUY3Rt6igOQcHMuvl3vczSVKt
HpuOWKiTdTINYTOIqdv6tUlSgS+DaE6w92g394GZlkTP3cp8rCqVmgW6PVmtp6Rsc7arXFfsGihm
Oz65Mi7U8GblQ3u9NlZsWF/XZl6Bz889XxPdiSXRnjhgXoRB5WWnusnYLtA2N92Qn+BSXLhuPS2b
7Dzj61VKOkAblp3IuUwymqRXq5yvx2auk6DbBbg8Ls24LpugQ5dg2d0UciyB9VVLUkWUmaJdCmB7
st8KPJ9bWr/zRXmh8+G6nJCMARuOyTJeDy2eIH3q01Y2u7XV29wthzltysikHb7JLX7T0/RdAZi7
tzU6Xbr5zHUTjjMSPRWayQ1p+zL265qb3qNnjNwhHoCESNpsmyb1u975o1GiPrZD6Ha1W5e4Btgx
68xb42QWD3SIa+oyk6ps13Mbz664Wxd1KOp5NNjnt/08z2bC8MTVLMtYDKXdOoXeOe63BefnTejP
WMM30SjPUUnqWCAdt7MbzFzbpJw6IIbtGjdq2tYycnGlx51WLTE2ZbdFaO5K2Z9mIDFczd6vlDvT
Op8nab7usqU4Rz2SxtYTNS07bYtDOojVDEXUmWZGj5lrH6ooOofHgc2oxHHZkDaZGJ52pPV2E+Vz
lZBsXeO2zDesxm7fqSkDVsiFabtSHBVIbqqJHY811Yd9mk6bwpbkThe8uRkXLx6gesBjO9U+edHO
MCjbpnqqDnMMtLqMfFJK4xmPS7kbUd0m8xAiM+XNYHrKFyPq0e7XFq9x108t4DDKoQS9AClRvfG2
vp1XG+u5Gg2K0jhtyw+a68NhmWrTz3VjWp2fOVQ28arKY62zwXR0Gkymhjsl2ouV48jIaZ7jsDgP
QsE/WdJN8TiGHDg+y+PV2svC4UPfD6khejyZ+LItAyqMC3lvFjEl3rLcpFO5c4y2ccOKk9azNhnm
sYuDEGucEnbH1dyaxWfw1KJ5Q9FwCa0HGqeoBpnRlnHPyqu6U5GpZ0o2bijepyq/6n03GLvmj+U6
73tb3LTldFdkTWZ8Oxy1XV8b16nEs35vJeg1i3XSNDqOKsjvCGiw84kf+0McHQWMnlXEXJyXaj9j
XCSjxSD6p6VJMA1P0zidlpXK4ta71QQBFQ/4SmPYYvd2gbSMcjmafs2f22J4y0X25GW3oS3f9k26
JTXeTln3bpT8OqLzfQr4acC9f5OrYsNW8Vxj9GDteiG5jseuP6RT0cbAcKttNqLrdHJdzJl4mNlc
xyEtIrOk4zs0y3UrfFluIdcPCzIU2846scMufZu58i2vonk/5MOcgPPxjDIQ7qIOTTzYm24IRoT6
2Lo+hv45qMW5TbKIblXbZlteiIuUlLXRU0PNvLT62M7FmUeWmCwsh4Urbgs7vRVabMcaJ1XwQ8wH
AJy0yB4LTLRJ89qQDsEroIZrXYarianWtAtA2byyN9jBg06hdocVtJdM78Y1EZ0689Nykq80OwJS
OZgSWR7nhGaHIy7uEW4saNv82uXpPujybc7XbAc5rDb9sCyxAy5qZKQuMOl90sr0UM+63C8SMFxb
0m4aHR4VkcO259If6rG5KgPe2KylMc/CYVEjvgWJBRjqljVZCPDKRdrbCelTVruLrF9OqMRpYpcu
AwalrcG1vC1leiVC5k00Qo4s1j4ukUbiOLOVLw/nQaQmnacnniFqeFq0CXf9suEgxmEv24cat6PJ
LAevhfGTnpE3ZV0e5WNZQlWaNkxM+6GqjqUQMe7KR+DBGyvcw8jQhnY6xACcp3VbQzkqRYwUlEIx
XKAVdP1UN2f5zO91hne1XYaYRhKYV7+JSpJAJaSbtcHbkGtTFNM5z+RhW48PILTvdGeneEH4eZXr
c8XYlZirMzTRyrCQmjmbL1zKEsyiXQpYSwEujKUhDu1sTVPPz2M9XhOmTCDDWa8XcE7aUz3Ifbra
k3Wh1iibfsiaZtu16qxQ7SGTUJ9mmmTjeFtN6dtFDIchnY64DKczBQ+j7sQGUvne4uGq7MP7DhVn
YJrcdR0+KjN8PfjpncirIe6COix8O5mW5hs3jodjKU5dmV5SslYm9ONxXuRHYLJdjfBMS1cfLkgk
PZV5HMIaL5i9mfAAPMAf5brd95mNS+t3gtLz3LFE1PZiydbzStnNOka3QVfHIdOblQEDb3q9TwnZ
9CXdLB0pwE5b3zayOMwwg7rfXOnQ3kdgLsI3vU8zksa4zva6sXuH9ZtizQ9XTRJf2aPMgu5XXEGB
zBIaUrAW3T6I6GmsKguFYd4WYUi6JRyPPGzHSZ1XbbRZ++JsEi1MXV1ABUjaiO/mYrkqUfPidJ2l
Kd1S3G1xUX4op7YxUb3sZkfOI20veUpOspRUsOho2qUj2a5FAIaSI2Mz8DfGIlxWCBIrt641g7fX
5bA8+2Fs996211XR+gSO+Pitxg2LMZxrScqC3AIYn9plASRl5TZlTpi5ne6sxwGwL2yErpK2ZR9q
G+WGDlAMrctp4vtijQECTkSO8hgBHhmhe2ysggpBaSPA8pLnqR6abVHXzKg1mzepcvVGDl0Zt8PY
b4muhosZKvAsMDkf6TDtc9YsxnusrtZi6M1AnT7RkEyu7K4KSsROL6Xc+KIGEtPVKGYFHvZrh04G
pNy2m9i+WpsziifAH9UPp/PQ76OIr9toVSopSL1d7JyZbuoWQPcubipyNoX0MJrTzqiKejMDoTYk
SAI0a95w785htkTCtqgOg98571YvzkrGr7qy04as2JmqARAGTXmdFjM3oh1pMnaAJY17lq59P0RZ
SDJUZIC32SGc6nmYmm7coZWmSYqCBDHMs/cImNNbPSxoO3qIJhi0HbBQf7XoIPZiat622Gd7Vren
xZI9FX587+aiPKk9T01VgxbOvTjXPIp2nR+fKscq8B8j2PQuVRugfrwwc5Fmd0vtlFkGCQRALeUW
RAJOxnTu3uIOlUc9rbsrpkK2tVPpzvzce8PAHzZM0CYWLY1i0jc+CQrccW/L0zmCQlXpBjhFVxmJ
hgJKFdXvPFfVLkrt5ZIJSPouV2BWtUCUcmnB8Jzug8rtRUYXl/A2j+L/VIwfFSP7TcV4AwltX10O
9zb7cyvpZehn0cgPwBl8cX8YYkQL8Go+i0Z2oBgUP4S44iDa+BfRSMiB0BhL/eI0YSI03Pq55UPw
AQOxqOA2BjMAxOjvEo3oRRR+3fIR0JRBAqQpNNulpAz8rK+tJBFsC6iW1UdVEw3wAgN5L9IehEfD
UWxrtZpqUm9DNZ2NTt/VVZHt7AJmCE2nyQwjuUvF+A739ckEojTOfH2T4+HDXKyXJBckjrrhiKTd
HI8OoavCrW4zlrUyrFmXK+JzBz0JKMBaL1dF40qTNjTdiMyvsSQjCIeqXk/p0C+J6quz3OfvQ+5h
zES1YTgqd/Xswq61c9jruX4/DORmiaIm1lK3u0bRk7nkHfjqL0pxyitjy+6BVA7vx6HlgAVS7Mu0
vnTgBJoscmgzc/RQIL8dyuIJI0p2tbK1oW4ZTMPnJqFDRmNoifA9jvQSe6TeMFrupmZwJzxtvWky
pQw0ORCIhxUDQ5+Ponx6oEPVxX3QyDR5K+KJyiGGftR7OtviWPnydsGj3U7R8M7p2W39bE/GEuTg
6sHFnpc8bIMrDlEp9nkjj9YArndw/onmD/lQgdIb3lI+g3MkbBT305AlUeMXEwlytDLxFvpuzXWD
GaBxS+7EhI9ZrR7ATCDxOK2X3ONEzeiky6B34xDfQY0MBnpLh6PMyk3PxJFAYl9P8z0m2fNE2HWd
gkILSrcnQk4MYuGe20bbY40m2O+l2apFQdsFcNJEPH0/eWdNgdLTirnaWN5lsSs1rLKT0THDChow
8Ig8W1UsU0JBIeEWNrC9oi3OTN8SZHSdQ9TGJ1Tyi2HqdtXCHrICYu2y4hQ1vEuCBXbZjEAlm7If
DONptVF9HkGRA29iEemUTK45kW6yJ5bSS15PIQbB98x6dcvH+nEuMr0tGPrgCEIJsR8BWA4msgJ2
oRork1oCDBhYFS3TixRe5lz0Z6j7sDK1yTNykocKJMvS7Kmy92LBh6CYskM3Qm9vQFN5VK+tA1mQ
hzjTU5FUqpCbhWBgMQU99v0K/chxOKsKfu4CvCG2rTddC9KPiV7ep0KB9mzxVTPIKi7X/gNZe/Aj
GrRlg03jqqO3dgadxq27+cgJ56o9qmh67EGE7vNCFAmp7HkjafYQcow2ra3f9hk5Kyu8T9G0vJsK
0WxSXDVAizw9asS4xkOVZpsIteAULOF86qCjgcBIgBfzwft0BvJRA9FTm3YVu2EG36DDlzwiGwT0
zMxD9a5h3U1G+IkcVA92bQPtvxqafnlZ59s2Y0CVSTufBFQ/TGn51s56uG3TOovl5B+LrkCJFSBi
wVx9o1uQm0ANj4bIQqOTBWKgb7a8SaljsePqMm2y7NqBA2/qqBCbnLsBfF7S7mmDckOiGrp2fQPi
B3zxWM2r2jbdjDd4gaZXmbfVVmTZjSygc0udWPa+bMVG9/lVOU7O0HouN6Ps2jijujylq4Km7Jp9
ULmr7nNZfsi7QW9kUY4nqKEqca3KNqEB82HKJmIWYKhHNdHhckURMMu8nUB/gzlXeU/iMOYuWfvA
geBBb3Fds7uB+WbT+17FgZEAVCMAZ5/nJZaVDDGwdG/yXudJNYEULOiYhJ48cZVB3nX22ur6JMso
HAbIn6IldCeECWgMRuW8xawfLkdeH/MWVDAsGHqFCshBQ3WRKMSxUcSe2zRVO1HWNKmzaZ/aAO8E
PRWyp9BJXUQ8Bn2pUfqCvBoDwaRg8S3KmaW+4m11CK39IzuLpwLkpYFUe25VOOJOvNcZu+tFpOMu
H+HMOfowMZJtSin9ZiyGPV2m02UW5XGzeLXDE6gWH4VTsC2eAjDzfgarp+rLxayYP/CsnmNbgBUu
Owdrk03c0l4DlttgVsebDZmaZpO3TbMjtBWGqxFeLK93WTFBCzEfnsS6XpasKpMhWuqYoOkpFOOL
KZIdR3JNN/PaQPveAwzYqn8PalMnPec7VHfvGzQ+iGYsTDvjDtqq+SWqFTzbeiKL5VCHPsnbniWt
ra6B4eWmaqsUDLv+0DJ90eUTKKilPR96DpYILRLQz+jlM2dQJT3kd+ljQKhyq5S/JCHKNplCC3i1
4rKEnZkmXRrt2gjMq+yq67s7yfyHUs6PBI4UJIFjGw+oHmPh7C3g0t6F5l64ZYIVRFsbqisSLDdZ
kfGtk8sbkhZPLz5dLOkwJkPf5JvJg2u1lqwz61TIJBf5uZD1HcrWK+ThtRazv4pGDgcbsALTKAMV
Mdad20zVeFvnUgP3dymc9JjW3QrnOGwHv2NQp9crXXaqH/FmiMAbJDW68VBlE8gptsFpdRl40+/y
VDambjQYPwu0Tl1l+zjkwoMucqNpKvzS3IUmt7T+RAX5OA3axa0Gc4IPt7jqfCLyZk9EdpvKcgX5
n95w2TTJMIQpmaPmIV9rtNFlFG7BHAbfrfLEaLISU4kc/vEI/ElHL6VoU+NVi5J8XLaeaB2Tkdpd
2bpxyxd+1I+gsQqxXpW1iwnoH9P1yxHRSBklQ7OrAWAMaeoQQxOqNSscc4ibUXlTMejStXrKTVlD
O9/XkIo67Q2fz3K7Vsky4yaJLNGbRrK3ntEbPioaY7y+hYMoMRzA2HRLGWdrB7q1xldRCjOwJkOG
pGASF8U15hGkwqK3ngKlaKftMNTpaQp1IBYiuurhbE+yhBnM69xBr3BZJ6OXuj8EzS82YA1u2il/
28HvhBRz8YbS4VCKZZtF2a3DfbuzDQYNg2u3bXABPi/uh23N8RsoHMWW0lHtWdNeqgHeQ6hcWayY
KzaKDBbOQER7+ZKIwwzHGuAckzfdOiyAHOIO1G1rxkWBJT76PsZuvEhDVcdU59lujUZo5k/g2hd1
gcG+Xm/Bcb6PZBSZisAJm/9flM03J/a+lifwOwEf9+DT76j8WW/8y5G/X86+fRzxWcvoAwbChDPo
NEF/6eV82GctQw5AQQg4OKaRBuEC+ufntjihB1RpOKeGMHQwQdRAL/1nLaMOGFyDzhiREs7XYUR+
j5aBHttXSiYiGI6sQT/+5XjcNwqGgq5dazcfpVYki7yPFrr/ag8uPqmhrw/G/aWZQYV9PfNcCNzV
vp6O8n56pFX1GLXZ3d829ctXfnXSzpdzlLrIzkd9KYHSAKmraDN+UuafYvc71k2/nVyDCK3nupyO
JM+bZHbNeV2B2/W3rRzC+fXKtY8qNZH8xY4cTjSuq3it9Wj+tslfDj58tS0KXPj/zdmXLUeOK0t+
Ec24ASReM1NSZkqqrn17oXV3VZEEVxDEQn79ePYdmymh65yyGw96jYRAOAIIeLhPi8HIy4lX91kX
jXc4zY0nWvTggdSPaxarVNvrtKGoJUvRH+ItLWhjTwNSRt02ci3xEa+qVvaOz0v1KLrN0cZ+a+z5
eWa2amt5tXNz7cr5Wpb9XSOK33zRW4j/Xwr4fwBKgd2fQ7uutb7qNovD6RSnZzu2Wj/sqezUn6vd
d380G94/DhEoJ4/5mKfEj317Gf/5d325Sz9u3lzH1n1v2HhKJv2N9KVRJHkROk2HGW87mbn6ZBbV
G7aPPZ6E9tr9QYsfwFesC04V64yhr9GzTvid9vY9LXQA3sQkZiySAi92RbFx3GeX8XW+r5Y48gC+
OmJxYRQeBPF+Kd/ivJqft6RgRAwE+K37fG3iaMLgFQq2uJDXp77a39BmJoDvPO8132sMHRxJoU5b
lcx/gafR/fnfw9+W3S9gAC71izXTgEvD57harzg/RxmeA1x1NdkwvFW72PSpYm18+e+/dFslv/ql
AMulwZERpB9zzVS8Poh1Ug+JQSmMFj2Ac7qtS4r1uV79wtKDTTN76M12ogUPMMv7Kum3Kl+v3Lbt
a1xf1fPC8kda8AC1qCiUrE1Hcx0K8Vwt8XTtutr/T9ft/zYpJgFkS9bHhpt4vUaDFzisN+Y9KoW0
k0ISgNbjfaHQTGNaJBgnSTnG98MmO+IXDTDbluvOa5et13Gu2vZBybb9w7fFTsyLSYBat5WV0zGm
ZtRLemfk7e1emb9pHzVAbR+JojPxAH5fxsWXKEq2z/OepL/JXf8BSv9iQgor263DYp8bY45OgI/R
jur1fx/6DTG/wOmtQfDnBJX2aptdXeirXJj7oXqWPo7zXryONpXK42AqMBLwAMNoMxUHwHV8VrrM
kVRiW18a3/zwuxS0JRQHuF3atB5XB9z2pXvMRPk+T+d3/32W/tMnCFDrDAj+M8oBV2GbJxnbC0qe
D7TQAWZjwVGwn2scejgKf4OJvrBlc8QpCTCL+sRk5xioWk3cPe9J5x8ml86faEMPMGuSqverrPVV
LA8b3hjTqTvSIgdoZan0eHpOl2sk80OHakaF2gwtdIDVMSmytBmj5Tr2xR+o5X6YyoT0KaEk8BJL
YL3nkZx3jHqNpsMQ8/eNB9eDMu4CRMoXQI2bdNkGlMCuKhLPWa/xmr30H2ixA1TmdV03e7Et116i
BQH17k150nSDCvpy2KvUKZoN/HLdR/0J6gt30aqvtFEHoJzmeXJZi1GvTfI8rP2DXHJSritEAErW
zN1Wodpzzeb0m+u2pzRyxFEHkNyLtYtM3y7XpGNHtDMc6om2tPGy+nKuW1Sq94SPy7Uupj9Fsr5V
PYpWtMkOEDkvm4+mel6uvgFT1E2degDRrLujRQ9AOaNnr1Eek5KhMS1HTdDIlPYpbwIePyc4i6YF
dIN1y5XNY3HiRfRNFPsP0rBvjRI/x0bHfb9mHNtUkmVfm216I6eFlPTBVXwZenIVmp/QaXbF3Byq
+jteuGlfsgwQOWcl0+VtrptoP0zZ3ygW0L5iGQASJep6rGdsUcVYf2tMgxd0p/+iTXWAyM35RYK+
s1xT78FlHcz3KslJ2QbdJi/nuszrolW91NdiSx/WIkFHh6WlhDKAJNdzgopiv1wnF7+2C/9cDa35
zbBvH+zfR7d/Gm1/Xn1zGSV+LrBJeTOp+GBU39VH0Q/q+zCkbEDjXLmQLhZFGeBzG3PwoxO2XO3m
n5lOvxYpe0v6sEWAT1F32+w1Jl/PfDuIeQJXKcoT2mIvAoTWeopXvyZIyWK88FL/sVlNKm8WRYBQ
t4tcogkWmW0rm0M5OLxcDmb+zce9retffNwiQOkkb29yVaSuW7Ld1Y0BGaWnwfTGyfl53QyCJfXe
Ik2g/QidDQJvX9GUfqR9zgCnOHAazQ32rRLNotq/w2H2RIscoFSLPerEgsjLnIGUzdBx8EyLHIC0
jm1U+qTCXHMOoj0v3k948/7NCrzN6q8+ZJA4Y5vFNfdOX6tEdeuhmDMl3o58ZNPHyrDiA+1fCAAq
FrUWXGJypK/PHV+Pqqxo834jd/28XNKmx2UHXKOrtOpk/Xi2OI+TRs0DdHYa+9aaluoa6286Xg5S
0lYhD7AZ71zH044x53p4Unl3bue5/c0Hva3kX3xQHiAzN9KCfFJgqsemODiLRrdOEo9wPMDmmDs3
6RbHrMLu8qy2Qp+2Saa0bMRv/9JPTw9o5hEV5BnUtRyLY2+yQ4c3WNqnDNAZpda7ZsKM+1LeGxWd
Wl9daKEDeGJy0bVTAJ7ryB7WPntKcOWkhQ7A2emMO49OnGvp+Unqd2AyEucjAGTialM0ClOtHRje
ZXk/yv9LSv1fVvnQIPLyK6agNmVxi/nIBvRAeHFAtZuWdVgAyNhgR5pxBr+avkMHN7arOiGGDiCp
8rHv1g0LJMP2bdL+abMNbYGwAJEtqO2j5Jm6RrtM3+YZntmXTKbE6AEkE7xvFWmZYy/J0KKRLMV7
LX53Gbz987/YS1gAyMLrZq8NCoeF7bkCxQ1FYXAiwBvPfSG+oStw80cf56AqkhY8C2C67BV6JsYB
WOIJOtv0XxV4rcTYIU4rtSlwb5Zrt+zybq9KAVI9GrZpIw+gqkwSoV+oVVfnt+uAFpJ+yYkDD7C6
ySQGaxihJ+PfoOXpnWj5E2nUeYDVYWlFYroE872rK3pJQP6N7mmhA6yWHSiSssaZXBT12p3iXoj7
tak8pwH2Rvf+OVmgA81VHlIP13LYxWFocaXjoKbQBh9CdoHKQCRA3UzAvToKsNtOxZAx2uabB5Bd
IGBTZcOsrmyvCqjOgE4XS1rBtrj1Qf88L7nZvYduEFaLLq/gvM/giA0DcV4CfOKy36V2R/6HAAB0
XvYY/U4Pop8mT/yB9OXozbBBu2DAV8XV6Kha9JlMGTF0gNCo0gXfJWBU2O6IF4vXq7K0PTgPEFqZ
WYLjJRWmRT1Kv5zwxHtHWolZgFAdp8LJFStRR/FJ8Pq+Hoc3tNABQn2ULGkdD8vVMd3f+gZA65/7
dPybFj4AqAQZg1X9BqrE0CZvfcP8We8l+06LHiC0TCsxNFLhQCfT73JpPkclCGu02AE+ocbBU5P0
IG7r6k8eLa90a6ixA3i2TR9NjmEV9ov4nnTqOKdmJo47QGdsDZ9yjg86RXGV3oEUPG8nj9YkS1wx
ATrVWjqQIbFxda1IwQ4cHqyWxOUSwLONsn5LJmCIa/dqH6pLrjjpURuiMS83lSlTfd1As+uaR+mn
hZVXY393r7jB8BcnpJBx1GQdj6p5wa2/3zR7k6hVgS2cRVgvg0nselDNzj5KC6LnXclmUJGbTGtL
+8dCRhL4I1lf9pO6tk796IpxP2aFopGpipCTFEm5rFbfHrlWATmVObk0e068SIbEo1JETqTLqq6D
2j6OWfkRZ8vPJPSGxCOZpR4dKChNiWmPf9jWFad9maLfFUxuQP3VFw8AbHdIwmhlcAdBc+h669IZ
VrSl0MYeILjSc6VAs0apRzevbTV/aeKMmLtvgko/Hwxi8C2accZiKUt+NtX4YV9TWoUqDbDLQetT
K55Irj4b73xTP66lfkubkQC7a7S3c7ePmO4M9P2qtv3BGmKBJ+Qbjbbts2i5HX3jEScNfxj0QvuS
SZBc9Vz3sitwVW1j9jm1xX3XGxrq/5GQ/KlMIszY71HicNWo87NlbjhuI7oESPMd6k/2qKSDVlfg
+JjWr5eheoZEHa1KnwRptc+1ntBeoq77YKFBYNAL0kJmgjbuAJY4x+Tjfru/CzF97QVEFI8JaHDb
kRY+AGYO1cvCjaiXrL5601b81h5HOzwm6UtctipNluR2Ls0T9EguOusP0Jwnfs4AmXlS8dxmyNg6
c9WBcfZ94DuxHBOqHamoXk22xOqaFt3bKvPP49zR1kpIKjL7CjXJAqH90l7nCod1Xb8lfcqQUtSX
i+UoP89XsVYfUy/fopmEGDo48kZuy9xaAfSlkU+V0R/HEso2tGEHB16v++6mGYBLo12+YQ94UsNI
O0vHATB12nWJWID51bcPPKofh3KmVQHiAJZTq8vCr6hg8r27KyAAYtz0jjYhAST9rlcJ+dL5Gsv1
m1+KV/WeE3MluiJe5Mq19KwVO4adC3vd6+gVWOXE7xggMoJ+HuqtQGQy2jfF3LwVIjrTZiTIleW8
QVQkwwabGSj55PHTzml45CF3aBI2znY7zNdCxR9UHK3Q0Jtppx4ecodWnzq0v2Jpo3vlflsQfHVQ
K6FMyv9Itv2ULRmb1CC7BXeWqYzuzJ6Iz1HhNOmwCX2hlwslqRhaYhbkBZZXD96JPxq8uNIGHqBy
yBQo5zV0X3xUf7Fl/G6MehIDnYf8Icu8zcSOlJMy3R4kdDMOtd0aEua5CICZz56vtklxPoFOJMSd
DKQzIOpBm5UAmTg/JFkr2XzlZnxXruL92vgvtNABMhtsTU2rce13luujRD/kxpeKuAwDbBYmlWgL
xjKcd3Sr5tCCOfBhvSONPCQRFVFvp/FWfI48VD2hsT2UCe1jhhwiiT6mLVpQkGPabQc8LtaHLgYL
ijbwIGG6anUQ+97Utep6jbZL8VopTSu18JBJNGrDdFVjOzQmA0W+k9CVimmkHB6SiXibznts8D29
9vd1Lj8stSYlNl4GOfMmqWQhyYecmTfzIS34u6S2JFYIlOxf7lc1lE44M7jxSCfcoXfDfpfHq6It
8pBO1PY3UdxJz9cWuHFx8zdzCS1vQuXz5chdXMl+b8ALQ4ZLWugPNfVwWutq/l0p5za9/77Y85BE
JHyaV82cz9eqUg/FZt/LRJKeWSBoHIx9aFY+3KrakWqGA9TiIbvhofJGAlFIImp6hiZ5pItro9gT
izP0CFNDB/gEbSOL+h7tbn7K5EHNzbfWoiudNu4gd1Y+19DU8DhTLD20iC2EzARt1wo5RGMuVb7m
4BDZBeLCTdyvx2hjpGoHLwJ87oVdo3LCpMS9fCr35VXfSNJdkBcBPFHQjtioxK1GA3mFftKPU0rs
juS3LuCfC0A13wy6BLDZmtXIU9Hf9DQF7TkOXk4vgy/xzvotluBoFxAtUdPbNI7+pK2TIHVmm4mg
G4F9PM9RoimiNjlqvHnT0BPyh3ox7rZrbrkzy++Xbv0ATcwPpIGH/CFcuTOIuEXzVbXinZ2hZ+jU
R1roEJhpmo6gsS7XCuqFYwKlWVvSYBkSiGSJ58k9x4tTP4BNWbo4gThaQ6uLIdm8XCdQ8Rcu7t18
NWn0gCaK72tUfKLNSYBLvwx8GiLsJxLKfHpsjxBaIc5JgMt+hdlKv9aoy64FlJUbKB/UqyIukwCX
EDLu/JpifUNS90s2mKcc8iy0KQlRucHDYYtQ8xXZAFXo4a3dK9r1hAeoTJVUKah2OAAVTf9X1kAV
OZ3ajhY9JBEllXYCfYi4ypZ7cj8UCtKYEGkhzUpII0ILepoPFgf9On0j0uYh1z0xcgDLIjcikRb7
d6dmd5716g58YumJNm4eYKdONqiqYKEIbh5Guz/6RD3QQgewrHqn5AL1xuvO5D1L4zeiE7Qrckgi
2qFVBwo1OCZCTj+87+5HQSvl8ZAuNEBvimUWG2wh5/l+3fX+0C2DpV01WYDLmqXzJEa8aiyeQak9
us59/Z423QEuW9GA3qhA0mA8PfC8fdg4rTcIrrEvF0kVW1nUkBS8Lg2EXQSqbnBPIY06ZAshB4/p
7rFIas7PqK4/VjFtCwwlENEPUI9zhA+5teuXQSSQbm3zmjjsAJQiKacV2uNY200MUeb+KY9/x/28
hfjFnSEPEIkqIYRiFzz/QtCe518H0GK/tizVNx+bju1nUer49Rbn2UL8X0KcZr4qIbcNUoXIX6s6
fZ6SibblhsShRnDQCCsxX8cJLiOgKn7t2axpW1ceJNAq71dox6LoXvDqrh/7V1mxkZ4KeB7AFKnC
VJPGuDX8CaAvCyOwbKRRKv7xm/j5zFysrenhEzKjQ7X9Mdrsw6ra5vDf4XT7Zr9aPAFS66YRDtZL
03WGpnA/8uWtzST/VG2OtqmH3CE0lgyp8MWMo+2YHfJ1+lNa+bvqyn9Y+jeb0J9nBnWEdtsSlMiH
Ag4Xe9av3+d2SsdjXUHx8VhDAPp1NU3EHSILQNxWyyIneBRcM6k/JVv6XJiVVg0N1YtWM861MCgp
7mJGd88AG7CxtbQWH54FiJ0gn1hprMrr6Hj2o4ljA+qPM8TydhYcepNswdMH6tvXjZntQ1x5+SVb
hoYG2yyAbdYrvhTJiKlxfLqkkHs9TIN0r/87AG5j/AUAsgC58Dzz/W7xyMesHvHwJIajTbWj3aVv
do4/L9C9Q1fYmuOm0VgIwAr2OsosbcsJCUUCF3/HE1To8Aos4eaWK7sceLP/Jhv+Q1X5xcSErKKR
ZbUcWzFdnVlh0Ach+e3VCm5Ce/IeXhdQtTPTe9Ri1dsFGqIfRrn6CMeIofhW5kP32ECYUt5DK1E8
LnkdfSizDFKxDDn2Tbt20xeYzkEdXrWx/7ZGLJrvkRR19QTbE/toI2gTwuLOVjceuacRapFJXn6M
Uek5H5J9RPVOPS5qfpaT+E055hbiV5MV7Aza7WOBqn13nZDXm2Pb1vWTrxfxuLtUgelp++kt2g6r
9tDwqacly5C/lKohTbZ2wdV+WuXnnO8b9sBOSdrRM+Qwtd7Z3PVWXHAu/N4IeDZO0d8k0KXBhtGL
aVxEh9B5Chew07ITZyTYKiBZtdp2QdwaliAQOz+sfXukDTnYJ2yVtFzjQniJZVO+uWXgd7heDV9p
0YN9YpzgfFpzRF+UPPmtPs3tN1rkIMEndbf0tp4x1fFw8NVjOdDa3eFd9RJOlXSz4NUkLqOGLnB/
LAyt/ZqHvCUohsep14jMsvlu0+WTAxuNNB0hb8llI1NmQuhEyPtM7ycUlmkpPGQtNXObozcIi29k
pj7WNV6Py31wd7SBBykc0t1tnaZKXLoaNpWxHV/bETKgtOABHmVl9pEXCJ7D5qlg9xw2LrTIASLr
ps+0R9PbpRizE4PwqZPvaZEDQLJ9SVmfjPiSHQwyEviHuS+0yAEYJdwTS6snfily1h8hxixh6wDX
VFr0AJD5WkV9McgC3OJYwyK3aQ5743vagSPkLIEjXtUR/NcukrH2EbYCcMbZVfubQ8FtPfwizYW0
Jc+KiPfFzC9izbrndIKarlKeuMRD4SOh4H2oPWeX0g0Hy5J7WALQ0BPqHskFovW7teySxPaUTl/b
ZadlyZC31IqydDpZOUxG5sNUfVM78VQd0pbyysQZ5IMQeRXzqc6TtzKZS1qRMA5wCZWvvluqnF2k
s39Uu3/Wjvh0HPKWtmyXUOtn7AKt+JtofzUc3ATLYhJ84gCc9cjbnO2OXQaWvdtW+XrRNJkF+HG8
TGhJic6QuENonE0uS1Jfl5x0VocPyMvIcPedS7AjGDbvrT0n2phzBTNU0pTAXvll9CUtZAKCC7tg
X2nuiyheT+s0NCSmL/vHbvIn7pLeZKbtAOhYCI1DIvLKYMFB+ZZ453s5cOfAVYRtMrvMTpwqSMG3
OWmjYjfjlJ/vXXWuZLK3G7tsSTncldJA4xty98QJD9LlXESiglf9baNi810/tdkxximLGD2AZoTi
qU4dliHalZ4mIz9Ne07KDixUP1rzBv4aA1CvTSn/xJWxcDCcg/g5aVdhIgBnB8NFKKAmGPo8Nw8Z
LnrnZU2I3zSA596UvI2biF1ayDbJCkLw+ciJGArZS2VvQTOAbPtlgsP8IQGh6+hyOM+QFnpIYBJw
KpPwE2YXV0sIoeSqikDBaGtJawhhoRQS+i0LPIEt+WXY55Pdl2OaCtLZEFbYL6HUTwlU76c+hvcc
vNmS6pK5lHQYxzvJy9AbuNUOrRXxpbVotPQStobijjbjIUQh4wfjtTq+qEi9m9P+vRoiEpGGhfSl
YWz6bm7sfkmH9CPUOaCS1zniQklfzgjPIHZf7OV2gSC1Peyt+OQK/4Y2JSE4YYC2q6HZLxVaIlPU
b1r7XncDTQOAhdSlsZM+zeA7ceGGP/NxuIPLEelADs35l7OyNTODdsbuL2KCf41Oj2s/0JZgyFva
q6jLl8pj1DdPGbeJ9+hUJh0NYRn9ctjjDj+MOjH+4tnc3M1dre7XqpgeSJ8zVD9CG6SAOpn0FwO/
XrP2d2NT0bbxkLnEhUs0Eqe7jDMKfXh57GDpkn+mjTtA5sRRG4tb4S7ogwYLiD1Phtbuz0LmUpXO
a7PryFxQqD8Vurl0RU6c7QCYZu4N/GAae2n1dsjz9BCx17T5CGA5QWvOw0DVXCT3d7Ks7m31nRY5
SJgy32CsZnKDFeLcWw7X8HM5wzGNFP1fnKUpG3zWxAY2tAqmMBApuMscTUCAhawlNPZnKQyUzKV3
7DSw5LkmtjpBf/AlKrnMfVtONeyEMvNKmwkeN4aWGULWks1gY8VgCHNRg4ZbXNddor78QZvuIFcq
51W/Qbn60rDi4pboVC+clhhCyaNSwIamarECfQ6hA7jijvdNvEa0MycPjrPMy2Rd4sSAeJbZu0gI
mA3BtvREm5YAlwPMrTO8IZhLO0Zvd+nu247/RQsdALOA2IFnsTSXJOouVTq+Kff+Iy10gMwNjmUw
d1vNBfJYMJUWH9ORRsNnIWkJCp7W4AphLnPXP/RuOxdEoRYWUpa0bDbvIoy6T+P6MBbpY90Xf5Nm
hAWoTHpZoQFsNpeUf67huZSMLe0kGCofjWu/4lArEBmd8PtgHhT7nTTR7Qj873IYYwEm07GHTblx
MESCKzks34alaO9staRfajx0w3db55JWZ2Ihg8mvLo4nYbCZZ+1jCrXMdY5oO3nIYJImFw3EDtaL
6OZjhVaCeEmJoQN4Vns2b+mUr5dNuuqDjuf2qRoKmlALLFKDrZyrAkkogjP8AEdmSAYXj5mfNlrK
D0lMBezGjWQtdtzxppsgTl3d0nbckMSUxXnpMsiwX9zKHzKhnyAISTu7hSymCW+vkJKO9GXXAm54
1XnuCtpNMFQ72js8gmWuWS/8a2nvsokY9oaunwpMBfdSzH27XhIbHVlxs4evPpB2lVDkSBQSux/K
GxcTFRBpkWdI+/yOOXM7r/4C/CFVKcu9jZses9EWa/XogKJzxKWmZc2QqzR4Pju4E+nLItmHbCuH
wyi0oaEyZCvBy0rFYMqvF3jd9leztB/mZllpN6o8ACW4ExkcwxN9KW8O1UVxlp7RSpGhxFEDc83W
1sN62ZP+nUyXE+vhLE5aKiFPKfIZHB5g3XQZbPojkcnXySTEemFIU+JruZSyX/Ulnb4z3506+GvS
Rh2kTdYblVYrJrua9iMoGveQNKHlzZCR5LYtnZfbgq4H7c4cxsV3rFz1bzbX2wB/gZ6QkSSiMTEF
xBiQOmV2dWAs/6nmgdUgMLQqv1sjXSeHTEFVmfh9g2tnvMHUwepZX5o63uHkaNQRJja/oX/8h70g
pCgNq8qj0vb6Mkb7fD9zOZ+KcRhp14qQotRFqx/4guUDd6D4qU8KZOmFqBnMQopSgz7wBmTR5SIS
GOc1w/CZrbDEpK3P4KDLxhQ66qlaLpMoXo3yTVvzd6TIIT2p9rBURT/Ocsk6e3Ai+9Y1E61CEfKE
1qb1yygRepnQooTN8sCdobUQslDRyGnv5AyR5ssQRctpmZb4xHuaujwLGUGuT6Z2n/PlkiTQv+nj
p1VPtIQUsoGyMiudNdNygaP3KS6qwzjQXsRZyAZyIoZUUj4sl3aq7vf5expXtOWXZi+PFrEvIbMd
QwgzSbMTBAOO5Uq8Z4VKRnxv0yaCBNNl6caDEf5QziPtQBQqGW3D1KE9aVeXYarrz6Xz7es9rtO/
aMAJICmmpqzgcKYuNTRYWA+rdE88EoWMoHLdmtF0CO3KZj11m5HwWJ49bQWGrKDJTBFEbBFdJfKh
m8wZ1HBapTZkBUG6r65F3Q/Idel6gtXLeG4MaMSkGQ+JQfOt3yzbx/qSgA2Eo9ybciY+6IVyRq0b
WFvFXoKqkoAtXI29+zjofaDpKLPQLQ3bSVXpBvHt6pKT2ruvJuqJFcTQLS1vygwS+xE7w0L8um7w
E4dgIG3K05fAb9phX2zeFucpMieXergm9NA0ogUPTrgbNEhMNOf8nOsM9uPFgSc0bIZiRvHa5kq1
rT2r1ub3ZVPvDys8kGmHxZAbBHLkUtSstucu4k9R09wJO78mTUlIDJpKnbAVRewz3DXdIV7EM3zE
ia+nIS+od06noHbac7ts7xe4kBzmSBDP/SEzSEQDqhL6NimmhnNcUV6gSE4dOXu5DDO4luXOC3MW
NQRZy9TxI8ZPKyKE/KChamzU+wLBq+odpGs+VY524AzJQcswj3obM3uO+vmYyOZU2IIGzJAclDRq
ixqXGtwKm5NNS/CD/qQtwQCVZkkGm/PNnmMmv/TRcO+6hTgfQcpEktyWZnL2zJR/nG17L3aa+h9M
sF+ukBnPeGnTKHu2cqjuRR0lB5tPKenCDNuCl9FhW5JIPHHY8+KLk4rlh2pXHyjTnYe0IDt0qKso
Y8/rmjyndQ3x3jShcQ7ykBiEs7ftR2OxAJl6JUQxodq8kLaqPKQGFWPcTqrp7Nnp/YgfesgKS1on
eShppJe4Y22Hj7kPcXQo0ukuYjutlJqHikaRldWs4t6eJ41njq3b+R1U8L/RvmaQL2FNYZlBP/J5
8uphH/gBk0TKOnnICYrLdUKdHKEL1h173R7nmma7kosAl9WSbKroENr7/V7Ym8iGoH3KkA+0GBVD
WBzIgZHrephG+aGMF0k6QOQhHUih1YstfrTnUcZHlpm7kdPOVHlIBJIsrm2Cv7Nw1Q88Xh0bxb+T
1khIBGpzIfdxBXCyPb+f4skeSlTbiVMSZMpx2PQiZWPPwyTfpd1fU1SQaPl5qGSkxkmkesJkZ7FH
TmAPtVpJB/s8ZALFkIOdpMNktxqCN33zgF4l0mUnD1WMphwiYAmekmHDPh447EA49DVo3zFIlEsC
pHSDtOe63U9dcVnniZTc85AC1Kd2Sm0UmbNv4OJumgOMiknPGnlIAYrVsql4xO5X33w32xLdzjvR
dyUPSUCilrxLaoxbiOWvfmfvbL9J2myHJKCijyPw5BG7yZ5MUh7jfSdGDt5N+qTZeYyLwtnM22Gr
vs/lJ9ICCek/a91wtnosEPBpTmByH1yvaMkglC2KZ94seizNWXnGIQYCluLa6YgYPXt53GnKjtfm
dtzWSWJOIKd8ym3vidMdpMjbBbtwC4aus+1h9tuDm2gKdHmoW5QUaeoL+Kqd8cKrDtNNOkbURFAW
QZLUbVGhuJGZ85J34miGXb3xwunfnKb+qQT8u5CfhzQgse64Lk2xPseoyMbneGuW6FUzC1MdWWL7
6l0vE1niFXJxzQM0GxaY9TBnl4dF+Ek+9PHQ5od4E7571exeuRaGmH1OKy3mIY+osoxjA/X6nPTZ
I5P+BGUr2mYX8ohKG5eLFBqhhUsPjkWXDu3ztJUcMonaoWa2jZw+d7G58xI/AKFZmkxWHsof8Toz
zVAt+lyP43Bidhvu4Jie0fJtyCaqqiIewPm5HYILhaPTkLsafb5rRTuZhXwiKYemS+IRo8eXvbRS
NU9idZx4NuMBzI1wNbxCW31W9gN0nJ47I2mXMR7kXdbj7GRdr89zUkH2MEl+wNfvL9KWHQoh2S5i
1QCjzfM+D19yVks8idBs2vKQUWSnLG+KtNPnUrfnti/bQ6JoFMU8pBTt+6C6Ej0JZ2/n9KCU3Q4Q
Vi1pW3ZIKpriuvV7gm85J113KIrs1oC+05Ro8pBYZKya9Kow5wZ54VAn1XRcS/aD9EFDapGRlYVY
OoZeseZzvLpLtkS/eXrNkQ1/sWOHTCKbtntj8wrjTutT7rOzKGjdh3nIJFqHdXBcY6mkyZQf4S+V
HHcYetKmJEBm7Oaetdhiz9U6fZl8/Rp72G/gc7tl/GpKAmhax9O6LHtUpUQ+PkJdaLwakW0x+kp1
8ZU2/CAPJ2iEi9eYAUZjUR7cqP+u7EwrSef/IhS18JPt5xT5gsmHVH/xY0nLRCGfCNk9QgMpIsdi
q48yi48xnE1oAA0ZRfU6J/O4I3hTqOdK9Xh6UaQn+TxUReK+myaGrukzz+foNPDuj6iuiIWHkFc0
QABoiV2mz/3t7RZ931+HtiOeYkNi0Zq5fWnnXJ832T7ny3Bc1p6WgkJWUaWgl1NkCdZg3bYolDbV
EVJuNONEkOCD4/eSTfuUYFbKeT2PTXbCnZ70QJeHpCI+RXL4P8x925KkOJbtr5TVOzUSiNvYdD9w
cffwuN8yo/IFi7whEJIQIJD4+rOiL6enonusz8TTsUory8hwx3FA2nuvvfZaAUhFp7wbjk2iykwm
H+IrsfekIqJdl3jItsEYLMAcxVrw7mO9BfaeUxS7ORsgOILHxNECdJAsef3QXvKeUBQmkxFTgAOv
cH66Dtq8K+Y++ZhkE3svc9TnNiNRaOdT2sitrZbRqLYY+YgBmY+d/rvKNYS6ZwZdwre7OZZjbJ+j
6GMzvOyfeEXxaHxnkPAPToZVyN1pszn/2Hb1XufITOkI32ik/HJgx23JC56Tjz3g7xlEAR0w9zXg
0NGQngGhVHz8mL8me08faiAusq/Rigc8yPm1aCSu+YDW6Mfu5bvQ+UbbhrwnUScWtfTMA8sPMluy
jy3O9yJHu2T5RI3B0TvekUIPs5alk635mD4Fe08jigOv+ngY1alRcigMcrjRtx+L+O95RHIJJ9MI
M5/stBcghl2Kjj9/6Kq/ZxHxfs5nQ6U5wfzSHjYe72VAYBjwsaO/W58e+OAyDbk7dTkA8FjfJf3y
sbD8nka0R0E8iXF3p9UFXQW1ral2mnywbH7PJALXd+bJ5N1JD9mnFrBvoWL3sdj5nkvUCPgZ0ND4
E4z8ZghbreFxzsXHFFjYezrRFLIJHdfGnWTqF1mA0xHJMjd++/GxW/pumXKloUHlcEsDnLLd+jox
/44j8q+pnCx8l9hqQW3nVtxSNF7XnzluL6tbtU3ftGED1MIgKN5/CvZUzh9DXt7TjHZHRp/mxJ2S
5SGYAwg9ffAuvKcY7Uq2DDxRd4phjbHYoVjij9kSsPcUo8AzqJNnuEp8m2/7lB7pB31x2Ht+Uer3
QC4ddSeUGBBx1PtQdNMHC9H3DKOWNVB/nyd3algnnlGvB7bwUxj9u6qOkr+0vf5F9fWeZNRLgwlc
kY8nheFn9gRrYn5ekzWIr/iCAdoHyLXR8WluRQcvXr+LWb+6ZIs8dNaacVhl0aHrpQz8l5nez3Cr
gaSO21s+PVKZxOaSToPtztNq/HIz+7bLa0EwA32xQMprqtQQxvbCL8mWXTO4lNFaNRFsHda4hcpD
0cR5+8KCOMzKYccWUA2N0VM1x4ldiygPhu20dAAA7lhog/ggFsLaY+LAm7rbxoyVe+ydq9GpPK8y
ZJ+QRNmvjOjlOv403quaP6DE53ObHWawnb9ZfJovY5iFJCfo+kHdKMpI9jNAPxKSOKhyWogedGl7
iLxm+pH24fpzd5BTg66cNBFsUWAfcaFdFMvvVO3oesXBIPWJ92m/f+pHPrjDkiWBP6QYO50uMMI0
ZJfBnK/mOpaxir5AFt3bUwSrha7MkqV/nlsft2UTg5JYWqrH4UK2WzvdSKiG+qcEjqNdJTQG/ErR
5iop4UwQN4eF7s18frNS5xVRwrNbdJi7rcibMMi/elz06QIatRaWmEMe9Z+73jXkItggbVC5hC/y
kCUybMs8Qn+gTlIX3G7xzlkNfQaflYzZJrn1XacetrDvdd1yq9i9huQEzmZR6k2OTGekNO08ZIVb
eiUOBIo30a3g4TSUBrry6E/tK1RauZIYv0nFBsL/xmwblLlK9VLtDiz0kmwLhdK6aRJINlGm9THL
QbArDMv3T9sMulbRR9kYlBsRLSt2b1NxgOA0yWs527YvMzfZz3YYKHQ9OdnsMYqTIP2xQ8EqOkXN
SNtjROHbXtgxgt9PAPkmWzYm2M4paVKId4My05a7GcNXfMwMNcF0WM8o9MekgP7jOL/YPptFASgt
zU9dPJMVQkQhkHTHsIqKRUWJvbM58w0v5rBd96KXOvJV7JpAHazIfFfOLXSEYX6z702plcbc9Bal
2VxPYwjaLBtI05VhxkV7GJqZuYqCxPy69a1bi4BoDV8O1dumyojI1ydjWfoZwEHDq3GL86mQzdZs
xxn/PJxsFi170Q2GZbdoHSRzAVnkTR8bmeHvhrs05kWQmGEZCgGBH1dN1nL/Qn3OweOD9n2vf6Rd
PuUV6aSNrgZIYf4I986RY5AF7tsEC5UvvhXhE82USIBZdMH00LRiJxCYSbb9MuYbBBnLnk0jrZcm
TNjdJn1MDraVg7rwtgn1kW+pMMUc2/XWrHZQB6ytyJY6nsbvW8eAnDeQ0LYn+AcF/THwa/s5TzDC
PVrCDCQsJ5k+b7EOzmLFvxQdVF3Sz8uYyWGsoZU5aFFv88qG+y5pBvUT3Tya1JCVCTMLLnETJWe3
RJCQLNTaxlyVAm2hMSoSEnW+xJf1082YELYeTcDC7GrcxrdnIEhbbEvt2OJ2oS5sHjHG1tFHYYNO
wbR0bqgpRtMCRUt6OT4rSkj3PTORbL/PcKEwFZkapNhdNyTysoN8t7tQCd2H233qk0+DE0FUCrJu
8WHS3M432E0DV7LO6uSAzmkaFpBfFPIZ4yNR/txq2pyzEX19jEQ3c3seE5f8HGwowd5lqdqulVJI
F0K5zp+TOLdwXeO2/7kM63KnuWvSQo5YUUE576GQj73dg6aiO3KMAgptW1R1yJfMkYx4JkiQ8OzG
5U1LjiKwpq17pGpBabK0jeoUU2ZtNWddoAueznFQ90GwvSYqU+ZCi72KduwdxYZ+59vlfQjzFbEm
QwLJG1bwxkNeeLrd27keu/leBFO+19gSUpxhKxrsziprGDksQ0PoRQBihqZVhAmXT8bHwMtoMuev
E43SyyzS23UyBb0+52kno2MMj4vwwLAIlmsEwLP0Y2kgBWldd51vSYeRlZ7t11mizBVgLUT3CLyR
sPSpavqDFunGC8/QcSmwQPMvUOz0NzlnQ1pC2vn3sDf59zg37ddwJKO6H9Nux5PQUU7LhHRZ5QwV
CIgQy4T0mm+gWRjCBUsM3Ve2ZoeVCXtWipgaDSheQdxH1Xppjp1zJ0Z6XcUccP2cRscpoqTIqb9t
pJuKqNllkUMcruCQeMJz2d8jjbDFgEnc0rpgK3ZoEog83asmTWzR6FRf9WF47aio4nR6abZgPYSk
7yoLQ6QKLuVXezp5QHkiC6oFrm5VI9e85DpY84JCR+/oWuhfYXce0us8G56snyz2c/c1bZrlAHFW
ViWr2J7StdWV6SHZDWWByZQ5vP8sHtusxfYTO3eGol1YwITpSTBUEAF2eIQ29eyzAPtha/KC4eaW
4FDQglF/TX1zpL27zteJ1JC9d/BPlbxcUtGVfiY3Q2J/x2VMagPlxhOArK+cNXsdRVsFWmtTSd//
hB9JVwcWHeUMRmdIANxw4I4fvWxM2eZkKcloEVYsvSMyu7U+PUcjuIJdDIpPnGaqSFt7lMzkVyMb
rlvutipJ/P2gplEcOhf8zhwCgmjF5bLu17RtdNHQ+VlvIjvPSTbV7Zb8FN160wi0i0uFaxgPesFK
0K40JLtCybm/RQDIsrtVYwtSwQILrLCZkG1FcTQfeJSIInN8LcOBByUbzUObNukpXBpoomtyzzBE
AhmUoYx4OBbCTkU/ErwnVZhCWDGZVA8xExcAK5K2oBtmTARA52JSQ3wHv/oUkaat8IUaVe3w9OTF
mO7zXdjQ5OeWtEtb5WsXPnU6sr4y64BGDw170V/RmMbADlZL/Q3chtJqI6rhxyYbuCjx/WhYxoFs
6SEFMuXOREf0OiEB1wVrMItauEln37SPVTX2UZBdZEObfB6ljF0R+cW9wCcyIYd8Mu3nbRi2GTkf
5kLPecgyhydzgi5zM3b7c87QfaozCIOW0qvwM+xh9FRMfTd9TkfT/JwadE4vpbS4OlZgTWE5mRSG
012/I4AAKLtJAjf4h0nljTqnDcnCwxQ2BIxrGSysHukkWZUNqgHbSW3tzRy3sz0OERNf5L6IN8Y6
ZwpEZI7HKhxnv6E/63NbNcuAc2UYlxnuo7yj3+YU5nLPXJPBFuEIsBUY6WZeyCCNRVKVdcOpa0f1
SS+ejb/rJd1+LglYS8WURGDyT8iI0fvdFGUVRMHD7G7lUus6tAN06oTygzilcGh6JJS1oh41xwNp
bIZxzqZbYKHKbTrdLtvW7EhNpkXAh8pZdTeaselLaVVEsbH0ZCmAsMbzIZ/VTotJNN6UGHqmtwZS
/+LRQG5ivp1mQsxhJHbmh562yA3zCFPH5eZCTAPjW6jlsI5RXzFNyAlJc5j7CqXgFWTeZvCfKT1D
1mNOL6HQHiIfi/d9qgfsM59JGO3ue+xb0D31aoLlOI3Q5a4wF9w39wLupNGFiTLW4lL0SVSsK+W8
JGkosa8kjSs23M/hFENnG1rFTmCyL276frwPlFP9LaWJ6qoYKS8tFg1ZqDvULXAJZ/POshq59R20
FjtMNZEMoXRfvd8rm/Lksncs5ueMNgv4NUlqOWiAc9YWa7+bR2ez6ZUZiOIdB/DogzLpYZteMsG3
nzrIeFhwzAY/Kx9AhlOZZGhO0PBHVpI4DFFU64LcvQh0Nl0uvQ5qgUD+ymwUP80mEGcYz6Gg6JU7
Yyuk/CaOFrYWQqyOnXPe9AwlwApJcLbvP8Uaz59Q1WVpMYxTG5VTSE5h2/A6EJtcqjXIDDtGLHCu
1Cuj7n6h/eLLSA9rhb0ue9mtaKEUDldihTU2qpeApJmr5YBc4Mpg591vBdLVwsJ08dAmSpOvZJmj
vUSx06vjEnih6z2nzQOIg3lX70Gw0nPq0GG7bEbrn+A8yX+it7425Wy06o4G6VaPftJmaLWz4WpZ
5RbeDuItMVK2heMOtBL19zzsWXKXNmyvR6/mtET37+Qg6emKGZ6bumgDdh1Pe44KEcYxClYmrZ8B
tLGIVTZhDSl5JwTysTSK7003Bg9iWjki0SLS+2xLub3d43mc7jbq5Ve1KRdirljzoPA8RHia52iC
4u64hzex4utdN4sR/u9b98J778xLSxO9llGLMbMoz4KgwgKAUkAzzG87vDdTjt0+W6bS7dvUHTex
h+c1W7oe6nU7c+WsUQsTaDcNL0jqhqRQLOxhpo4TedzzvP8Rc77dAy6Pnrs03nTN94VfzDDARZK0
JH7AgkwCcu7A/Kl6R9e6TRd+4ujUFdztYX8gyrr2Uqyza266iTTPZo1v4ZXNCh1iaDLkC69TeNBH
5daBwlcnkevE5TxGG5TThmiBzl7jMeXSjDmvF8ea/sb20R4cYYtCrsJs2j63WxRcqyBlSxUlgwaE
gJGk9LRPqCtqaqJoum7nkH91veKiIMhkt3qKqc0uEyrTk8/FADZVuBr0uWnCx3qMTfDJC8oKgAhp
qbJ4ONpImjdqw7dxJTfMjvDxCLJkR04xpEGlUho1x6Y1c1+szZ7f59uwv+pYN2e6NeuN4KgEi9xJ
2l9niOH+K9xn/VrvHjHwuKh1PDm6t19GZb2uzZYqRBvuxvWgWkrGW2ByKMrXEOkh3Eeb76ihh0cx
L2DadntyMtm6Pk7YLC9CH7XJJXFLJ+4A48sfTSZzU47cL1VonDxHcYv8RkzTzZI3EGCDGDC2sTFn
0YsBb4sVIVQT99q4Xd8sY780dRtv6S2Fq+pyapsFZan0JP6Glf0G1pDUBw+TcYNFQZuPV2pw4ykO
LXuZwceUyK/ydasl1ROeKgTFvhBzl18kkFFlhe9THZQuN2t42Yi4ySuTqreQMHSPtNM3YmVRJcR+
7ndvij4eyQPsGPerkbjVXodR5p52xApTD82GEfMJQgi1oTpNLkbrXHhWjU2f+AzbMlx0LkUJZx36
BVeNRecuEmonoPabUM3YdWbvqnYz613CUuyjHQ3me86zFo7DXOaXeth+gPSZ7K8z5tt/qHCFmi/a
kKIQ3PvSBRCCPW6N96TwBNOHKl0uye7qmA20q6Xk7roN+5Nr5Z2XM9sAToTpBYI/aD5QCCQqLgPM
Q333TUZPq9/nx46GVpSYOIKJCB3obC6YzKArn81sfwh2ZWlhBxa+gjsvfl9DG7ETkYhJ5RrFzhx6
j0EoMcDzofHhdj3bdUL6JXRwtDHwjnKbtp2fCbSl7aWf0ZQt2RSG41UgSIaLv3HyJFqyzjd5jLGR
Q4ixFPMImrSeS7l5aZ+WTnc/0WRYdIUQvAKG0e2Io+yY3oEEpI37q8Dh+oeRS+5iLfVw0GaH3y+z
k49PMRikYdHkUC0vto6y2z4LdVyu2NiviW62V94NMj2mYgTpB7tQD5VtCDbSqm87PR6gWzT/zrhD
lxemd9htFuhsiFIzisgHfzes5dHyMDmNqVrFReexxi8wizI+piKn8eU4dQMeaqa7alVM9YVEQOMF
UvkxP/vIhrpAn8ciwSXS8s/ZmxtthZgBW5fYw37swIRkczVNMh8OaaTm7ka3ukHVE67JWNuFr18X
yHGRkq4h+owrz2xWUtNljxBD65vSBEncXZEIiMYTioDcX0Q28vQpbOFb/D3lYOnfbJlY7DkGmS08
mrUdprtMyjH6sbdK8CME/pqf6wIL20uKan3HyhVTfEs7AAQVn7ouuGvDHRIhBeVoRGClz9mEIEox
3ltZL1FOOw57hU8waEqhBLOE8U0EdDOURYBdh92FsSJnovp0rbbUyKiwBBfjssdwTHTsw9yIA5O4
gp82Keawdq3zrFpT+I2UYlukerGLx+6GFpdxtxR44Cs6IcYXTSZIW0I8fWkqqMCujzKC01WlG5WA
sbOhnC4QRPjnxPawv7JNAOTALnZEspvMdLwRsH0Lq2ZL0+7RKRKMJcYryVaO0+6Wu9T2ppbKomxE
CSLFock6mv8EihRvtUqH2KBrhUS7mIFHjQ9gt64jZDTxhoshI0koilZbvh6aFDjmi6EtZ7QAfIHh
DiyyKLg1OsBGK2eeQUMnUHnni5TJeb0SSLK4K5I1DJvXNspzXuSEialY4IX1ygX+jgypj7dCyh3f
A7L60ytA7wRW9eiFLmXbT7hBUqX7dNrwAUOlHcHQXo9cOnklGt42p2GM5/gh3+TW1EmLZ7wIfarv
yEAW8S2bAog+jUPf9lXvCU/BKAgx8jFXkinHvszxHuTfolWPAB5WY/sazN8A5ZMUCytTPZO8cEjF
/cdYpO9ng5eIi75r9Hia4ad5UvmU3QIrYx/txryjqkx0pJrIaTxlC3HVoIQudsX/5ozxH9/cf7Y/
9N1fexfzn/8LP3+DwtfUtXx59+Ofn7TEn/96e8//fc0f3/Hn4w998yp/zO9f9If34Lh/+9zqdXn9
ww+1WrrF39sfk3/4Mdth+cvxcYZvr/x//eUvP/5ylCc//vjTr6/fZaeqbl6m7tvy699+dfH9T79S
Ai1t9kZH/o///iF/e8Xbt/jTr/j/L1Wn+L9+34/XeXk7TvIboHyaUZLTiEA969dfth9//U38Wx4i
5SQpDbMcy+bXX5SeFv6nX0PyGwYkIWnH4I2ZxG8zMbPGfojD5b9leG2YIaJQJBwQq/n76f3hLv3j
rv2irLzTnVpmHDf7Aw0wzRJwXiihFBN8EUsQyP5IZPqHm09HVqD40zLWAXaaki+ClRvH3Aki8mey
mRu2quHYK7D2w1jvtY1Dg/19+ClYhkoffJEiz+16EDvAhFX0tI7RsbnywbjVIQ/JxYIBxCrK9+c5
l5eZgT+ljOohyh5z4I7/hm2DLOafvxcuEw3hNkiihL23LwfiNNA4CNvz2iSimrAzv7iZw0uONiA/
SIYkSEVSnLokT+u2XYeyy7LsGFPwiY2PsmLwbXMd9v4KnoOXMOZr7yCwBTCwH/qbFUlyiaHkgFYi
CCT5lGpyRMeOgmymnAFXxpxgBIfeTS9mjPob+rC9Kae31JGbvLVbtdsuOyDhgWGAzN1QeKfX47Zl
5zScxANrolPK47xo0IWqmyUdj2jRyWNLzVSAjJM/iC2KpyrgWMzJYoHImMYfjFTZsW/MUgWpSM+K
xOKSwNuqtMLzz8iZgwe65NOdDGx7VDPNK5kh4x2Svf8UW3XrBrqi/9F1h1FHT23Te4XaKsFrVZyi
doP6R+ZdXhIh8wqKA8DrExBIi103kNbwckNmQIBTWxiLbchiDnxN+OWcMHU1JGN7bAkQeQLU+UvD
I13P6yiLbAVp1lnHa73J7ojpja4awjQ7U4Bz1ayhks3n/ZLH0sPhfspKJClZuY72eRKtLFvenNXS
x6gVE1mgKxkdBoc2KcmG744M3cHTQB6p9wxYxjQcTIMudxKr62RX39uNHKnkGkAkaw4QLY6q1EOX
Yc0AYyG7M6i+AJQGPnlGk6EFpCqTkhDuC775r5LMF0Gcv9A++ubTHZiOQhK2A0iwZiuaDagLT3y1
j2/Y3la2wCR6t4M87X4PdVDlqa9ZnF5n2f4AZYgTetkVuBIlInXdRtlxFfsx4cFrCm07PekR0TW0
pWrc1ZL57xEZDqSNn3rMgQMRj+5omvZXUzh+J4CkSDs+jlN4jjtTzlSbykwB2qZ6BBjQ27BwANpd
u5ZKXudqvuzeGt3BNP6OmvoLKuZPyiamXjmQRN4FFwQC3cD2+CU181DOsdsOfaYPc4NKFzbYUU1m
NBp6P1/vbb71RRcR9YrsowG+xd3dYEd6b31v4RPdT2XGiDw0RIeFZgny1xYPf5CNVZhBaDPLZl1O
qmsv03HNKxo0uiKLM9eqzyJwCkVa6HS5k237CIHO+5DP/BVf+pTHkb9Nvbbn2UfXsmvumlbCyiZf
OiBOYTmHqAAr6JEs52jKxN3YTur71OVzmWCO6viWdtV8dGkpdukueqPHywYbx1n0Yr8DChTXQ9vk
hzjgebEZTl4gltpVexv0p43Rv/JW/leh9Lr7NulZ/1zeB8o/xNZ/HXD/v42lbyMP/3Msvbevqv3l
pn3t/jmavr3z79E0/42iyZeTPCKw4HgbYPx7NM1+C6MEW36akJSFb1yZv0VTGv+GQElpjrkHRLz0
jSH993DKfosjCpuSPM/wCwoFov9FOP0LReQfvI40SwnmNfH5cRiTPCfvdUf+4X6QcaAosCtZD97m
j36e73WYfUZmdSJbFlwke1ylIqBluijINzAU09wbUXHAgFAw+Ld+qu/DIc4rh2xVFJMozBl7P+c4
aZO7sIVpQpx8H8RXqc4hxEuCCTSQn4OX/45M95eBkHfX4S19oWnEkN/gvz+mFeiatPA4SvYLCCHv
hQvzG4Ycvmqpf47m9LtL5VahrYAhvRm+w3O+A3yO0jvzhr91LhMlaDJHF9Km9LT7Okxrgn62HKtx
3+Zq2dP7YbjlJv267K0u4CJwpcPxOgHlgUf0zW7Ci5KvpLRTenQGFrX96g5sidFNm+LrLd1UuU/L
50Hr+YjBzOdpXC4CO500HS6ATuiaddOXbY4+tfCqq4AAob+Sqe4K4KssIcUKPb3mdwFtAmCT00EC
tzrOfniA4vgPsiXXNOKXcALrD4AiLjFSZErLqa9GJYHBOzkehqCDK6P80QfoXK7QYGl4/xVR8JVY
tJjBQ7iQcHpdQMQ7GTN96VM21WLfbsYsoFftuv0EM6Yr9tagHyk0tH79ggDBhqOJzVM4KvD0aVLI
ZPDXgYFAH7E/YVT0LaN9UMIBYC/AHby3YfxjTvhaAbD4Aq7blYRCW51M/FKI7bIdx4utSY6octsy
a+whTBP49QmToXMoVTGnKCljatpSz/RidPuNzIANjHo6RICzKrTCQkDqaq8W4fYSHJzlYRrNcJGw
5EIktMa86nowXfCQKX+GQxMD/rC6486kK4IQNNJI6598JCBNsLjMIUxyWiPMQuOaYP4yQ8BpQEbY
YirCguTOv0wjT4qIyQHdWBus2YUMA8UqODDG39IJ/jVlvq9TzSUE0QVFKjGtfV7xNH4EYWgsErHs
ABbWuErwGFRQnfimQYwo09B+yQ27U2ZcCpsOVy7P6yUHc8CEjpdBAI3Ffl5XNG+ZLEU8PnWdvBoH
iYIZLXS22x1+bfJhZOYQL1QXzs+PKhu2AryPV64Uv10Hmy7oXnS2bNGbuNhgKwH1oq5oSXvscor8
MzlLkGUqY2fgQRgBLImbRTXE4uSm5JLPwVZFvcPEyiLQV4iH/sWFnTmGFtJ1vKNHB+eBNQDraP6i
AnpQYDj1UEgpRNLVLs2fIUsr0bFuolKGqNVDSLDXbG6BXK9nb+KflKaHXAS1pRT5RTe/wOKomAG5
hGM6FcOi4jo1itSNwZ1jyE5C29+AWvEy+FzWwHzpHcD6pENvj6ZoaPC+ImYIK0zM9mh+7OdUw3YT
c8y6BK/902L8szaYUo/NA7aQ52VN2zJY+NPO9++u389AGZC2DftlA7ZSpU3/Mliwb9CMO9rQduWQ
p0uhVMRewK95bVY5405FN+mk4sJTzQ+A8aKi7cmnTvu0mPIwLs3mb9LcyjOca5CV5PaSjTD6dQ29
ctLd6E7nRRbuL2mvB3QM1g3dccwvhwvYSirwBSFQjFgNmwqdWfTsfQtfchSFZ2hmnraxldfQn/1s
88aXYOPsUGCyaMqZBsMYUNN/GxlmDkAy5vIXpKLBtnwGwXcr5zUZShLGvIzkcjvIWRVR195vokXm
QvrgxIP5eVlGUelg+DQQ/ySJOk4ESSbT9nrOpxFJC1mObaMOxLnrJcIsDFDuwazXydI9R4EsSXRq
k9Owp1fMhm+mEredn84InZeTCo5uAAs9nPEIEDjda7VlhTDyOly2ECYlHX3aMy4v8rFXIHfkn9pu
FYWPAJnDtvcbEGdyaJvkUdHxyMcem2r73aJ3WiV2eF7N/giq2f9h7zyW40aSMPwq+wKYgDdXoD29
kWguCImS4L0tPP1+0MysmiCXHZq9boxOI3VXF1AmM3+Tt37X4pfiYP9QZaRBevGg2cpTKIX7yrSe
mxxCxVSa92Li/QW1sjNiKaRYHgxeLFLSkUTcVQWW5HUPQi6dgZRvSAEvEks9DIYeu/KoTl7YFM2q
yQbbE3qrraCJ7WzubDfgqIRI1n/JhlJx7cLf0T+q93zYf27dOecmLaraaGwvAqm5GJM8XClOxzLp
1FXVhjZ0BuGvZX9o15TNH8ZhfCmLERqJZR2Un5WsEc5cU35rdEn+MijObphAKIP83MzY86EthhXl
AGcby7QsDUQXrEDzt02ijWsIQPQSL9VdY6OTMkWxkwqIcVo8nZVRF6/yUFVdU5U2o95eheR4qzSF
O+pk0WWXq/kmU9SbxtfPDa6W26J2DgEYHQdsDlNS9OjRk/CgQSjI65AexQrI7UwLdmnG9TV2krO4
lT+PAuCVjr4v3HzBhR6YL9AzaTXm+JVrDWntDVmmbHNHXJAxZjeSFpWkN37qdrrWrSq/ubPj4fvk
25dwy04Qo18zseeAy9D5o1IRUS1VXhbPEjsEY5FpZtXK1aWUhXepU27kWi08f5IvJtX4U4r9/+B8
djD578H57su/7t+tc80f+zsyp85F0cxw4GLQrnHWO/wdmRt/KDI8A0tzDFkhGfsVmdt/2HzEpCuB
IZvEpwSKf0fm1h8OX6cQsJsqZTAkSL8Tmb+WAFPoMhQiYIcUeq4KqUtSevSfbqGdJB5ay7m3s2HX
t5XhallWUSi3v+XWeJXkygWfp3lrEG1poU3Z2oBLqgMonqhR/VyaxzHyz18ELERNUNPRKi10Cr86
jJrB8CxA7+DZhtd1MqQePM3O7Vrfdg24Ka4RV+d0YQ7dvh6pJBG/lXX3ePQ+/6oMHlcC50Lfm19D
6d5A9W475lKVVU2TrOSDaezhOv3sSNolhOjxqVm/fQ2qKssMA2ZnqtYyQTILrTRGee4hmsFT8r81
pxRIy0yHCciWSdF1zsJ45YvM41f7UyjlriaSVaQ9gMBb5qWj3dZqfyLVefvYZiqXCW9WodyoLXWP
73QuNe1c3yT+/cev553VAhFDY+Eq6D3IYBfzgtBhgvrRSzeAgFAZl5IYz5QO0qEZ6NfdmE1uF5zV
VvulNosNKoLRJZ5NXX865aX0Z6/KX0vF1imKs5lN9iWVVYMC6evkrnOQCLTw3PftEGUbw4+gf+a6
DIKjvAyF3rjRBJfXAZhza8FqihJRbHV9lPfUUvWDDUdqF6dFfK34+Se47AUWb3azafK+AP1PdQ9w
L1i3nPjQTIxsyz1XuX2uRHBRynQFMcBaYdsTnRWEF+uhxz49BMmmVmknjx10tHQSZyFcQ+qY0W2A
SXSyyhXDrKDy5Oo+MYzHRFEMN5ua4io2xaMdWcRbtX+Qdel8rj54mSzOAfDY/MXeKEr4Clp6GOHa
eAX+MvAsQnkLAL1Jw/pR7yvLpfgAhxuymIvo65zLVNU9kQhJ2ZLul/e1WWLIoAsoWIrkxqnjU7F0
WrD2ylgnqrhGnTBUHsgz5Vh4bINvB2t/qJ5ExkkQ6D1Q3mjEruFQOKOWBTe0g8LSp7blNbi0Dm47
FZq2VtPC0VfOZMbVygaC/USoSzo0FndDBpcmCM9LS9HPHT2M4O6VFB/WkKggiTpxZexiy2hvOjtF
BBHFGg11iiC8GOLiCr7OWZHU8PNyOfegub4IPavPlUB24KwlF3oXtZ+quJ6uurET1PsJXAyOzJVd
GN0B/FMcWsd6GpVG500k4nOfxy/UvwwvrctsIztmui+zaO3QJPFQmfJT3be3bVZaXqEOt5lTW7uw
Gu3rFIYvgWW1jetiTlnvBgF/0pxgfBCMgArqk7VJmh7eXBKdB1X2pAlB/1mRevWYfskN8VI11TqW
axrsGUiJo0g8dj2ivNKOfagWiQIhQQflk9lFeZCcj6U1biA2/jBjR/U6WGFrxVBz0PP2WyX3sltD
zgIsGHYj4jBXauKv5QAQYEjtQ1cm93KeUw7QJ9ceYO9Ufr22Ous2tKvRk8xiH5eqWNHGTfG6YLgR
2LyvJy2PSKjK6CBhVb+OAJArKa0+NZ3ozytZIOLoq5pscbLouuN/C9RiE8VKTWLPDumk2Dl0VrXP
ZV14nRVkbu1DC2iy6k6e88ve2gQ68KcVbfzyuevZZL0ywm6Vu7uYp65EFgAsezXOIajqsUrKUEZu
b8JXjCQ4h2SL8c6K/Vs4n/f0sb6em16tpEinhD8aziahPMCNhSOkk8FM7kAxJMocGMHv4r75bPvy
fY66iIJvukuUDIpTD7shV7LzoR/P/YRmK/Banwe7uhwLqVmxv190uZNddeonqiXKtDPkkP68dmGv
+8x4lhPa6eZxHyHWGteqPsYukP6mb8crQ5KrVa46VzVVwVUgZztNSYqNnQx3pRZ+jmZz94L+ji4s
w2lPW3tnQw62pZxQuXYkp25oYANfVeUjXc7yjYnEajsBje4aPH/XdYO6pkmgcHZIj86yMpX2JbaB
qwhtWpKGkws/fNVpu0y2sZmEpupqHQxx6PPr1tJuEueurL5ADPwUG+ZZYcReWaZbXahXhQptu3Kg
TMmUswal/exI9XkKshZEssxwziO1EHXN9uLUscp7ops9y+2rY1gHKBBIA7o7I7qbuueuewR8fJJy
o6E3dfN9gnon1Bj2quTDu9YPUN9AHXqHB2VKPxq5OkxKACHD2sjZs5N8bsNKdvGfhBRIZwAzHTaa
FW0zB9BulI2VwvJrpDM7eEI445VGb259STNds9uMJSRyGI6O9tJZuTsM7TcoJ+dO/QjIjYLk+5T1
bjrFmzBv80OgledlSHMDyRJuic9vH1HuiCiRlhClFRCTxGunaAvgFqwS7NoA6F0lVz6jDLtIbRiV
iQV22T6WRZGyxTWIBVl+O4b8q+RG0a5G666vH6TROaS6dI1jCzdk+0lD1jOGX6a8XNmSs55YxYn+
Qvddop/hpk7HvdFSrKh686IoL2Eu7sfcQfPhDgnIy9jAS2oOTh+fR0k6AS0ZDJei0ixEzlE+cgpL
qCt6/xHl2gWc2sNoV+k2N8X2Z0JFBO2gBUpk5D5Nve0yNGSSeZBk+6seZk91VniQWbwklDTaEDSH
OvpmlV86/cWMh6e8aA5VltmeaZUPjXi285LNPX3vqbtUenSrFzS56KhO5a6IQtLd7rPfpaFrxc4X
qSnnruVfooEKnpZ7yPJX2lizFUwouEYV36ZycS+Su+GrVXbUqGv9XCv7le/gZ5b1F2X/HFBLydp7
rl7OB9QzdM2GQizcbAgfcFm9UNpgBInLz+rSpKD5LCZY9tCorqPgq5myD4R/ASXys5k5qLL8bGVW
V1ZiXEMeeyioJRLebNSGolZvXLZ6g/jVeGg6ZRvAkTakUeWU6dGqmPE6DJx9nlePfRZBJJEAUFdp
kVZbQ9caT0h1jo/TGCcenjfQlhNjE3fAPkJqp7XVqM7eohS3sn/WzyzM6+sWIh69o/u1GtvSGhCi
9SRotWszlWPX9HM40THrH01Y7ElQWjdGon8SoMI7pRAQmFNIIxmdcpFllCutKK8G6hNuYJhUc0rt
SR0xSQQhlZ+aKTC9CXLNLvKTejVMabEfRbibLAniUVwlHgXowUtKyFd5lVwWSicgOPfQjIta0EPT
5Im2qrKnpw/OLFNicRek/TZrxnPodsXckx4RmJPctzLxAjyiXVxW66rSQHVHPdspufENbaHlUeuN
LuHrAt5D9HeLFibp2KrlVlXz8tAP8qaiQEGZiigJUtFzQFVqPWXIq/Nu1vJAIYKg7aGzIxDzLQgC
6hTsaMCwR42KK1of3eaaeK4SHht6Qe6TbVlN45VfT996LAApoynrKil2MXT4zc/g+f9J++zo/N+T
dpeM/V+rrsiDt4ja/MlfeTtqPQopmqqqJlnZr7zd/APYTLaA2UjRfybnfyNqysxP4Y+myjOwNJvv
/p23y3/Y5gz7UAlwNNPAPeA38nbdYPhXiSnFBH4cvwMyDtWDpbUErHQJTbNs7TrKvno14lwTiX3a
aLd6211lo//dNhWq2QbgilPauyDDQ0hPCImHiDChsdCV1o7yAM2QQl+XqW4vF7edVjebQFUgozc1
FPn6thto64qC+a6JklVTiYfO93ehDHcyMywCHCN/YndAK9Rdq+rJF6LRcPHUv0szWH9qKwrEiOiz
Et24lUvz0hxroo2Kymx2FarjGtwLPhmJq4uVQunGdti4Y8O1TVkar0hPCjnMxpwwS5jZxsoiZzWp
gbyB2b9r7ba70CFJU6HNLiXb2HVJDL8zUs8DE5/O3i9lD0zCgscaQ4XTVHNbxvXt2NVf/V445yJC
b1iUin0b6DApOq0bdiRP6pWj2esuHLrrsuvbTS4InVWlS9eQGGnRm6a62zVKtoFNeKVqmbmyVBq5
mwKTH3n2zrZCOfSgvZ7jQg/Io2baahIS4XdOdVYk1g80FdRK2zVjU6S2xLOk0y1S2MmG4jfeYA42
LZH6GZYUGQ7RIJ9syk2D79aqyqu7qusr2hWI71ma3kU5ZBOba58UsLmJyWbckGaIoBGoFFSYH302
bgOJFs6mz4Px8xsn1a+CTGzzCaMJuuz+sMxmI/naRq3ky0jOzpRUvi0lY0v6tnKC5Hoo2yfRRpd2
G2yg41zVcr1h+Z2Z3Hw0G9xMBR7FrSl9E2mFwsi/pA3zyjHsz0OgsRrk4iCYSDyB4fjSJz/Ld3Ia
7FTb9L22mZ58kjOq9V8kNbsddPM2rtAClBHeRv2+qPVtAqjjxVMLOFbS/Tb4auuI9BUd4BKlRb31
/QGJmhgezGq4iWhBs2rVrN0MEoq4TlHppV7RuwTtibmZqGGZ8pSsdLQDYzPdjFFNbVcoYp1LETvB
yjaqYyPTrb7B2/0yEKIk8L+g+NSPFXFxADpg99Uhsp1d1RMlmHp9p3XRtS1N6WbMfBCI6Cps6x+O
6L9ZsUG6iHJvg+DKXEdtmXL4Cx2q82hDgRLxYZLpMYUrerZt/by/lyaz99JeqTcwsal25YG0Vkv1
IS7LkeSARTQOCnhpk18WqUJERE2gVCLg0dI31r7BRRLYeFgVseJvlDRKXD03SWpayJ2ocGE5svvc
oR39bZ6W96nwVwQRrRvW+SNd7dnVD6Fuu2VH3iDjatoeZq1KHWYyamlSME7Kl0wvr5DGbzl2hr0e
DVdo176b0OvR41Ny1oxr2Qk1lIBxhc5tHC7QvxP+21N+FXZOvnai3PciLb8w5KHekKPkm6L2Ja9s
qn6rxabkUeKP1kM5HAwQXMGjjhPwT2RXhNlycW5oUgNzupXQEPZ7YNHqjvIJjyXs5GifyOlXGWf8
S7/Mqiv8sRIwu2ozS74BXPUvaahvqqTEgbOXhk0r+c1NblnVGnbhRQ0w5UUNPg6NZMnABJPy0gVR
fYhQ1sHp8rXaRSxpETzEfezabRrBzBmi5yaq/ds46T7FjQz2HlYvNSJZ2MCqO43lWe/ocKntKaa6
Z1yQcn41jPomLjLyev+2ahB22SGC3/pKacP8UAyI7HTfPLdyROySf2ll/grl3KdWGhR30ELIuTZ8
eIxnzyeKirDBsmJjRsPDaOYUSzH/o99QAntMKzdRGZQuvsL4MToDTzEoUJe1OhlSvA9maYMtupFT
isROViG1WxPrp0vr+05O7jBOl7w+7NMNXb6Rt1BugUAUX6dG7Xt6m9iuPmlfJWl8ohD4rOUmZcXm
URjKlUD5v6okLfbaoCbHi6FvlF03galMPfUVaGE25dALFemB2ysuMrtDGXbKWjjRzRjgOm32rAe1
TyuPDPvOVvJgHVJk80RZW+cin5x1DcayygoBHpxCgIMm3W8GuZ28aOYAVmqBaj7N72ChXjh0HkGE
oyHy1PI7S+ssT1M6/6Ir9dzFS+3anADRyrG9iceBvt2DIjzdiuIZz77GxwHjEWiM0MW6aFehrNjp
CAZW8NSitVop/loxx4c+qqNPupxnh7gSUCPJdFBPGZfJUFxWQJCu0ZPZGGxFM4GziBnFD3L+g24j
9cllbD/iadpqg32eB93nJJe/OpC/uy67VQdee6TpTxxilMPCT9gaPMc0Z/QCv7v9f1j4J2mZovh/
DwvPvxT/8t5jWc2W0X/HhPofJoQpBIwyJQPQnF8xoTYTpjghLFhExk8289+cZfWPuTYMywruk/Vn
IPlXTKgqf/DviSXQDtkwjo3fCQmXFX6Fgoxl2eBIYDlgTYtKeGInAZUgJzyE2Jogk/BELDbmbhwq
zGimdXPCBGt2APtV7Wac18MtfdnkODAxpmE4+7uVJVsxfi8EOW7/Z47yij9/jL+8BjLhnikzFRup
g4MDoIIq93VRPdTaeoIonB4yKi+qhjywx0RFk9ZoI2ZHh9XRK38H7nl3ON6eSkBN+GEByR13Iq4G
qp4RByF8GlBtE3VA+rWiDlcU0X1ndL+Fkvw1uaPRZlToqO9xwzmYC26rgw9ZqYLYLElcVUp+4hku
QJI/x9EBlzQI9QZ87TmXOBpHtwMTrdGYUiax96XRYvZd7Ftqh1ABdmqVf/f7B92ULnpZPKAXWslU
rVCnf/xoX0NCb3/E/PdHP6IpMKiWhiE9VLGxjqgQaInYTvEp/9t5mf9al38No5g2xDkdYHXZ/iTo
aX4Syl16cJTkfOj8NSQxZFqhZxTKLiqmx0m5CqPin0xu3hEsGVBLeQFaZg52ZAHs44Mu7wJEe4Xz
qA/FCb/zd58gCadNxkfXomWjssYKhqkRRopitrjw435V1jOZsr77By8KYQYJJseZvdwDSJglNMFW
eni2mymExg4RRXz5eAztdfr612s6GmSx9B2ps8F8pvQQ+piRWEBWNHgau6tGDrJd6IjwqQxpqSnS
3HTBSG4tuSzP61htIbcUl1bgKNeNLSjwKE3mTkavYQ9AegbbJ3QAWGiGtifaegx6Sd2hWp9uw1I5
a6EWAcAl3U1At3FPoseZ19Hi+FbGPAqrQ7OD1yekEyfl+9vvaK6LlQ9OBr9NN9NDWWTSagyah3Cq
ZiwGg5kgwWPRb27jLg1cTRPfg7E9s+bnPkYZmoFTjv/vbY95kSqcqrbFVfF6F+L/O2XayHmKhoJY
VKpcjZgPlccDNdqN3TUeojjglUw5tTEX/SH+fOXHQy/OVjM1kZjCFOSCas90pprMcx5LibJlJeHL
RpxuCwzR7Adq64eihwdcBeoP7Dlvzco21x8vwXmFLQ8KywKfNkn7dXVpDZ9Q6VU4KtODwMPHzcPn
uhGnQGHlvWVuAYCb3P+Gyf3/+nGDUEH4g9J5MB1l2tpyeauH0ouSW/EZKYmrhuKuUCyUx3pxH5EC
nyvNd1k95U//3q12/Cvm0OHo6M0cFKR6xZkYimSkzvO9V340uVzSnccuXGV6/AdP1rFRH7HKVFgc
r4cjkclbgUrtUDdR6zohusawzFe/PwgZhSyj0DJtawn8iwA7jUTFbkKoEmyyfBVyUvyTIXRdN3Sq
fRCtX8+jDKuiLRotOUDvOxtgqNrO/uMRFnqsP/eEDfP87yEWb0YUKQReiSFUrfiaDV23wbOcariQ
5AdHMSHuZsEzuVoHqETqb6M7nSv7l3UHeOHo1QUOWl+dSo7cTuh3ITm/p06PkqrvnLqxyPWte71I
X7RJ0CfDuhnMHODTzO7gkn9q8vQF0m7qDRIZUMq16U1CGBD28nTta+IatOcctBNFralObj0CQn88
/Xe3x/H0FzHr6ycslcZEnah/JEndxHRPd6sS/AjXsq409upIywxY76kb9MI84UX73s3qwJKDmG9w
vy6vPBwnIlwpgpQsrL4eEc13KcaBUfe7C4p6HQEtZBUTQxZKy68XFGCTZCiQkA+FXwrIU07hRu31
x8/0dRrAivo5BgkFqYZuocFfjAGVd6QiGB9EIfZTF37qjAIjrP7BaOUbnCwImvsT03p3SHUWNhis
BGUZcqV1mrVK2MaHKLrLbBs6Vu5O/XWL/EmxdNfGR+AfzFGDVaQYhgzNcbExk7bJGvZKfKhrygbl
4MlhDYj1TQw/iQdbdTjVhvLNApmf6tGIi4Wq0ekDSvAQH1TjrILskOTU1SL9xH54c06/HuVnzf/o
nM7nCXe0zjmM9aFDrlfqew2CDAJGgKIfHz/Dd8cit1JIW+m6suy7gtC8koJmimFh39Q9JTxiMcp4
gHTSLZ4wv3tazzM7Gm3x/EbsL0qcWuKDn4eU8UI3VcsTQyhzjP3qQv85BqgMuZsNoXGx8nUJU+ME
L1Dkaf139Itr2RmeDb96QWz73emTQ1OpXh1NntDkCQea5FQTwHcXiQVx0wH9AQJaTLKa8O8jxplf
n/kgte2Z0KTZivRE7Pw68/5rhzskpwZ6Kjbd4npNy7KCXSFFB22yn3GmmzrsVJsnKfr6+yuEcsJc
TID0Yy1bXPh12Ui95UTYKhTNunGUz1mURq6VWdjTxeW5kWPf8fGQ750k9sxYnpmvNujC68NLKTMd
rjdDQm2+Ke3ggc7Phwxh8ACjSk/bNR88MaQzh53LZUO1BHonTQd021ikbhj9ykGn+YypRQ9WATsv
Max7yU77i7BsvwQh/RGHMaXsXgXbwrQhMvS4HnTZrk6SLQ44hOwF7dpgVbhaGsiuIoYeX0HD39qx
biDeUm61WXQiavgPAbHAF0keziq5RD3Vq9lGaMp+cGhfamBCgkHUl2DobxAAH0Sef1fK4oVb/xmS
y7qd/G84OBKIIHpZ+fm4zdGD0X8cu7EGCzgzd87pKAMQVYcUm/Xp2m71+2rk3zbYYprNUzob50nO
BrPui0yp4BK0xY3ex5f4yV6o0PgoWH4ukx7j8XF6lGU4T+AUEYLmEnrepIB6QwHgAqZi2oTfW7vA
+Q/alev0Kc65VXIDZp/DM5KxEcr6fRvCF1Nr/SwpJZ9Mchh2XZd7ZV4BV0LYqPXgSpJLtGROeZY3
puJpNISHFImMCNQIjxRUI71JFfXjdfbeFjp+5+rrdVaI3nZQ6ESH0emRIpFnVqseo1hjFOuPR3ob
4nAqHQ+12K1S2yMDx0vvYGJYllMhk/DanSYVU7zxe2zS/TXr702aFQoLgnMuX3T8jo9/wzzEcoU7
qqpZGBoQyNqLg7E1U1WeqjY5YNcKspnvAmK6/22IRRxbmRAtSqlKDnkQ2qvYz6Ao9qdIxT8Th7cT
ocxiyjY2DzNh/jiPIaFt8b9OkoMvhvMh4ETPD1Kw7QLwTyHwTU62XVrdWn3+gKzMq6CGV/1XPxdE
wz1KsK65L0ywLkIK2GNYDMYlfQJCaEfYXMLmK0p8j1SjWk9Nchap1d5PrABb0wqYMNRbr8QvG4yq
wJlqRGAT6Q8fP8X3jj8UVf+Z32KtTANNOWplSA6J2btmGRUHaMabEpu1aNTQaBvRWaeXJ1boe7fW
8aCL1RFruEHRbiQ5tDgjUoTRDnKD5WUTnLhO3l+FvyY378mj4Aa7S6uqB8ahKLEVegimeOoCflti
YLNxYeEzJOMtYiy1A6nGyTJMTnwYYmUD0LkvsTDbCKOFCIFiUsPBmF5K+fM4ZA9Zn37Nsyja1QaA
nYq7DT7R9ana6/tP99cvWpw0OIsmGQRKXBEV7QlyPqLMAYNtWXn5eOnMN+PbrfFrnMXWiAdYbMnE
OLGCfiMYBOYeANu9HKOjkl27EzcGluqBPOw+Hvjd10oFhbhHY+kum3t3cmhIyCaTA7act3Jr7xMy
yv9tiMW2UPDeH7KpSA66mLq1rdI2xGFPfzzIe1cCMdt/5rFYnhIABC6gWXKgVnzVRpMbYtfUJ+mD
HxW3Hw/1XuhNNciCR4C/DMXc1zvBQoKBm6jKjsOlQgdHR7zoWZj7SerNaDx9PNi78zoabDGvqvP7
WDUVzkpsyUYqCg2hQf5squOJHPrdw+tooHnWR/tbrRvsKTG1I8z+pkEm7/ZOHKCBizF7Nt26OFVP
PDXeIlaU9bK3yoiJRTneK5KBS0a3RvaNI4i8T+sftXH58ZN8u9Kp65NXWCoVJ6hciy4nCnUaW2vM
6ADb8IffXctDcuJdvZPCzEOALNpUnMjeFy8rq6wGpgXBAlvqwmzg3vvO3JUILQMY1ORvO2x5NEVC
tykiLvHEQqhViexExfrtAn39Mxav0i8NPdQdZjo1c40QQiO+DF0K1VR2CFf1397fr4eb3/TRytG4
W/98sDTuOpfBzdHInGo09t6UVKymMIdCjvRGnKO1GCqoAVMq+/CQK07hTYN10ZoVlTOc4Sivydvf
Xy7kTgj7QIxN/ns9q3goiBLCecRkKuA8JLgXorX9zUFmeJTyJ20nKDLbS3mabwwRXs/gTkhqm2GT
fvr9rz8GDpdzwGIQn+YhPSTe2bf/7asXFxY2D1YRtXy1paa7Ukc0rkcnHs6bo4+Hc/zrF/eGGqRU
PyKGKMWLasfrtG/c2PlcF9E/AeaOMMfFge5jY1HXEQXvqjrX11jSQ1n/+Gm9CSPmqRyNsDgYYM4J
wzbBEZKLMb2oL4r0xOn9Zn/MAxwBmIs4xentospM0JDU2RXazRSu4uIMKl51qqelMh+TryKVxUiL
F482jhpsw5KtviT2qpronuC2EMdWuXTiwH73oR3hpYvXkmmQ0y2hg5eekVnndzAKP34r7y6wowHm
h3p0cInB6sMgAZB1xJlCtdgovhf+tupOHMdvbrr5iR0NszgffYWcua9R2oXOfsRDrHGzXZlvtRyT
7NXHM3pzxy2GWlyqeGEbST3yyLJb0IDfLVzx5RSt0HXBhIE5vThNwsbQ9WCChkCEGCDMvJytU6e7
j2fw3kI+HmSxkA1c+tMhFOnB6B7Vaa1+cbZh/c2WTzyon8Lo5TI+HmexjJ2wCKgHM5lNy9oyL3Lt
S40tAqTZcSuC8y58svonKdzlxebjCc6v4O3AGkECt6IOMeb1osM3zOpqgwkWlw1GQf1qk40bCH7d
/uNx3lsKx3Dt4m3l2K/mRgFqXXe0KVnhUfIPvn8GKGQNWyh7qUgep76HjzozAHo3Hn5Yycs/+P4j
6HXxnOha5kzTfPpjZzfeTOmpBTAvpDfvwdFtWVXMd6J4SIuRsDt+v2E8986ZyDeNtYc1qynf8E1u
v0Ob/3hC767sI1h1seJ8uroovtKmBwB7t7f24arSLju0Yh8P8957t2GyyHNTDALdxakZRbgOIhb8
GVI4ppck3m9+/1ymV34BVItpRIXVS42fx4eONikV3bxOXMZvDuXF98/zOzqUsZ9S7D4GAKNZLf1P
1PhzIb6pwwmY7c1Tmkf5hXlZi6NfGWuhjgWYV7xSts6JKbx504svXxz4SRSXUxDw5VM7uGXiDfdF
t5XpI3ViEm/v4sVAiz2SERJnclTHsHAOUfdJrz26B5bIPS6m6AFfheHE2npzI78eb3bJOH43eZw2
PoSbmA5H3ACPgGjTqeNROTXG4tyaLGWS6r6JD7Z9XfZ3VnONRVBEK+rqBFp3YgksWXXGFFn4UM8P
z7nSNrJ++w/2ya8VZi/2iaMnWhhWfH2O0h3P2f/xVSy2iV+2Y1vNr0Kr73N5h13N3ce//9R7WJwj
8YT7tNKxiIMvME0sOO4nDpJTAyxi4glTnzoeQYErRChejmhi9fEM3j1Jjt7AYhuiZdF1SjNsw30y
wYiHMZZcj8aJUU4to8UetBNNnXxmcvCxEbuJnN3HkzhxljiLLWePU9Yl83bwn4Y5yzqrh6fkFEv3
xByWRUDatAVK1fIqyOGcs1CceERv37QO11o2YQCjdiN7f31s6FFROE5PWSRvmh9d+aUd8Mptfq+n
94yrEk3Z+GcalqPTD2qxYCuaCam4PkSHMJmu1DY694v4n5QhjsdYLqliKocOR7uDZDm0x7l00LVh
doDFAnHjqfX7DvZEzmhY3OJ4TZrmEhGHCksXoRqOtoV3A7RCaOCY6G+tXWBdN8n1JCPeSNQdjQrR
8J+q2prvVONfD7/YoFacYrAum1DEA1PQuRusUrKHZCX79nCOGy0KHyOxVoUcrdA90xmuDeKtrmbq
IcVqaBXK4yMcdmQ6UXwDxlqhF5/bPvhC38Ek/jyFpemOQ3gWKkbmpcK4l+vU3NPP48LMusuJ+A/7
YO1Hh6dANwGQC0Nb15G8kzTQm44O5U5NMye/CGDR9lPrFWbQrBxUk8QlKJVjW9lIWQZumauBG6Tw
pisNyLvPbRUoD7tGfOHcmsZzHhYtXhH0w5Y+mJ+TpknXHRQuSv1+7/Zq/kwHwdBzgvLZosmfW4xV
tQ8QYHqWMHPXCOVdjvZSdNWuw4psVSfOA6RA1EQZuuhY3YYAB9Rt65hOQtpdGxQ0AxicxFg5Fe6c
STn+yCgQ7OOhKr0mH5KdUyC+zqXuxi6Km8Juelogyr0nC1ylFZx+V+ABJmZpEmSdSP2eOPz/IktK
WjU7BZSFPsdUL69XePtvQiFZLgaXDWKn+Cx16tqbcvkWiaC+VUKQM5RmhptaabIqlfKi1LTbsIgA
WwSTbItrJ8U7vBYB1hYdXV/kvujdwQayy/SUpqaFeVVbuD5mGILi9xmMCHbkyzqVXmIJAlEgzB91
Q0fLzlHXUjrChJn9LiB4p1u7bDpXGW3flfTImXXTLKZgcjaKUF9slKz0B5yNEnxRIvUrU5q9prGr
9jEGM5ZzRrORGUiIun0/Yd+CZvU2M0yK5G3iYA4pyyvsFaxNXprmxu9hGKZjUZ4HY9NsdQ1CuWTW
W9ot4/mplbanVbS7ka3uwRBqcYOYIXLxgmkPAx7Ym7KfPtOE46ZPIffjjKF6VPQoezih5Y1qQQ8Y
UeLRETSfmwFOLG6SzTqfpGz1b/LOZDdyJEvXr1LoPROcB+D2XdDpo+SuWaHQhpBi4DwYZ/Lp78fo
rkqXh7e8M3vTwAWqFpmRQXOSRrNj55z//+KmTl66GHegKb2NO2aRqVTR1wxzwR3OMxFOq13q6b5V
LEAwGUszyW7kCW89wKFXWZWi+azT7tA1kb+tg1TeZHbyWJeANOKqZyMoMesZs/yQtQpjNObXIqra
6xpQkzvFCd1AKBbdqioNoMMT5rEiatakPejTSxp1qaVMTrWmsloWqGRt46ofMh6u01puLIYXUfIr
awNnjrnxGovLq1rzBbieOL1R6c7GIQEHhb4YQek0PI7KfhbZ9LOcO39x/mnWXSpDBKJjtjWUcK21
+rg2KXRjr6A+5I38QkMKhpTPkCxfjaDcS/C/UBujU+2j5Dqy9aVO+ySehyYmiYm9IT/R78OkHoH+
xKYXBX6wVBxIUlRZR4glO5nTVFWquxBFmds09Ds4W6EoHl7bOCJ5BS8VHb7lyY9GvNWnpl1GdJ3r
QKIBtbeL1A7vQ/2qkG7yRNnqJjVORUAilPFCKc3qNrdg8xUSXj2JT89GU6tUsendjLQuw82m+8LZ
ZWOKDmsbetE9iEmQ9tQkX1Tq8KzOvSW6Fl5XdY9Omqw1yQZcTJMWDW3sSm3zHMXZ19BIDu3AVxxW
VD37wdgO1XusTLuiLbEKve+w7F6F2fTdHgxAmFHpDr79EAXya2tbt1oKO2puvDDmFoyykupFVXR4
EtGaYcSW8KDjbjrbP8RTjcTYTnd2b33ppRjkLJQHz1F49WnbNFt9rlKgfrzuJ8DN/gyfQjx9J4mh
cHGsICnb2MtUtvJFJ5UHAZRpUWm4mRaIYhaiwzbHCHplaU3tszDKl8Sx32GYPJFQ2OYRagHWi94l
JyqDmUxf6wCYrhlEySLT5BvRGik2U8W2G4drOSf5V4PLtExtiegUpmPIOESmsotTKvbqsiRJrgPZ
wy2S+ntv4f1DFz5tPbha8HFsJjVb5zSXwQ9I31qBXXxNHdSjIRUrmxQnETUKrzp52Eat/1XDm9M1
zXZnD+VLb9lXTq3SBVbZ66ps73MiHBcAY0tJR3vBij8FIArHsgiUfRmYL35D/5E+TKuETs28RLov
6NC2M/km9R+AyD075ngV8DKqtNw6yp1ajbclbGgnllaFIQ62X11L7HD05QjL3JnyjJ9h8jXmfTKo
Ge5TylPW+A1WdthJTHVD9qpYS2QV4fUtwJqDYi6p0HcHywBi3shXyCqXqoq9hyIWSh3yW0S9NjVf
usJcMPil3PeSwUYxoC/tJL9T0yjb0IUkLQCwUvSePAPvfjdUMnvJ/mx4mVLHtOBp6jKvMn1faQwa
OFm97gQcLoxYf4LGPMTgCnamFu3rxBgWqd4AX2/oKhFDo3yRxGzI4syfgQTHoR5wKlTrlARcV7E1
NNCGMD11AYJmno2nl4t1F3OzV/zriWZnL1RbZ4HlS+FNNpQgE1Qx/i7AdtDEaHs6TtluQEXQ6lZd
5cq1atLB3tva4KpOhQd3V4w3WoauOxJPdiRWmD2YmL800lIzwwTLKOxU6qowcaDFSwsvcD74yDY3
9DEJF2HrrAgeqtVYlN16aORtWNTPzkwl1rPJf9Wa9LqqpgEjL3E7WCWrYF5/A29pr1qRwJHMk5sU
7oMH7S7ZmDzz1SC3YDz8ksmPZ9kg9zg0JSEdVVig3SBotlxDq4xFk4NQy1tbXvbVQIdHjguWGQ3v
ME4eJ618G/A/2/dD+EOY0b0CPxGrKvrNnRSvIFx3NroYB1jFprScJHbyILNfBm3IFzYvEg+VKT6Q
eu1XkqU+A1YYd5KGVXGoDMbaGOHepiPue7g+Wm6pFnuzzd5RFMtuMkmsgJNW7OwQiq0IK/+6t6Nv
ZT/uE7m+UzrZX8cOGLu83rWj+MkGHsObVu5qY4zo4cmzKyMDdaVq3JNqFnS2BYMnxrT8oUhl84BB
i3UDUJYYsVPDVQ6qGvBaUHmKyC1PsbJHRMSCKZnD5+olZyPXHQudnWMW0avfwsGWuPi801gi2jVq
DF9jiq8spb8JquRbXEbRUhYOCNax3E8hFLWkHwsvQpm/4L4HMJ1YDX9+qvv9aPoxtD5JPw1aHDch
4cPOsguMJuaxqbEnt5J5IUV05uhF2cmQwe1wNKLd6OPRiwTRkKl44OwKjXfVzWs8iHrFa7E7uHBP
vxImHzKqqq7QFG/iXKvRrXaaU0PNFmNUxVjMwVuSw486nY9og6J6VfZNuybwxcG4yb9nI9GGOn0d
IlhURWNP2EAMPylYt7OKvd6USMDwAs2vlaq7l4iTTdzGjFHkS9vAxtnKzPdcUc1VGVsebr5fC3DO
KyLEr7Zg9kTBbpCHn61ubONUvPuGcWcG6hXHUvtKkn0HBkkkzy2V/TrHQx3WBwRr2HsLqWfDwJ/6
RzdvITl7CV4cuNDP24v/a6dp5k0nCFmzwnkjostgWbEzTfMW1bJXDexZkUx5JGUXw+mcxWbe2DR2
OH3e6uD4EinP2x+sh23OfhizL5bsjyb7pD5vmOW8dc4K+4WYt9Ny3lhbdthk3mp5Vgjv2XxxBWS5
mTfkbt6aP5+cZ9KKH1/kyaRpez9LJizUd/JT2mYHTBPdHB97ZzZSoYX2qYx+WOPL54Oem6hHk+c0
tdiT81Wr1oh2aT+tKm10HatbO+yvnw/zezqFW6NkIc+d0aphnmTl0nLse4QqJAmiYT8N4+04wVOw
9cdsyPa5X/2t4aDE87kjHztVWVdK3ZqRwZPM1GSfFURvgGQ61U2GgwTk9PN7O/sIcS+ykAOoc5Xu
47c+4Xdd67jE7zrl2jJ+phYU56hbfj7InOH47SM/GuQkKRBHNOlNZh0hu8Obp7VfevFq2k9d8KUv
lEdStZ8P93tmivd1NNzJQumrdi0w/qC7OwFYp7xatnPhqZ1NcxwPcZLT+fOOZilVpz32wRezfO7E
a9Bfq8QoGi3jQ8w+mmATF0lgnwnEoQN8fqO/+tQ/e7AnHx00P8gRGW8vHIxNmPkL2yneUpW+q5rA
0klgGhZz9JnX/b2ZhtsZGwQgVV77KsTiGooV0kRcyPzS8pw5qu3n+LaaI12/Md9HybzJ6mbpTA72
JGBl8SBqCRDEc1U7DuhqVPI9ulw3mKRbqw9mlzcO/igIcOTJVlj5kIo3r9sKM0GNY1yT88MqzgiT
ZBxq20rwrrG3vm4+DJGjwVNKS9w6nFe7GuG+Zni2BXW8N7HOufDczsxHJBvIFKHgUGc/eWxxHQca
pbVwl1XOPhXRa9lMsESkC7XvM73LBPJ/jmOc5GGteMxQnzOO40v5CmwBNG2CcVvYGaC18b7sMdyP
q4hkBGkR3PeuIUktG9v/qmjwOaWq3UcFDqthq7/iNPeIy+pTr+VvlR1hzzOle85ZOYQ5YnI5TG5a
PCIhKRCGawDbYoHtkVVCK5i0+KmWNQiWTUUwagfbhHv+/JGeC06Ob/WkAgPxL7DQw4Y7Q3pv5mHw
SduUUvGYPXw+0LkFaxbS4a0BpAj5xscFq3W6gmxWGO0ieY8hbqI9x/GFIs/ZIdTZfAIDd8KgkzUx
MnObZmyNuM+WXuAr9IbAjPVSXezcoohI4F+jnCyKQs1SLbT0aJeE+WoySeeh/3oJdYL86tHq7z5/
bOfWxOPRThasAu9Pu5pUktATxkHWW9AVF57a2RE01bKwjwYx5cx/flSDldTIpxV0IgBIij1ZIiZo
sP78Jn5tfafr3ez8PQuhNDBoJ7MsNlIjbWmXBGWoRguj64xt3xtvht+vcjDUS79uGteq4Pcm1JjV
trzrps7HeNT03bKEqjHgKueGhnGTG+ntIICjNIHijUV1SFtt2zVytg10ZRtaY7gISEp6Q2ms+tE5
hJzlJFy4Vn5PKlLPLryeX13qH+/sQ23ZUU+eXm/RKeOImAKBB4IuGW9j+al5r9fYq2rXAblweEKe
RtNi6TZo97M7S76ERf193n/8DSdxTon1n9yRV9oB1NWqNYZp4lK3/u+h1MchTiaJjAWhElsMoURu
2R98NwUOA/Huwsao/P5xfRzn5BNu2IIqVaUQmb3p/peyxuE7+2qTEiS9Oi4T+yatD1a2AUo01suu
Xn0+T3//FBj9SDl68mlPNYbUNVZhuxfpWXv8/Npnn+DRtU8+ZD0HWWNgMLCz8/tc39QPfXugvvP5
IGdnwp+DnG5cfGQJdlcMouL/uO1Jd2/+ZwOcfMitXYU4nTGAaQITdi0vcy68g/kZ//ZBHd3CyWSW
rBiQzawX7htqOz5G87s4fbjQbXjhRZ/KMjMDrI2YXwaq7mFzkYtx9vK/sK3KHEWcLneVmqTJAA+N
Xqx34uX87/z6o8ufrDlRmbRWjDHoTv2Z1QQHy8/f8ZkjIZ/B0fVPXkE+iWyUxiTeyfmzOi6c8s40
3MR54wSets9InbzJuVRZP/vhU/jkvPZLKHsyJsAfKy9pAt0pj6N1yDHyTxaJ9KhED5/f3PlX8+c4
JwvMKAMGNR3Gwdjf8y+8mLOf39FNnKwfSg+b0aZWuhMYbN4RKP7Pfvu8xBzt1HllCmqK/PbyW+eq
Fx7M2fXp6LefrE9Ua1Ejtlw89716r5Lvx9Zzc9G069wjOlYNnwzjlBY2qhmPyGkP96axHpsLW8i5
9eNYw3kSu9eUg6k72NGuImmUt1dy+TLkFk5EF9bzcxPpeJyTCRv1ytRHOX0OU4k3l/iqBRcWwksD
nMxUCclraTezpBtXgSctWf71yXT8+0/mam/pYzh0XH57+3esM+AUQQO3NBuriZNHE6cWBRjSwnDn
Fn6x6i61ws3HvNMtguXJ0dBR0AhyepSAtRDnrT+hXgJYR0d6qv7oVqryxRpbF2LB58/p3HdxPNjJ
hAV/kpuoNhDkal5QUWHblmKBpb4qLryQs8vusfT35I2IROJ0HyK6tItDZspulu2MXXxQCyjHbvVm
txeChXMT7Hi8k+Wk8UtzhCqOZU61tZ+V8m8shseXPzmsUzVpVKhraL6e8eZNTA8jhAvv5kw656OG
dL7FoxWR5kt1GPOYl6MuVtoQLye8WtR60wN+B1d3obf/3NJyJDs87YJu1E6i6wRtI4baYtSB+L23
MAWH589n3Nn3cqRuPFnBAllkDfXgZFeI20i/ytpLBYmzU/poAPXjUysrWR6HnAEs63tsri6ew89I
43gtRwOcLAA1pbXMjHhQbf1tfAZ/eZD31UP9JKgzPpX6hTPYhdcy28IfT4KQInwjFJTm7dIUPzpq
4Wm7Lfrowjl5vsxvq86RZvJkIQB43iEhQQlqY4tS0qIRkSU0L8zo39898joN/hfdbTiNnkaOVCgl
w2xZOuPZ2+GAPfjnc2v+kR9vYpbv/UsXecr6MqCm0Fg0ixZf1GiTSnf+y9BdN2vVvPl8oN+fFgNR
E0HebVA0VU6mgBH5NrlwkuG0NiynqymIOMD95QXs4xgnX79OSVK3LMaIZzt1C3r9JTeGc3dxrEQ8
eeeymok8GhlhmwXJMh7uSqyYP39Q5964qui6apFZw8bxZPaqho8BbcoQz9UX668XBKl+oPXGaAqa
4em1W3N0jGLuxcROeRUEAUYKo1vF2fLzW/h9PdE/DHOycZmt4jcAEnHoUKwtkWO0TLx4MBYwFxaf
j3TuYR3f0MmWhR8XjLKJGyp0V1qAnPobl/+zd9U6WXlldewiqefyfvUaGgdqKp9f/9x0OuqNtU5O
z7oeFx09oFy/vKav8AlL/huyrxdG+T08ojeW2oiDxwZuiadrSBKQv1YD1pAccF0Z3QJmGEZ8GzE0
+fx2zr2N44HUjwtvj5bSBpYU7VQACd+0ePP55c89rePLnywhltW2qprM9+EH10R5rbXUaWX4fJBL
9zD/+VEEAaRB6/L5YUksHlW/h4Dzd0Y4alU++TocDjwQyqhCFjVGBfXP8e/M2uM+5ZOPwi4l2bAK
ZlV5U9Daql74us88oeOugtOPokjUvhkNfj/OmzQrXti8z7zkD1c/+SSwjG0jdd4nagmJUePiCZ+C
PPn8JZ8b5KjebJ0s43CGHMTXDEI3bWscynELpf3zIc49JUuHGQPoFW3uae0h7rVIM4b5KQ23hjG5
uXoh+Lw0wMk0GnUNqun8GqaHoVzSffX57/89iOIcdfT7TyaRFBrVwG7BdyB5WrK/v5cu2XWfvYGj
arz68UuLpgYDV4WXMIIQsMPrPnn8/BbOD/Cv+vuppVsVpHHeW/MtxIsvFxUs5x6QTf4G30Tq7Yo9
z7GjhUL0Q+nENMztkrf4S2m4EuyMC+/gzAmQuuNRaenkJaQd3IVeprRkLmBp0okLpXN1kKTn6qIP
5Pmxjso+J6srvXvtlOBCs0u/x86rHH+XQFqWXjgVbmzFIGcv3Nz8208iT9wV/iwBnbx+Xw86Qt4+
3FX+qkoep72MnrDYWv9Znvv/GZSFvgTywJzoYMr/11CExVv+j8ewOAZlffib/+QiGDPjQJMRwuIh
QCrsTy6C8QcbkUXGBu4wPWT8yT9ZWfIfGAYRx6M1xagdCfC/WFkOiGsHqhV/QJuNTbz/V8AIzsfg
hRiYjku4vLjfY6mq8zF8/MwAvKDqmdpxE9Fv8JDk1r4YrXYlrDDwTKD0APimN9FAqMMTSiyDEKYl
doGlO6U4qXp9IoFrbyhNNIb8FcPuV63OiUYVGE5mYIqVJZxbTIlsd4ANCOhKN297Q5V3eL/Fi7Tv
1ok1bH1Z3/l+om8kPfTQi+DLFJiHCRAknawF1CWjXCp28F46Yo/BTIfd4fAq0n4daljiDqZkbIZU
uy3zOR2htCb8JxsT8UbGmpAWIWmflLLm4WEdrzolL3Z1G2vhou/r/l1vTPUKnxD7urdiVQML6Mt3
qa4qX8NkoENVpIq9aKouuKYrLHo0ihrLwNimUxzuQSKB0kxq+wvGbrqrKyrlk1laUYdm5aY6HeAo
ZlbT6L/Ipv8sxWC3BOwU4CZTCT9R6WLgtkaWKwhFQila0F5XeakMbwUkwQb6nk97bjeUnkQCbjk4
CVy/nn4QHlyjap4Sl1rs4gAlubZfWMvComu3y0un8+I2xvSkdur4PpD2wg4VHr4iadb214z/S1//
Y5Hxv/8z/51vRTlWwEybX/i2P/9p/aM4vGU/6tP/6MPfqf/vrz8OfhTeW/P24R+WOWKK8a79UY33
P3DH/o/r/+d/+d/9w3/8+HWVx7H88e//9vY9i3IvopMj+tYcf8JUkBy8Fj798r/+yP/hnsOhzH/t
z88eA27s0XVnBtHP7tbga5p//zdF1v6wZ2P1+SuGITALAv/EoYCax4jHwL4Aa8T5cn/iUFgRWNAV
KEyg93BL/wuIPPPE2ZP287nuq4Lik1nlOLuchDcltGgUIUW4SyY4ZUECdGoY4WjTzq27pWS/FDMh
jx14dLuyzhZSF153Wq+5kVHsrdICGSW30I7s2lpYKSqowu/CKyRa0toQVbOSMFVcjF1geGOTgOgp
k01WhHRYkWQjePOcoX8zJAQGymjBpi/YBjulf5yEAtarcqBoO6Dtus5GlUfn81jn0dJQC2Ix0/4y
leKqjkF16UN6aC0gbEOOmKJPUtepkJA4cX4HszLf9gkysc4cflrweAtpQIaCDyhdGR2NX9nPNkgd
uJ79lUodeudngLps7cEIlHeY8/d5obZLFClA+uDKsRrWFtg0K131oZWuqwEWnR/3/UI31fve1POF
mWX3YAx017THZWuZb35VLGIVqrRTLNs2zLwkwuAzS681OVtn2oRYxxY4LBavUijd2LbxA/40Zl16
8lrIFY1eWfkkGhXYU9ncmrPZaFiIaCskiATd9GD26msvGk/Nm2UrVwMLHt3H0OP8hRlb+9oA/G1n
9pdEp8MuNwPhiari12kYPpg9zfyB+jIgo5FEfd3Cdu39aCM36a3iVN+nsuAIaOOVGmaI+GwfIgLu
gVttNK4zf0hcueHwE00GkIQM96syUPB5tepsrTlIJ+tmxIjSmdwkLRbCUe6NGRPoJNZOctpupXVa
vm6GyMfJFHPXope93MBYcSyNO7k0+2Vqwgbz1Ul1paQEvyiUaeHHUv0cTam8HCX641u0VaYF4gop
wxNl7Mmlj/3ZohdfTarSM4z22Yzt/dDiZ0WR8Buk2+s+xyGW9up2pbdI7ezCAbuV5A3vMOk2WeaI
ReRbmSv7TbMOpewujoW+bIqQlpJUfsxMBxRj0ylLLZDXgWHfaGVyHajatK77wndDyXeQA3bPFZLM
ZRO0jZtrk7Szerz5RJffK1SYXCWY7scqfo3M8EYmj+Z1DR2PQ0k7dNdk4VJq+SKr2Y6xLYLvpTU+
hVFgrNQpNtyiTu6rQVpZxdiDhMveojrZjCMtlXLaLdCSIk4MJHoXreGbrZc/Jad5bYeAadlK6EEd
2gVL1DaqeYfzIVDHKEXIYJd3WV/Hq9K0JJ78eE+P0Evv48+C/nOtIE2zu+jNyO1dKuIHSTNaunua
yU01tUK8ojVXZvSu17226idkOYAl8a6RagPs+viz00W+yKPhhSXGC1v1KanxFQulaq0gPaSJ9yHo
pYMeDc/M79usCNS1As59ZbSwr51I0L6vmuC/eUlF3/Vu1/Xw1qEPqb3te0UJHNOnb9IW6mMwJVsf
EVgW+FeEOuW6yM0HUVfP4aQ9scQNq5BlDNM2lHCQDd9LGXABucD4eTT828oZHVdoReI1yCk13wbN
Ppg/NR2RkUBymYjx4MwaTBrNsX8QMPJGBJqYjgaLbtZsTrN6U5l1nDkCVq/MCR+kuridknKbO9N3
qTU3BQrQAiVoMktC81kcKs8yUXUWjHYJnY5jXi0ctKRjgqg0pYsMlVWyisOoQu+I9LSfRagFgpi5
Ob/hBaogpixwibNoNay0BJgm/35seqKkhlKWhcq1guJHmJevmlkAm8xS2HwWxaaoY/1ZJktogYnd
L+2smFW0s5w2moW1zSyx7ep0oaK5lXrpSzeLcMXsDYsqV1HGDT1jNF7Ogl1HqnzsbcvbpqzcSZgv
dSzjDA0RXKJ1uUXqa4dW5/o1U7GesnSJE/9zPiuDq7xciFkrHM+qYQ35cGyoqlfOimIkCs1SnlXG
eKL5bjQLj8cC7Ko+gjuQwax2UYeuclYq27NmOUPb5c8q5lwdN/6sa24QOP+CpyN4Hmfl8xj2hwQp
9DRronloj8Gsks4sfzNmmgWhtX92ZiW1CZMe0QLq6jAK74ZZbx0gvDZ6XXgBdno7ozGidWTEtA8T
uSLBML2s0qMl9Kr+erKrBAG3OeAwyjYqzUqXada8xLP6JZ11MPKsiOE72CuzRiaZ1TIhshkb+UyI
jKZV0dNMv5Q1CiQYZ2QtEchu8ll/o8xKHHPW5EyzOke3Q7GQEezIs3InnjU82azmMeI+XKmzwkcE
k3VTWk79IMKiApKoJNtKC++sUl83szbInFVCyGt30awbamYFUR9Od2pNaOrr+U9zVhnl4406q47q
SdwJZEh6HnyrZl0SvvM5PtholdJZtdTP+iURle9NK/ZTH9huNmuczFntxPerrbSq+TYqE627GkIS
x3Feoe+U6D7opytEACM2Np/1MVMPlUrBIfTVzB3z9kHrWsC84ovUIqeVhnRgVWVtXMCseebssO4a
vhcxdphnZ68d+lJvam1yRKpOpbL2dLqyJb2ln3gavpWGVq5zSRYLSI7Sehq1p6Yav2Zh8yVF4ZoA
weRFh8ikEL4ndoWWm3hlMTm1szMN9KBGwtzjIjSIl3WxSjFYQVVc2HubjXmWxM/9QkrKkgT3IZuQ
QpRFvpFmTXUlIyRWfchmg5/h0tEwPcjgC08JzGu5cSpXm4ZNXU9YmhnRS0W+yLN7E5u+sFZWA2IL
nGkUw5NG2IpOPy7FYHwLNd9fZHV9hcu5+Wjm6qZU8UITeZ1edb3ab1tLku9tLRbIJBQS40nfIsUn
HrJ9VfZiXWxG2c9o3/DjpRYON/pUTV4/ps9dPsRrR5HCJbz2chEl6uBaAwpvsuKoIwMCuF5Wf4Dy
xFE3nQTLdoJlDtLbJWdA1W1hf4fAZd2+Vm2vHsKlqiL9lQfD3lh2WBKmhfpyGI1dX/nFVT1pYiNZ
g8yESFAGS5a9DFP5mkPUswobcmMnyiFMh7uwQz49JP47H2zjdXJCTDE6P7JOvNtQK91CIG7HcP5x
Kro9llfBLq1rIKplkG58zeB2wo7WaJ//tztVRl3tR9W1QjV1aeFOvLDV6EHP4688b3CXZnmYglZd
EMvK173CBm/FGpDZMpFxqc1AMqf6ldoay6obsCUAIYzuxbxpmvEnUR1OYU7zXE+RuhVgnby20aut
UpB/NWLfd3s98GS5XyVGF66hxWuLbrBbz9GqdhlXMF+kxCSGnMoAR51IuKmpO2i+pHCl59pPQDx3
VvFe5zCU+oEm9iKNF6Wv3cXCDtypMkLwX5W/G3tzWsq6RtAzwMhMDPM+FOGmKottG4RbJ7iXY6dG
ZGCFRHz2E/2ZiwYB4BKsQrOMUE0OerVSFOimpTaCO8hjdcfKsYe085jG2rMdjdM8pxQ37NM7W0k1
t0F3lUTazaC0zG911P4jZ/6XjqH76FtV1MXP5vSQ+eFcev6w+r/2HDp3h//XGahftPbbsC2+/X6C
nf/mP4+i1h+6SvppVrM6GKKSSv3nUdT8Q1dIgWKqa+nzMfVfR1FF/QMLZoWDIQ4pKufRPzNQivKH
Rq3ZIgVFukadD7B/4ShK4/KHTCXLA8Y1c0EWLqEzu8Ey0nGmN88Ss7CD2t/Ysb+snORK7qTn2M6X
UzDdwCK+jQrdE4pxE+XlGiDtInBI8IgSKRZkAN98ksdxUWtWSAxheLnNAUB2rochv09HuuyN5mrS
1MQtY/DTsbkvu247amy0JbGlZptb0RXtwrealyhQHupK2WHG8MpkPsDS+Zop7T2QgrekMpdpAQ1B
t+p94/c7UgvbtPe/FMbwnI6qB6hzJUS9FcKmzxjDuygM3JHvxpWm/NpuMZaR670hTUv88Q8qGbE+
7R5UZ/rRiCF3Cw03gZaOdkmo6HbDTenrniKNt73quFOvUU8ckgOMxfucVXaSlR+lVfULzcpfq7R7
b3p7G0nDjVqg5XYiYxUkwNH9dslRnRBdbRelUNdObL8NaXZQJjV0G9y/4BVteCaLTICoSAdrH+sY
z/e6vLSa6j1lsR+C7JskGYtWS68Ms98MTb90moxzBKimMjRoLzFASZIQLOO2o94m3p0aywW9aEZ2
ikJ4KcdtjGSm703za40bRLw15VE1ryLQH0AI+nYbhdPBVwr1Su+x7fMLrBsq47lNsCdM+iBY5Hkf
XEnjd6UdPHjBGCqkbK9tl0eP+mj166QjhRa1EI0VBRgIvJ6HEf+Yu0CWO69TJXOhAqJGmpxZt/lo
5C6GICANWtF7lhb5nlU7HUX75rGMcmOfTvwXsZndNjrt94Gc3gpD0WYds+Mxi2qCGAexvTxiwzNt
wsbyct9mDW+HVZ/ZmWtUFqt68tpBFCUa9CLFAkpmbLImu5UteVsZvGcO0o94+mxq+OepJrCCkBGb
pI+xbC9F7LAFM4vcMtXe9Wz+rYjJvXzIn9q2EKucsskiV56m2vcGjjTSc1G0O5ncJsiMsCIadRrP
IlwPMALzbNZ6JYirKzkbUpfvEScDwja3SoeVrACCCMP0K75DmosOlsOObW9S37linqYuBzDO5+J2
EmIdSzxpaPKW3O40IXZh7D8VfoiaxF6VersI0mHZdNb9EEy3laWRey2i78VQhLfkR1NPNjxM29ZY
FTCtevlFNwbPsEhughw3WrKshY23Tb01HLR1jejYtiMfdzRDbEXYoeMY94riENFGNVR61ghLwpFk
kB96k8Oo7+f3jt7sbJ/9furadc1iQBoUma/RRO6g6gHwGpIkWdEW+OuAytWcdGMZGSIY6pRpXGFC
EIHkEtXWnx2K6pLtMQNdji1QMd6GlvgapyHOH70m41Mkx0iJlXrRyzjG+L5z7yiYMw1SsUis8QqN
r3xP6EEGdxryjM7eSNzJo2OvtH6EzZV5FPKvSiYAvR6aWyfNF7U21qEFRQMGwhSaoasH1lXt8NvE
qG4T3d7Win+jKsWNLg8HRVZWity2rghafLKSYanhz1CECsY0mngMerDsqnnj9PYDzg8kFXKA5/lt
YUO8MfMbNay3sWjufdknC5W02zAwalLa+fe4QambBMmdUwbPCcj4TsTfM9O68kNlZfrhzu+6u74b
o7WtR/d1LG2m/BsuPFoUX4cjR6QhCzZDXQDUkzt3akXM/CKdnovMVR1EkLCCMB0Z9G2aTu9VXnxJ
xuy2DMufcdt8nfzqkBT1kxQjRaIn9VZpjDs/IX0iK7u0EptM5oBh+J5IpvtObb7h/bvnfHsVaPlN
LOStCmrIcOp9h8kB8UsOUtcGZBLfdYMSuoEAZQJhByMR0T8nRHth3o5uYJoB3WXDfYyfsEv09Og3
HUyaIb8jePoZaOM3jriHNkZvOSn2sxHzZFXiNgcZ+mAP0UKI6atqZT+Y4UT1iuONQ6u8VQ1LUlfk
3UpWeRgJWspFN1EX6O22wo4qDFapgARPHo081jDYuxDYpqyN0hoXJwljnFRfxj7IMXSYD1UeShgO
6V9DBK1u2ouOtvdsJTe5BuhKuiqMDCMUYV6rsaozTXmFNrrNZjrIWDbBhxoOvRJDU1YlvHNKio4T
9xMKbRsmXAsVxQ3q/G4pmear6KwrhWeLCCwHC1zcxZGWuf5o3kZ9eC3buTfG8Ru0VLdNPOhlqpvS
f8/BOlrQqG14gbCQXjpkVdNadXuSEAE6y8X/Y+9MluNGli79Km29blzDPCx6k3MmSXGWqNrApJKE
eZ7x9P1Bt0pMBvEnrFTbttpJpXR4hIeHhw/nKAVdvV167Pv4hw6XO7159opMHvd26T8BwnSELmfH
M+EhKFXAP9RDWBuAujBpVQbG2lHrgxU4Ea8J66VLsyc7rXdADsBLRc4JsLSTXgRkeBL7S5sXp3rK
lOmjCjyCUURACWXPULj9WZvZh7qlpFW3arPJVf2xrMH6YWm8bcpM5R1IIQmvDRJQZhl8Nc1MWjt+
esxC9ejxI2BY2NdhXVB5KnSwoNQTRLv5pugC+bECjCq/MqqIV5ui3nGM9/4IvzKxQBStLO1YWQee
1xu0HXNlXUv1Xorzb2qj3Y4mCeGyKW/MtPBWgW/SYKd9z4JY39kjE8S+wzNzeo65vnZX03WbhuE3
UIg+qPJ3hxdcpsKUbfwIi+LgACq1ycx0B1aKDtwUgYJGBmnCrglJIpEK7VYELdfmkHyjorOl9fvU
86whnUtmW5VXAbluGxmgImV4y7Y7WHUFWnDxoBfqn4B97OFU0VZhaHB7kCxSo7E+jGZYkRWtH7NI
v2m96uipwU1rDYfIbf60w/EPQCmBetP1R8CZXNJ5cgmlXgSoDHnJyvX4dx1wf5aL6yGLZmnhcTSq
T1FUH4uAlALc46TVHyRuhlBPbgOXrKgrj3B2AIkyVAqWje8BBWzcNG2763vrKWyzY68327IytnSW
70rfIR4C8H7lpeWpjEgOte6xUf3riBGbaJpm1Ns7xSr3gxKWay3T4N8KYwc3oQcr9OP8y2CfBB5A
R0NirqnxdOveiN21pfnltpJItUWt1O2GsSKjw9WmtUyRdm3Mc6vcGRJEvk6eFLdjr2gf5DT7Wrd2
cLQaFe80jlL+GDftsdXhFKtjo9qB+nGtj2O3C2wj2ldeFWzJi0jrrCraPRRn0roc0KtOtHIHbsZN
7pbuWsnCDKrgMb3tSo5nPPTdDXzwBR7HKHZF2xS3ReF+1wkYE9O3DpGcnGI9vzVb589AT/GQcgGg
Rg0Kh9NsMoCbydmuOy9OV3R8fAt17SqL86fM1t094JTFSkqGjGII4Aue7IU7IwZcLfNsd5cBXjVB
cQG5lLvGto5BUiqLgXMWA3+W5B+6Dr1VeKvwiwR3pHI+1akHhX1fMN3ZKuUujNV2Pb3yn3zA8Pap
EoYbrWYCtKP7WCPA2fp1zls+i6xtKhNNpY43kpZsv3l1+QPncNsl7j34bfEO/IY7uOUe87bz1kFr
H5y2OEl5e2P2ABLG+QsveICufPvFo4W+yotvSW9+6tR4V8aQqGiDQkxrYPd12d97DVTmcgSy33VS
Dys4FFzfNUGwAxNNBYjxmMUgE0OTV+8GOUk3RtHdF+7wyXEJoSAeLfeybkgbSy+UrRO7X3QfTK6+
2tp0vIMupu8bs6Uk4x2Cot3GVnB0RuVTXxIyU73eMgmwjWvnMOjlX2gJ//8xPeG7/s+P6fWXjKJu
6s08pfl3fz+lzf8waQOVK01JigOxyOtTmmaOX89obXpj/13U1f7D/wpCEMCpMG5MnWp/13TV/4Aa
xPA8Q9o0mzgACP2Dh/T0TH5t+KGiOwWKP4HJpzkgvvHtMxqcL0MpzbimO/TRyQ+tC0BFXZKjUzdZ
fSVDIni2Onf//eX/lTbJXRakdfV///fbBq338oRne+f7tatbfg1edQ/IGi0afcpVZwZgCWbVP0T9
BoDWsGjlBXVdmUG5pZGhseWSdwcx+arX/IHUsnbn9PW1LFdEpermsnJi99R/5f1sESfrDTHg28Xs
ZPyGpo/NCWyNiYT9U9WcdOnG+4cN0D/FMFVFIV4DI9YSmsIMW++bQtEayFFW8TZ8vqzEW4uge2Ba
tLNfJ7tznlhx1UKNaShoTkmS3weK3YPcRnPKcGpVUB4r8tyNLC20nb21ivcysfZzmXk4cNmYaKSr
94r7bK7H4mNmPVxWbPqRV1N/L0RoXpDhPCtGAyGlScCdbhM5Iq//dFnIu6kacfkEG/CjPC5tChSn
QBofJQqM4MOxXr0lfx7KylwxQXuXFgWv6vJDMjZEd6pRL4x1vGsbFD9COGVBwqXqp6ha/1kB2uSa
EvUKoBdJpYT+S1beO6Cygu13uKz8rP1jQP+l67UnP3e+jUqpd2pC2HaCL3tfcqOBILcpUuO6kED8
DJYAeiZLfL+hpBsNBYpx9ecqnDV7koCz20L12lMWA9VmDkdaYf6Ru/rbZl5FCBpZucI4Wea3p9z+
5prVVkqo0fhbhmMXzvTsCTAUE2Yr7glDRGqj/MQIi6E3pwYiVzdyN0k7rMuRbLmXbS/v0pIowTgq
reuVOEJUoBC/QNo5Rv6WEDUtggUKJGX2yJ1pJfQJBp6amf2IqDbWiGtdasyGbu0NpWdsjtdfNRiP
nvIlcqTPedk99PEI/W8XHEYiLB1y39VgJD8ua//ubFgKgzaGRlHM0dhgEZ7IS0w4vtSoO6nNs1d/
Dd29U/9VWaAmQPfYzC0nWqYgQ0R46DTa+PQ47E7w5rgcNPsKKL6PlxURD9tPGaS+aewyZGo2gqMx
GxrFczfpTlVeHSkdU23ey0NMXk0CeXFp8v9txydQ7tOqnUkTjMYAgCaiYtydpCLcqNCluNJHuWi2
lM5I1HTXEvyqebq5rKIqmqooVbCfLo7CXCozGKvBaF5Xnd1vMoWYwbSzT0lm3HWkdgrVb3ZaoND4
II0e3TnN1zbs9qSyrzN1vALGLyBqH+96e9jw2iv39qA/yUn8qFj1TzLmzwqJWa20nl03p3rfhAs+
RDwEb5WgB/etVzRIFIapxkb56a1sfir6lQF86+WVmjW4X9sDI9RbGb4agmsVxh2nJo7XkZfwYo7S
Bfc+L4TiDfGoDjripOiZv62qduzVOu9OrS99tmPgtklNLvjBJRmTRZzJsALwttqq6E6UerXaPkaG
vxAUzm/HqxbCuZFyoCc9v+xOJFt6fe0r/3KVhJOiu4ECZi2/ryfutuJodkvzdXMaELPTbD5NObwb
Py3StK8H+h5PTMQ/lM1L4ZQUZuqlK2n60PPrdbLbczHCLECX21mnTGIMaNlBmHX2mveSD+ZDg6hU
pbpjho+XzXhJpBDZeppVKyQRutMw3Cr2TVOYG+6/TfgjU7/5SzhCc87lXL/JFM9MTfMAhwwlGiLK
qt+DcXxXdPS3ZHlDaiiiN/2yanPuWoNbTLUNeuanV9sbaV1slrrWYxZ2kT5GubnxjQTU55EUdXmK
wuD4r8SJ82CK5adGRHcdlUy53BtlrhBV9PtYi3Zypd15SfvtskBlfjl/KSiOTfZaBQ0CvXan5kfV
PfvuV7rqSFV+WWJRm7cRG2RBg0kGTRPO7wCMlmJZyCka5a4AvGBNIw/Eitp10ITd2hjy69wi33FZ
vTm/RPOz6SDSmYDr3m6f5RnlSAza45c2brtNliKGd++G6bQxEWpYtGpPA6GCB2/dMhnGpOp5N3jl
oSklUoiJ/kXVomedIXY/frKK0T84cKSvAjWqtp6rfbysozIdL/HEn3+DcOLh9/BGpRj7kyz1H0vd
C7YJs4RunN10BWDaivqHbbVHyaafq9UVuiHho4ifjLG9v/whc4t9/h2CG4hyf2qT6vuTlflf3TZ4
rpp/+nYQl1s4/GrXwTrBq/NUGOVxjGzaTqQ22/yGHopu03dPq4Qlwr/yDqxjm5Ynhuk+uvK1uoSi
M7tOZ78vXJbUn6SUviJspl+3+qpZX/78uRNN9unX5wsnza7sODBrfr4bn9rH6pimj5ryG8HRuQzh
tkxgRbDkmveAwQyLvfueewuOcGmNBL/bNzV4oC1KyOGmfla+XV6iuauYKQ0IiWFcZDpDOLVVUZeJ
kWX96WuU78svcbG7/PuzX6+T5mEgxJkAw9+6HertUd5VQX+ifXzVDtdUEH7DsdFG87eEKdt5fgtG
RlNn4NFjo5bmUZGONvQv3l3WYs5l/+TC1UhWTWxQb2XIlQz1SRv3p9bW/oDk7Zvc5bu6LeAPpjgV
Nv5DZS9RFc+vnGHLf8kUDEu3mYcOqgS99G6rqdTput/am1cJwt7A6aqXo4kExuVuIhcy6mjpFp+9
VM9WzhR2h4KUr8YRuwPnBr2wJk0Y0qfMzL6mVvU9UuOnpoTXpgsfitF+8FsYdYx4gDkn/+6aLvRO
akt7RrcQQS8srcjDzVCAVWgFioOeWa/6H//KWEzhEsoaT6r8HpOnKfgP+vDppamU+6gLnzJ01pPk
q/dyWeK8Po4KqirvXFrK3ppnIWdUZ1KDWCmnNz5lEb1PlyXMJh1INfwSIZyAqEkkNY/1jiYEZc24
0L5kyiXt1K1sFjCSlHutJ9VjNVMleXNZ9vTT7y71M9HiQcjAVXcVtTtloB/r9CcPUHVApL5R6Z7J
jSV2vKXFFE4FDf5/LebV98NlRZYWURMOw+s+Jd4nmfbeXL5Wcms36jDp9OOqG7T70s/WVp3/zkX4
uoSa4OVlLa3MtsRAzHrXmB/o/NLvZWnhJlzYJ02we/11n6Ig3/pdfVXao7cODSvZwPX1RVHypQVd
2CuR6z4LLVtSJr3kNP+o5ebHHoYz+Gl1+yow+qdh7Le2Jfd7RwuO3ai4U6vkBy3VHloXiH6QtS9v
8OznwOxiGTq9ltbP6cPzB9ngG0HtO7z9N83md0LKs9+eZJ/9NjiZLaVUky3srA90qH5RUePffb7w
RKhGupDy1OKgtaZL56R/1HQSDJeFzB8Cky5bTdNVZjCF4+y3WtNBudOdFE17qeRIXQ9WeaV016Zu
MqfsXFv5h9QZqpVaLtU2Zi30TLRwtOsh9Ss79/pTKtMShKRJYsZItJwcipRWiwVVJ4t/57l+yXPE
xJkcxVAETfYgh3a/H7HGtvY7BnwcxkCSpzBTK4r9+rimpf5kyClNe5b+vffzr5c/ZFbvqXgLQJPF
w1PQ2yrKJMf59MwmSs8enFgrO2XGMG+VQzuxJdVMTlyW+J5ncnoNvooUn+92b1Y1BtsDwOl8MDpN
gn7IpKaSmDTy1CZT9rlRHHyegC58Or6/jtRxl0TK79z0Z58hOL5W0xt51MueLtc/tHDd+M8Les4e
+TMBkwmcHUvDhvaoBTX8ZHT0Ew3Kje81V920qIqlHqxpmW2Z/O1YMZwv70YmmyQXWKnGLu7rkp7W
y98z+zkOuEwKp4fMuqBvXqul7dW8CkP5Tio3LhHxvxMg6DvIvgPxIS/s4iMtdTBEXP752ecI4NgA
R9Bx9q6KVKlxojCG1J9yKKJGmVYTWoLlpWetOn3lu4N5JkbwQaMjR/7YyyxTMzHZt0c//uJBHbSC
3YrBr2GbD+02Z5xWyZVolfbZjZ3VD9aY/2lkQ7qX29Ja55nzVYv7P7PGfMhaebi2PCWni4YghbfC
EoDUFMJd+mLhCBdu4AGK3fWn5OaoHpvDErX0rIt4XRGRKyfpZb32en6/14KVwQgPdE7PS7CD07Je
UMIWrNNn/CkZR3Y3iM3v2jT+m7tPFYAFkmMe6fc+hmn86bJBLekl2KsGSMZohZNBWZCzrS2DbjPa
vNeltb0saNqAS7oJKZ/XBYRZpaw3vfIx5dGmMuoP9hRj98yeL2Usl0QKIYFSRIVkpQ2vUtisrlM/
WXmwHiR7Ccq7y8rNuRWDVh3D5gVgWyIqURh2YdzrLW7UvpVC+U/oaF8uS5hNHxpAHoHG4jAsI6L5
wm9gyPmAMnn33dDTnXtndUeluK7L5zKgthvuLwucs8VzecLitaOmS1mNPE0BziTDMJgLWutttSkz
a916oEDU/dNlmXMbdi5TCLCgxnV7JWEZjXFcO+mhL68aZavrf4TOx8BcABJ9j1rLFXwuTXgVasxi
6rqH6buF/1Jb2rDTCl/eNEXtgLbS7IB3MfZ1JEf7YLQKuqZAmjJzegRI9Feb1kuLfR0sleDmHDxY
9arJ2JMxlbA5Rmf3pZ9UXddkLPtIm7HaMWD77C/hUc5a66sMMSNEn6tVKhKKq8ouY08fLu/inEs5
U2ECMjlXoacyHjQeKvRmsH6if2k7ZsmKVsrLYpa0EDwXVcQhr/pJzMGgSz9dONJzF8q5FoK/iqMW
ApaWnzeNddtTP/YhVwIDYqJduqzIrCQm6dh0hqF5F71dL19vmr4J6CUIPvbxTouW7Hz6UtHzTpN6
f/++cJmHMj/vtT59BFqZfrW4TrqKGeParo+l1TJC2qxNOZmoNP2YLtxYhlbdfzAcYFmoc7oL2zZ7
xs++RjTwTq4sueNrlD588EOZD4EmfO0bMjxN4ZoOkevGcTf6JP7yOs8azC/JoPC8XecgGPQY5qbu
BDLnmtnsfel2C3nQWRFA0wHbpZkyL7i3IkC38ZiusdtTa6p3QRVvwrQ+XNZi1kGciZg+4cxBOGOr
uCAqtCepsQ+m+4mwBBw/3VmKNGet8kyO4It1l2qm3UvtqXb6R7lu95I2HBpY2ElqLUCUz4qCStgi
LgfnSAzK3T5xYD3WW+hSbECE6f7PSgAexoPqJMffWL0zUYLTyIskk33Jak8OU2ZxZK6p3+xcZ6lP
9F1f1FR9os3rl0qCITRFlXhBjSEEEZMWDZN+AZPlmyoo7gYsnELmmnjhMWMtHT//ABsfw4cZEYpm
QzhbWhkPQMv8fln5n4/Kd57g7KsE2zHGnMRCYDSnDkrB1UAPltbpwaGjK0uF5LOu8h+Euc8puSkm
NZsR3BMF0LDaHphtlPqj1DKtZHSZtcuYDaaBf7xqAY9o+vxe1v0Pvu/uhwm+KKwlfTu2lg1Fsr/t
ZPNDHHdXBmBBuzzvwH/oQ3fV5LS6R+Y3iGhfOqt6zMPw1nQZ22hUjYHYB57ITGwxZ5YOGyWCXC9R
+h5y+4xBBiUG9r3Oxp0yWspWGcJxN8IPvm4YKwgKe9gxVsdUl6RnqzgpmNhSO5jm1YruSFuu1p6n
aGRJjXxdR/BCq8ZLpLpHS238z87oQqk3atG9PAIukqgw1nsaU0Jhq9z3trwQZc2e5rMdEU/ZUP9l
J0ZfbFxpC/LEXsmW2qxm3ZKtqeSTSL69Y4mVq1Sl6ZcDBgTJc7309JqNFM9+Xbhfor5kLFLm152B
mZKHXGXO6FuifKn6cX3ZgJf0EO4ON2IMr4qRlH+F5mshFTK7Fa9qvHvhKelQZDo/fgwzc83AYpQo
m8vfPxsZObKi6BM8KsPBb3136VmJ2Wd0u0lTI5olO8+tbbiA4ugSzNv2p8xxo99YMpPOWc1WqGK+
A8T1jDRL5Qat2mPzB7MzlxWau8zPf33y7GeXURDabgAWe0uFbCMrLzmDgRnllY53VjAENxP1LjAp
l2XOGQE0j0AkOrLGGgrhEny8OTjCeXtqQABL5McwWbjEZ59apqmCjcB6yQB+vtWqAY2n0/KyPYX1
Og6+5MrdaB9lZ1VBKVzc0wRpGgtuYO4InUsUriXDg3N1VGrWMfrWF9KxBDTGd5NTCCU75TKG/LOF
nZtdxTMdBVOUtBgAvQ6JMhhJL0H+cnmTZg3j7Ocn8WeG4VWpU0M83p5GfY2DWIdfwPdhvC2Ap3kp
rps7uOeLJ/jQBMA0uWqq9qQ3h34NzsO3y7osLZVg5NUQpGVnNhMSgLwDkGktO39cljCvgWFROHfA
gJQFv5bIoRYbQU+slVS3dSIdNEu9KbVk4SUwF2fBqsV4kkUDElmEt5sCVqLKCGyA+8xueWUDetjf
OHq25c8WjtDskk1jJvTEgBQi9sW4NA62WZSwZG78GT/3ocrHYsGzzWoDSK0KTi6omGJnRlmlplb7
GpdaoFdMPmRXQBSdEqAEXI9h79/YoTNhwgHNoy5ViklYm4/7LExXzfBg1M3m30kRDiXAhl6jm7jT
wklOtUa4k2YjicD4cFnO7PacaTP9/dnp7NXRlXvfaKl3eCe5sa/r5OGyhLmbzsI9T4NnMDmIDSFx
Ri18rOR2qiTJH5VxNzxLQIYyhHBZztzJOZcjxB55oPaVriAnaTb+rvgMvO9lATOemSoBSOMq/4Fr
IzgX02YqNbGnrj3H3TF1s+nGcOcwjhLlK+a+De/7ZXkzCr2RJzibIrEyXdLIzfhGAwDe2nR+SMZS
LnbuefJGiuAJapqF/psBqqzsqMZtdeWrgB6oqrHqjedUqqoV4JT8YVSsZLs9UnJLb2ypeFIzMNE0
fzx5rvXPjfLNNwlbGTIBkET1lJUa4mNnPHvSEkHKjMd4I0Fws4MiSSRv2Utmu9GwB8gQgEJyw/3C
OZ65/RA08SvLDjkkMQ2QMj8MPhh5TGak1/U4PrjlABxreeiUTxZ8mtxWO1tamsWZvIPwunsjVTjV
XC88rgekaoxC21J322vFR6kvvneVzEy4t41SAJKy8DAYXbiy6/Agm93eXKrqzhz9N58hnJjRHoBT
SfmMZiRSotUaIUBXHsZJalOmS4QG87v6utjiiZEJcLUMu8n9HsyJ1mZgPg02vmXyah2zl985n6/S
hJOTAiDeDlOK2pFOvglyY6BsEik8XpYy46BtwMQZxJD16X4TLFWpfF+uQyzVb7tvZZdcFbG/MEI4
u02vIsQCtJuVVgCqR88oa3iws+y2GbQvgws4DqeQwX5lwbHNnokzeUJQXYA2FUkR25QAa8U9txlx
pK76mFubRlcPUuuslXh7eRmXZAq3tg4VBVikVLfByjsUfnhbsJRxIj8PmRGucjsGvVFKP9Ca9S8X
V7jIM0Mhw6mSPFaofyaUZ8JaOdTgMKjuU6NU/85aJnqC8+tcKx2bNx7SNPcp8NtDF9RLvmXBIKc5
9nMRYZ4H9qiwksMAnHO4AmKpTm7AL2qDm3qJo3n6sXeODE8MuOd06YrhsK0PciPbdJNaXnwqRpAi
48fg82XTmDX/Vxk/u3DOQqB6rMkcKVP3KKioAI44yh3AtT+gtVqwwdmVOxMk2H1lAXQuyyhTtqv2
Ngg2l/WY9X4wyQGIY4MYIMb0zGPEfhbRukIDG1DBzaaiG8C03a3U/o4iZ5KE+5mJcqB/vRw/C8wU
CbKD3S81T8xu/JmI6TyfbYqullIEiuhkyAXQaMF+8AF1cZY0mb70nX29ihEzPaVijImUYcxpme47
29z0YbMHuWqHm9gndQh5k7QQDy9sk1jZT6U0s1ybNphAvmnjW69fe81jov3zFBYDr7+MwRb8nVIW
Ib0tSNGDT72993tAXHeX7W323OjwL0K9Q8FXfNmNEiZYVBHXhlEBClzslOAI0PFOz5+Ap74sa/bo
nMkSbvYksDOlckNs+zm5vb/82+rSjwsXuZEmEEmCFHvKcgC51b6z1n4Ctk9H6p1nZc314N+GUrxL
ejBb1Ppopt0VnB7Mqe77qjjoXBqxm++1WLouw2SfYzNJkYGaNsbhykrqjW20T12eLXG/z15qZ6si
nENQzV2AvlmVggz5mmLr1mvyH2WRrSlHTIjRD2UxfndC7+nyis2fmtedFw6nHBdlq+rIDaPsVBt/
QIq8gSHlUOvBjTE+OCGTRJclLmgqDlmnXdIHbYmtZepTnLc7EP/swNnnI/g2CTWIRllVxkIqZt6+
CZTpA9RIMwo3N33UoV7RPH1ylWLvUU7QgVDOaH1UDOlOK/vjZRXn/cKruMlKzzxeY3WtG06LqgH4
r8fJJmuTA1nurewpC6u5JGpyvmeiJuREsOHRrA3ytWxAimHYw8NoNDdaBZjXZb3mT9erXsLR9XrS
XMPPo4stqtikD33NwtN8aauEE1zlnh0Di06QXIdb71ClP/IQuH1Aqxp/yRTnjB8ocKYDVeZB3mXo
9BTwLnM6dIZ5bHwF1gYS3q669ZQHacw3bePs//kCngkU45PWhX9Cm/ws03EbBXivxl1qoJjViRSN
zEQiuECiqReONlgyg7AnSmdrtdCpq8EosVKt8Mc0Yz5W6chwrjT8xraB7Et4R42UMXPBj3SumgPq
gdjITcGR++E7wE4OPSnCftWSgLi8jnMhxZk00YfQYqwoJYimJzPfaflWlh+iBQlz5+pcghDg9dGo
5MEwXSRtvPchzrC7asfUZAJxyWVdlDmHeC5KfXuEFTMMGmOyQqsqNnrubE3PfopLt6ExsL0FJuKO
zqFjbSp7jQV1uvQKEOGNPdAoICUP5mh+IdMcbv201HdVCCByWy184tyZZPyZaTlAmWRb5IRXRilq
Go+wuk07mCMo3G6LZinzO7+nr0KEG1AOvAb6Clbcb/WbGID31WhcDbr05fJyz/mwc13eGurl3/p5
XsWY8+zHVKH5RDJ55dMQwkiV7Nxw9dxpSvwo6RYzZdUd45EaCTdvZzrBoVTtr5eF/0yFXxIumKhd
GQFcGowUQG4Up+DIZZ77Taq1QzGq0mbQzGcpuI6mhdT4GgCF1nLrAXkLUONaS4fPljnKgHWaB7+h
BziHoAe01higVw0uoI+XP3Z+pSzVlicIcXijhY81vRDeXJ2hAJVOCM1eeSvvKbtOru+S/EWtF0LM
WVM6EyacqLzycihJWZm4KlfN9WCdxmwhKJ89EmcihIiirJXOHgEvPpVFujW0L6b9rNI07RJ1NsNS
PnzWp58JE+IJcyitqlTAIVecUzUepP7KARVZGca1SkfD8HB5r+b6xGlCf90rIaZQ5QiquYjlcyhj
u0MQrGM1uXe74priyIe6qW7txGzWQ6M/D24HaUajHZgH/uaHIDtm6vcE1gZ7bMDflbx10ykkfc0X
YLygIMpLWASjJX7VResSAxPHysc85YtBWwRBdIVxfwvau6F6vLw0M84DtkgLHAFH16hVCz4q7+y4
tjw2oqR8q7TJRoFw87KIGcN6I+Ktf/o/egHZMDnf7rTJ3B9hP1WKQeDd9c7Ss3zmhgOLEA73iZXO
1MTWY72Isi4rte40msraoxV2KknHgL3DKHZZpZ8zcIKneiNKsF83DgKqfejUJN9b4g8l9ddJ7UNR
ZtcfHWWA0ShzbqE62cdVei0zsuIFzTExNGftquW1B7T8jhaqzRird6pZf2C6dg2E+TZWogJ2DPch
KAxv7RrqleSD2E60d23k4VoFxxxc7XYfOOFVXOv0ZOTFQkQ342reqCaclRbe1UHJWcUwo6oPm/29
1SePVfYX9+L/CE014wLeyBEs3Oh4xvJup8nEPnaQjfSb0V998JOTLv/zvj0AM2x6qIF9fN9bEvic
essDgsQE/44O0435BGx6oy5118/a35kcQSMbEOe+z5EDyuy9bXb3laQ+tn6+K7OlsHtJ1HTmzh5J
ENuNIa2P3JRlsGkH+Ix07VYbs2FtdPISzM/cENjUy0/wbdEtCi/vW2l5YJZUL4fuVGcBKMuDdYy6
8lGmrA25nHVMR6j9IPNMmERrilXfgwzcyDeBqlcL527WNs8+RDh2npHp8NzwIRBRrGmhc0+R5i+E
hrNLeyZDsH+rd80Rcjk84jWILldusA+XsCZmne6ZCMFQFJCHw1Huwa+qwwcM5M7qFxZqSYJoH63c
wJCGEk00XGn3ru0tRAtLOyHcG3VVGkE8IiD/utbuvl12r3NoA28MTrgy+h6GE/C9gMZK/R4GEjlY
1SgixSNkBkZGn5EEZngC6ECq7xTV+ay1+Z9Wz0BkHVefKBe+eLrzGdbZBduY9Vm/No6q19uD0BY6
ZFc93zU29WPZjZuIO2BlNN+gXWvs+ybKHi+vxOVlVkU4taaSukSb9tH5kAc786vpbC4LmLd27h2N
YT3TEKPY3Ii12ErA1tJqIORHbD64tz3lKbcWNJm3SJr7HSBoGGEXthTkfsmkVxfnGKzkLXDUl/WY
C5gwmV+/L87kS2Hj9ZZUA253bd8k2Qfr1rl1ky2I6iu93i8Y6PyqvQoTYv+cGfQgcBCmJnt90ydH
5Ucbbi9rNG9rrzLUt7aWtjhbx0IGu7K1YIUdnZVbVHujll50EBNKLpd/J1F7KzF0IU3KCraIpoub
JgNl3ucUURd/MYz8k2JEN6TaF/Zt1iyIzWFkwvhMsW/FSYMgaKcnn7G9qxb6yJZ+W3CzUDLHYxDz
26Wyia/spUTl7Nk8+3TBx0YxQ7Q6z4WTTApBba90vbxe7FJY0kH0s6Vk2HnlcD5Dba1Uf46xtbAD
s3Z2poZwMPss1NNyRAL8iquWQeNRHxg3qHZVcUMOh/nR3WUzW1BJrOgPpHYUtZ5UiuEN/2iG95d/
f25fbEN2bEMBH+1dT5fUAPAf2UBQ2sptX477FmhvL1uqNE+uXnwBnEsRNibXPLVIdKR4knwHyjHT
BI6lrAyezEPj/ohMGVogb1UzkChJS+mrucYo9HvVUdi0CoKJKpGRnnu8qj55ylFyP/lfqpcsXqeH
/OC1h/QrNIG7Vvt0eXWnX76gtwgE1A0K92Oc4Pq8G9ihVvqe+fHe3drO7SgfL8taUlO8nSKf3nbb
QlhiQZPopIq1bmCbWnVOdwdHKGyjCqTQcgyhlk4Z0fxD6uW1zhZoKbBwmjZoK7ixF0Kfub7r88UX
gYGcoBm1xmXxYZS59+/M8s9h2KXa/bC5rP7cQQGkkQYbINahYZ8M/TzIb0EtNhyCfJBgo12lHS7/
/OSf3u/k688L7rFU/DEPbX7ebJwtfNh3aReAFk9m3dQ/kBNYOPbzhvMqTnCXmVO4vdcB2urb5aGK
lN00tjrUtOJXJcw6cnbwNQMOaQDsFjzcpMg7Ra0Jn1SGp8gW7xjVlA0vtTzAPIN801nlSe8+0XIG
FNKXyyu6JEhY0aFzR5immEVzzc2ggB7TJiszeL4sZNYqzrQR1rFI8iAhZcPR36UH6/O/+3HBq/Ut
wI+hjgblptp9vPzbswZw9uHT35+Zs28r8lgM/Lb8h9U+Nl2+qvthVbbQ7t1kV8XSri+IE6+ZiLqv
HLTTOpVhuq4s707yo2stHJ4b3SeoItHQNRuzaPaX1fyZMrtgbiL+qNa1VdOok2AK0C2yykp+jjzp
yirr+0CiS9XOjkUt/yH57ZPRuw966EarctBfstHZN3V75cvaF8hpbjU+8PLHLRiPJQSVjG0NlOMD
ki5ACO6UuG52NIr/OxliGIkNOVI9nQJt1V3pD5d/fTbQh+Tv79MsdpHpapL40YAKmRlbW1WCJy32
tA9m5B0Hrvk2lb6UXqfs9G7ch6z6ZfELR1xsMMsydSia6YDI+Tq8dm/63fA7Yeu5goIXiWmhMn1c
5cnBBABdTYKFAGku4gP8AW4G5jXJ6Aivl9BpFMOHIujE4CfjUEy9ROE6hIRCKVQILa2NNiyBDr8X
qQGGKxuazLQFI96CyMrXgiCqmUuQwmELmyi0u+2dK+08z9uPlbe1xn/emvpWomDpI7QuxlAzOzBK
ybMteY+LF9r7s/RWgmDnkRdIfuZNErSNASn3wq31Poydfp6cPKMwDgVowV3Wo55TvDSZH2uIH7Ox
haLehiyT1t6lyf4ZiIlJ1sShC/cO7zDhTmml3nETX8Gq7epg9I96mD8P5fDidDJzrSczbI4Sl3Qx
nMzIXkMrv7bybpOY/9gw336GcPsM0lAFALAw0GZq0ILE3RfostZgY984cPTokMgZpr7QAju/zK+q
C8vs6ZFaKC4yNa+5Vj19EzE6IPlLTCjzxvJLjFhXhdtOS1wZMVmyT4drx/5/pH3ZkqQ6su2vtPU7
fUFCgMxO9wNDTDmPNbxgNWQhMYOYv/4sqvt0RVJYcPfetsesiMSR5HJJruVrbQT23+PSu65bVhlx
6NJnCcPzM+0aS/gLQFBuHsUgEDc3LK3c0r43tZhZdtiOSabgLFzW4w48+dCQjAnwBBaWOBCsXg9a
udNa1Gp3UeMVjXVrxtD6zWJHuR10j5OhfGokee2rgp1oW33pZRF5lY0ajqZhXmNpHy7H7NXgwx0d
UEBkGX6rLR0rmYuYomzNQO01tGOhnUqUuq0lDgomC4U31aDHg2rixlqx6lpndheBnEKx0m6LHrPK
dBPf+vDjcrO2Hr+YtGOvwJCd4/Fm1dyldyb7Aj2942Ubq2511oTFjETFWuLIEjai7qa9il+sx2YL
3rNyyIM/ndlYzMBkgKad3sEGaBH9CIqnkTyVJH3lWWl7UZKDEbstd+b4ynXbh3ILxOpIigu2OAmg
3fIEyMKGh6/O1V8vtEwlNiQvnb7FC8VQv6WftfzlcqduPX+xGA6QxrCmuVPpo+1bweWHb3jFkr0z
Dp0mklBUOlWNrw78eusufSU3/264lkVDFMQrfUwRaawQ+sWtdQcBKbLPxuo25ipyWQLYvYm5RDKI
C4dHOTDf7EHLVnBj1yfsyWDpnZLmVnX/VqfOn5+dLngB7iMxd+r48mh9vdyna7OA6CC00lHVSH5L
kleGM/I0aVH2rK6H5FpexeMW+/VajDo3sQiqlQyrrJtfv0lSqCPCv1GEMrqDYaFsxz6UKn80VFX5
lxu2spmmOBL/atliDxNmTRqpAuXV8azN8JiTDyg4uWxjzSHPTSwGpur4aE82TETg6Oky3Z2sVzLF
G/m4teE/tzK/xdnw5zEosHkFKxYPass8OJG5u9yOrRGaneTMAgTozbFqYMEZQB6A8pKwgY52eAPM
tZvl076C1csWt9xuEeCpWVMezdX2GrDcZsPd1FBB0rs5mEYuW/pJRvD+zAo/cOAIBjbnyMIvTDFZ
8nxoUZuelszVY8jDhcb4Knk9i+Q2kIzXOoZSPKd2qQXqk7iKbvD9T8rur6SEfvSop0cotNy0Nfeh
ba55Lc65k6SQEYZegwUaldGAyggUvQfDFF4ZF0g1W6+0Z1+EgfImMjiHyMDWkusf66m4L3W9dBNO
IQSeXEl0rc8Aa93wzFWfOWv0YnEDJbmtTQ0a3edfZO5GycZ2dn12nRlYrGwaoyq0JAaw/lbbbnmQ
N3F6A7G7DErp+yr6dHkQt8wtU7M4AZdl06M9QvFdCbfkUP5t5WsfWftool4blr6Tx7sRUKfLptd7
EmKMAFjMVBSL2VeZLI6rGpbzjBxwcRSEk/x42cRqGIHkyf+ZWEw/kJUYtd2D7GLgzU08e0RmIvHL
jLgNLltabQz2EqAhATj0N2AfKMZKveawFMWowoMPOpq9BTLYsrEI91yvegN0ybMN9cmMcyhElxvN
WI0eZ81YhHY+WqIRFkxYZFd73Qv5MG7Ep9l9fwsaHHU8DMkEHdfsi4jYJnzgAstiJEULIXHnS485
3aBuEpH4kST1vdTFUWTNBmvDmitgDwIGOmiqWr/lc7N6gBA0qL5wliJubXxouHWtbaJe1vrv3MrC
4fJBYzGf+693ig+syr6qElXSSFh8pUT7Uy0CHhlEXAxalIux6rV6sHSF1V/XDtkLtTyxdWpb77Nf
FmaHPFu9nIIk4Diet0eJA/X2zy3upirohF+eOvMysfQIaEv9tx3zW5xZqSqghMx55yzfcNKCrn1v
YukARdjusp05Ml+ysxibkhRkCMe5NfNqEhfJ0aLRbdEZftI8hRXySWDN3GjbVg8ulsiyZSiDznGK
5CZulGnjg7H1WFsiuNy0LTOLRalVtgGdeTSNatJHYcKuzJGRUa9/zcpi6lpdg7u0eaBKI1Xe1Jg+
1T3U3G/lm9dCxJlDmAvAzK9OA9YvGO0UsogOxCV6qe+lEK9J4rxkWn6MM/XpTzQQnCsmqPZ1EBws
Gqis0Mo5aNZOCUq/tGqCD9p72Wwx0a/FcfrLzJKilIFBq+EQiT9lTXlM0Rq9B2/C5aZs2VgeF0VL
K0eOM5FUeTWyaVfGcmM+rTrdWTMWy5GTOynygjAB3RGgAPqrP3WmppYFei8Cmh3ADd5HhmysM9Ez
dJQj6XU7DFfTVhXmahITKCZIqhoO1qQlSrGWZkeKASbM2tgTMz2ylOx4X9/BD8SuzdpXc5ru0qQM
TFV9Dk0SMAAUnfGjzsZq64Z+ddDOXmYRb/VUczTdwsvk9ql4wotc9omVO2iqnzd2HtGzSBuKLoMy
Jp5Po5exHOO9TCXfDUnaeArAOBRJvE4zt8VQC19LtSKwx40N2WoMPmvhIgbrQ1HrFp9H1LR3VhS9
hlWy0/LmBTuGgKKHE/T05VavdCrTAUTVDYjuQWl50WidNDFPbWw4AAawUTsXt1v1gGvZDQZCVDCo
g0qHoaz/fb9C6L4kzjxuGqmKg6GDnjHHTQmqd16RwX1OI3bVdxZgiKXzYwg/oDrG0/X6oebqQ8pK
xxsLMR3BkrV1e74yQ9+912KGohSAWzTDDlvf14L5lvwkwmgj0KzNoHdGFtsQmkV1Nc5H9RRAEiIO
fR0PQWQ5e9wPfAVvvVfBdFzegLiKunw4qND0J7SeoBf+xEifDcNi+ti2TAdho7kkw/2wXlZ+3akt
XdFVdzozsnAna2RISTAYiSLLbdAWs9/q0pUNES5pEPC4wRgDiuO9O5EkNWNqgF+ueMhLwKd9m3tj
8pBvIYrX3OPMzjJlGYtmTGwdm1VVPqJCEhLaCHZG8McH5dzIYm6AphR7eVV0J3/v/7UnL7w7ZVbo
OPPhTtipB6ArSP/+ooWFa7OOAedqYiDC0bOekufL77+CkAfFI/gyLbCIUcgSL1wJbEYkCn8SySnI
oVTQGj91GurkgD+EylZ5ILL5SEj9EA3hp15LD6DPKnc9Tk2X32OOuYt98bvXWMTkworrONQTnPmM
k2WXXl5D6/wGJPEbdlbd7ay5i9Vc8C4jNfi4wJs37Ugd5Cy+tmN9I3+yNj/PO3WxFdZJHIWg6cTm
SoW+1tie/cdrfN8P23J6EiuzuzjDtGGuiV5CEdhnp0KyLbWAiNpUoZ/d+LfhcXDEI4wgr7CEs4Gu
vE4oBbGhguQg1m8/GomH8xI2IdF9VwzXYKQKnETzK9SmDDKGzrG1EVhXVm0GyNx/X2Ex05qusUzR
xzjFVCJIU7N0aVgfy3p6tKLqCimWEtoBHy575eo4clAfQtUONGN84S19iMozZAKwMXsYsXBvwPFW
W3T29IWXTNpMvhKGLWZ2+4V0SRBSfpTIgBkJOUGm6DA09Z8IJiD8YaaOrSY1lhq8eQ01arvkLVhS
PhkoX9STLfD3WpedW1hM5KxlA66gYMEUrVerH9LYOs6urUwEJgzwxwK2vSSPBRIvLcAp256I7an2
eG/64ib746yElJ0bWXhbEhMcXCzanjThFj2Q8jNvHxiZIleR643Vae0e8Z2xRYi3qTLyqLDb09Bp
d04poA7v7E0r9vLWPjZ5ZrlVVLxVzGzdJIo+ZsVw2/VG5OWGvtNTe6/pW0UJa2EScqkgMcXKYFtL
CAfuK8KyQqX5Kbd6L+KPUaoCZ2x3f3x6nVlZUgfwvony3InbU+rUX6gefabZ1hF0LbXMzm0slv6W
xUlmzzYMVFbuxUP7YasccHUJPTex8JWmLfRMlikE1DJWQWinhhpO0cu7iWUD0LXkECozkDj27bJG
zx+GqW59Xuof077cmN4r/AX0XWsXnvTrVcqm8rNR+xRP1UeZhIeWMRmUmjoqI/2UgOLdVaatHaY0
Gd3ESnQ/mgovr6hzyyrgqgDue1Iol/NtKz6KpOk3gvm8PC3Xk/Mum6PI2SGQ5VMnqhD+xdv7QgXK
+XTZs9b8lyHGgTobexrkwt8/X4nadCYCaS2r/1Jpr2DzcclG9F4LdOcmFtE76ts0rqDfc5KZb3py
M5u29fzFCq8aWnUWRxNo3A0+sD7lPrMTFpSApJ0mph2LMT6hLtr8zMtCC0aNTPuxIC+h5PJzqg1G
AO3syeVF/xkMXA9aWQZ1UT/bWCx5a3oMi/dI9ZMK90lbBtQUuP66M0DFxLGMw50nL8X97T6rcB3T
0HbXyuLDRK09R3yC8BOUC+JdFHduUo1+adg3dgekU47QFA9h5zet/n3ESdfjox67elN/s430WtaR
7nIKcDG3mleCexB3FO1NOWwp3K9tJ88GZwlaQuGZDs4QdF7OjGvZJ66dc5eSKNCi7njZ1VYjzLmt
RYRhjs2wJnXtCUy2OF3L/VyNhFoUsle1uM6JA+1R44ZXsXKp2NKe2WroIvaMrEkKPqChSgvMH/F3
zR3Hp8sN3HBEsogpnZMWopFwdOthMvey+xOLwHn3LUKBKPici0EL7Lux8sQWO+B6JJg3Cjq0iX/L
vMSySOCQYwucAHzPgROmIfSe9ZpthLTVbgJOn5q65UCbZNFN3MyQhoTUzymiHyCl1et/8fmLfpJD
k1k5w/Np0e7BseBKJHP+xEifNWHuy7OobDoW+DJqBWeqH3uz9BPR7S9bWHXXMwvz52cWoNlit3YL
C9UYNOXBJvti40JqaxgWkb8pS5rkA7opY+QDZUCwld/+WhsWgV+Ylt5TgflgjlBiyTgfXVbk16yw
3DKyDpeNrTaH6tiBcQP3lMuDlwWqmLm2EQul86z9sM0/01sOMRyOs5UDEMX78QDToITQjN2cwIYG
dthTDEz65Qas7o4AXfyviUWEag1tspjiDbaSjfBYreeQqLSQSGgTc9cX6qkr0mMz7zVS5TwZWl97
tqmc2w4ScJdfZc35rBkswijoQqzlzUplGT0q32hzqkd6x3DlUePi3wUIDLX4aguYsjZwZ8aW9yu5
VhSdgO7WqcyqV9x7BKQzNybTatbz3MZi9HoR6maRmM2pNZDeHET7VFKl+yWB1piRU91NO/51SvjT
1HDiGgVuNeOh8So1HUFt8qSgKXK5hzffaDHY6RTlXU/xRpWtH4fZGGOQL00EdRNlmC4honYZssHe
MPFb2kYvOlWnGYDhmhiQEm91+Y3Wwv95Fy2ics4yPWshuXRqe3mg3W4qDqoqNybpHFOWu1kLjNU2
oEjG/J/3s0gMvRPb1dxqQQNZGPuyH/xSMp92+rHMx40V82fu9ZK92ffOomgB7E/SWrO9LorAE5N9
T3TL8qpef5jqPgjb/Lum8geul62L5MbnKLS+klTb56E81lP7JlUvXFOUe/wadcPG/DRE9CVTxR0j
xTHts100jcI1NH3Wi9obOTgoM555oYz9uN3Av61dCAH8/qv3FquOXdtNbY7ztCTyBYwnt6ovJkD1
zeekvcGSB4kodp9icfdskV2V7R8vjEHhwJn9xZpUT6Tno8BMNTtDuBlaD8ql67RqDgCEdBszZNUf
z4wtlqeItHU0zhNEQ1+2c6eCd8cftGrrHmJehX7zEdTZ6g7njP2WJbHTrqjD2GoAooEAQVHdNSV7
0TDUuoOKX4bBD7tiyzNXgh72PjhvIUEAxpVlvswEsqE1YywnzZ069huzbOvhc4vPvL6uozxOrTmi
9rjLmV146OXXPxwu3jVgcehiGdUKe+41EJG+FZgurQSNp9XoW7es84MWw3NmyF7ycYCDRItViZ7q
jfSuRA0Ca/QbbiV+pxMvG+ijpNRXSm6Qr664n+VQixocu2qshIsVg7dKmALcDCdzin/oTlCI60xq
GxuktRMRxFVhBH+Bdm8pIJUYVgqeesxoVOmdhoozD2mGh1Gbeg/4iYM+QA7DlMq4MvkepRWXh3Bt
w/HO+sJPKAWKvEzQxgGCKE7cfK+HNN9pho4SXa09dgXzNNqBzLfgplcMk09wvpZ1vBGlV0f4rBMW
rtSkNZUmx0w3EvvrxLvjOHeEcNTJuS6v9Cz0ACrZyhqszPrzti9RK5VMpjox0PaaQT5YFE8lAouT
OG4jXkpN3reZ2mjm6qy0UOWFO31gJJYcp0OC/HhI5rUo8iC5NuqPl4dzjr6/TZSz58/2z2b9MKbg
ziHwpfJuHLx+3NvDQ/bHNwkA4/1qw2IFAo9EP0KpuDmN1QstJ38fJvWfCV5gcDeYBU5v0Mi8b4Zm
Q1QNN3mI+4c+3jt/Al9gY+8xY1ixlqEU7v3jM0sPaRjh8VH/OSkh5whFhMvjsOLO7ywsxiGt00JL
bNKcYn5nS3HNR36o4scwsHV7T/h4TDc4UNaiyDuLi1HJedyg3BNtKtKDCMshAIgbdRtj2N1pGJ+o
NEDD3qbRiTEjf06KstzI8K0Ey3cvsNgY/Gpyw5KTVll7FEX55bC1e1xvKIgGwWXkgCNgqUWS2aBY
7k10reweVUxFEOe1gm5G9kmm42GynFMdDrpPbShYysj6fnlgVzav4DD8r/VltXnuFHrJGx1LHmD0
ABMMtjvS5LPMQSTpgCMqYX+ipPadxcUiBNm6OgxzWIy76r5r7Ue9Z/dDWATcULE/or0s3eIQXhtL
IACAscKyByH3hTNFo0yibpgaUKsUqBCAHZrGT63KtuQg1w3NrKrgvYAqxWIm9rUZtTUx4LXBwIin
nJ2tb1UMrUR5QIl+2VjMxc7hZQqpTsTEit1amUy8vis+DCA377ncIXg9KAO1Dpf9ZG2f/s7qoguZ
mkukFazWqX1ySmm4Wpt9ACv/s5WaD31HUVCx7/AibH6jSgwbAWGrZxfT0RlFNPYm3KajZu7mWSAK
oNuzbKt31yaEAU0psHHOF6XLnEgjRwjfzROCMH+M/QllIBXcJQ50IfzLfbrapDNT5H3Y7iBO2vb9
iE06qOFsqe3GjzN4668ZWXgkAZwD9d5oDwpjnir1sVF5YDZb4mJr68N5ry18UmRhkw0tvGPkLPaa
rMDlb+IO6TdrmlyC3DeUWa+H1nq93Diysj8AsTpDlbnFKQZrcaAiKm56SE03J9Z9swD08acqu8sB
MbvihYLgWiN/WJV2pTmy8U0iiauHkQ9B+LfIniKvF2WQarpbV7tBe9Qzw0v7OMhHrlxzhMBHp5Fb
Z1IPFfh9E0JfcR+zsSNfu/x914B5sp9tcBxzGutoHp5OKyuvteJrWe65BYKiFhQcUDHhu35MhGem
pPcg7nxL4SGgDmJuihfqlI6Ph/rhcreuOaYJWT/IM1gmthSL7UrX5jicjC0Ock3mtwb19O9kkBvs
pmth7MzIcuXRNamjhqnD0EHLvZ57eKoeevQ4m7s+H8fyOtTURmnzltHF4gN+k0pLFVrGJ1C3dRKD
DToRx/CgwBeYbXfHJ/L1cmfOrr/YwkKM2OaojgBmgS7XHtvm8WCbTQOMGFyONhHUZ8doI5RsGVlG
Rwgeg21BwUiRHcrE2G9qYM1x4rdmIJOLRqDa4zfRKA0kNIZscpwdG2B1u5q9qljzUpVJtxYR96AS
KjzcFMExsTAETUseo7gmniXb26yqymDsAMi0+9xxE2H2XgsyjWRM5U5w56WvD7i7uRshhVhOxTGM
9TvHqF4bJ/Frwh8mwffMLu8iXfZuVyjipiw+xiNoeAZm3rX1gCBTOIHV8UPDcHfZMStQk3UTstT2
mibJg0ygcOTywK7Okl898nNjdzZ1K93ssy5Cj3AjD+op+Zp0x7gWm9De2Scv9PzPlfnMTs+NiVYE
dhzhFK6Dnz09jDvPQCjLsjxzbZZdOzlOlBF9LYRovKgbj5fbuhZnAYLCCcbQCQBRi4igAB1mBkR3
Tu2/O1Ng8Czzhqca8vltubVorS3CZ+aW0JAEODILdZPYEwPcFhbPQLu0T+r+5XKjVrfe52YW0cAW
6C2UAMLMLfs4gMPoS35P9Ht7S1f954XzcggZGNHgxCj4+00KJAY9pRorgWyA/kbhqN3ssSNcN5l9
mGUQ5Jy9GoV7vQv84x2tw31uag8iSnyOiZAJcldhYiShINfI6xEXWBntJu8mJ7jcJ2sDjU0yih2I
gXm+vHFyqlpyI8NARx3dpepT2F2HXXVUzRbdFLLjK359bmqx/Ymy1qggnIKIMrDaS1vjtXfCRzRO
B5ObJT1wjd+1TWO7pK56F3pQe8NwTN8ahoeQxL07duI+ssevWZd9lhoD6/9Npo/Sq3Lw5+ZmPHph
Ur3EtLjusDtxc61rfBrFQPKVJHHBt3TfDXYY9FX5bWxB6k7bpL0DG+txMMhpZBZg4xHEm2uxHx19
j4uNh542Cd4N7OjTREDGocn0QcicH+noiE8pCY9d4nwER5yH3E/pRbVD93nBlGcQFbpFRMNAdF3n
Fykmci+B0ReVM+4ayCCNoPjw9DGedjqE84KhKaadZIiTIR3rIE70Q2R1X+qsQL+E+ZUjsvJYJ/FB
iUpAAbz9rkXO5zy+0+RzZYtvYctuwUDBvNrmoRvX+XRCMeRzM6QvA0HrocC0z5Spg76EQHupqK8L
Aykc0hf7JtRfId6GvCdrhTtO4Reji0MvtqbnWgezhHCyD7yT5r6yzTdLz0FwA6JDXfDJq3MIOfVa
fpgGATIaK6ywrVVvZVWNnuxyHxD91m/rotrV1GqfmJ2aEPlV4WHo2aeO2Z0bm9NrKcI+AJcveH0j
9ZmJQRzMynzs1BC6evqowJaMW68bJABCVFNotw5ED7QUsJWUGcdohNzBxMMbKeSV6CEmL6CkW86S
uhQEORwau+MstmtgqbEhTFvqsnHjkAE+qt/Zzi3aCi9xzPwoG1rvNM14MBHXcyBjqJXsKoiWlcbU
uEWaKp+YNQRGKpCnTmX2McSfcCii7m2nOeTTjU4+2FHksZiCP0DYtyZxjg1UYSB3bu7CQdZINLGd
DeUYIHt2sWZOrg19klIW8HbS3qQi8SeoriC733oSVd9uRfRDD3lglyeQIwtBZdRO0b7uwru2hFYI
sBoPitJDSL6j8mCfzTz7MQj3+7Lf05mB38DsCEHJH0lw82sg6a9KRFZkJR6HJCx3odUFPQj9Rw3b
ylShs/ntCNL0SESdS5zBr0MKXV22T8pIuBVopNNc3WgTmXxUJPUQqIgjdyjLF9sQD0nHHFc52nXo
TJUbFxS72xR6J7KzrwqnuSKaVbjRpD3hHysIQXFXg+pOH6xvrO+v6yQV4HSMv+OyRJ8hzpmrwjLo
Mw4e91YOrmXGz8ATgcKHP6EU0HaBIf9omDJwbOfQDQYcGjzDWg7yDttsHyOD3me1cUV6pFKaqQfh
KVBQOFTm+J8qyGMbc4ILEI5nN3C4LmgtEDxG3ZQEmnRuBapnnXqOLWVL3BjVwW3c3E+OebSt2jiE
lea3OfA/fcRaz25vyxBXSA4ZvBiVe1bK9wXQuI1rzvU101xpk801NwrFN33FXIbyDT1Lnk0nfjDj
FHPmU1xx+1gSGR2ZOe4cQNQRAkuVDQEPWfU4KvuDpU0vFumm/ZSJjyAt2et1I4MmLvJ9zqIO+Qf9
WEhU0itWfOajes0L6WC6AUkmHSe6pUAtxFPzCnCAr3NxletiP3D21Z7BizpNOx+M+sLDldWVqMov
YT99bCbwhc4X97qTQd2YNjfYxZ9ssxRej/v6YYKMDe/BkVDMF9HcqZ/MuviobA4+HBF7RpmXKMOJ
wJDAQtwGA9S9c3TozhWmhR1dhWtr4LmZ0R6anD1CzaHyiUbvcVa/T9oJKTBk6ktk7CFRYXqRiSR+
j2z+iOR62Ztfi64GTQBoIBKJfemcD6w6Ut32ZvEoQ+pnkN5N1djviJnvdQtCnub41kG3IigzCoKu
EsF7zgeRpjpYMXsD9ceRtxTitfwqDLUDSZuHAfmVVObIxeEcZtTUFQo5CIg08FunHA6hPdCDwgWq
byCllQrDdXi3c3AR4ysKvZheaz1wjOOUOZahK4wsIGFJ8SVd84pu/ledPpGhibyGpGCAzVITsRXr
fIvbHCxPurgaegRp9lgN2CP01G+wLDec3wDmh2kLilmfKxwySKKeNdo+66l40+uSXvVmeWPrA/YR
un3XplPmmqgWSJhAtg8qvvDEIt41lkQsj4n0eaGxYCjsz7WFlVln+l3XaZnXM7UztfwkjEfRFU8z
hBSJHnpP8hhHUyFdR9OeuJXdGTZBpRngAG7YE+6yVB/dsYzvMy2CCp/mIOpXdoZEp4k6j5ZhqYiV
E2QU8vU1tBc9PKv2SVvKa6jTQtRH14+M1cqzRkT5MamOdeYgAcTL6i5sExDth6Hj94b5wtOcBJaQ
A6RGO8wVMmb7ypRGgFRydtTrsP4GCl7i9qR9xebju0xrzU2ywfI5FtP5+4bf1J3AKCYvSH2KANhG
6qW2eGRaDdSjtIZdqLpxP4bkcz0z+ELvfPLjKr2D+Ej0MNCOHFMmK+CljRw7G3mKCgyoCcLYYzey
HIzbuJYPx+klsxjwuahq11IoOwo+UBwkkmznONPg01qzfaRtRi/uDP0Zj8h8OWT5Pg5FedQM65sO
VeXDVBdiB16mLxYVH+NcoRZ6TJ9Frv9gKgd3ic2vkQvRD4adaq5jKd0t8+4WIJxnOxH2qSviG96y
PBA0LnxsMLqr3E5MrxGdckuYAiioOzjS+FyGDbtxcvu2aKfX3pL34HiRgTFBaBVaczjcjZM8NKpy
TgD2Zk+mmkqEMVIEkUQyVxhJOjMQOG5ZDp+auANT4/C9BEbGtRu7cM2GFbsU5WYexB+Omci+9qCl
76r2O2jIWrdLy0dzMhtPKPasnA9xN13Hoyr24aB9SzuVeKWd7jUQfGARx4EECrc/zC7ZC8KPRlUo
L9WawBDJfZvHATZcd+CTKQMQ9n3V7BinJacdr4DjorjIUJHX9dDEcbqa+hAeiHZgqIvdQSSVR+O8
cLOwtE964RzZIN9GNtbuJGTvYf95l9IJe4pag2gXksABhqQPaAOsdWSMd+WIEmXAGz6Ekyq9FMyf
EOk2a2DC5Uddr4iPi1IMdpyOR6LbjSspL/Y5rhxOZlzw26Sq6d4Jm+uhSx9CNkbB1KYStQnYocZh
WXoJrcF+TsYbyygQX3N5pBP/BgKbvTMXQOpF9q0fnfgUhfZ1LqAfVctv05BlAKiAnKdK6xcBGZiH
ujPJrooFlH6mKsCIoIy06O8zqLYGpj7mnpEnuav3odtY45NKphk+XHjEkK4CdykOh4WbGPnnVBWP
MSHYtI57yGePXo4ZDiHoVPjQY/mIirYHrRIdxCfi27oDiY3jFMHMsO6C8Lb1h9A4SuheYW60sRd2
SelLB/tTlrSFJ0de3PZ96vg4v3U7IVm/oz2wGsIEby1vrrgTWyD9wbWvUtkDiTjI81KNeVXNC5AL
atbtpOPuVRm08g1duJEZztsLgfuPCAxCrV5CqrGE0qCRsau0s21cz0fC082s9FMwvRwSK/zIY/v7
CG0zLAzpG3AJCXb1dXM1TOS+5Frramp802SWuBPqXr2fh7T/906DSP3rf/Dzt6IcaxmJZvHjv27k
t7pQxY/mf+Zf++/X3v/Sv56LDH8vv/LuN/Dg/xj2vzRf3v0Q5ED2jg/tWz0+vqk2bX4+PXor5m/+
/374t7efT3key7d//v3L9wzro1QN3Kv5+38+On7/59+RbOQMN6Nnp9XZyH++cfslwy8fvvxtL7/k
0frvvX1Rzc/n/INxw0TViqmbgEwiU9G//fsT8x+U4g5IB0KXot4CucG8qBvxz78T+g8AoWaSS+SR
ceqdsYGqaH9+RP4BdQfQSwEziBsBE5i3/+uE+3+f8P89MOiU//z8t7zN7guZN+qff39/urYdEPuj
gA78L7ptAdb5E0B3lsrJWMRRHwykJWD8utdOXeTHEjU/Duikt7Bv71Odv9ua01dnthoSOwBf8vSU
PkNilzCPTt4fl0Sg9nyEJ+gXGyRzCxs2bcwinJOCYCo/Zk4TxPGPsxFe6TFzzgL8ljo5MzF36Vkz
cov0KZYU3KhNhzrP7c9Kc7y0iYEHGxJsWClY9c2u9gTIYF2Dm6e+Ay8HnUIPUUD42Mxf9QPIx1KO
jRGIJ38ArbsbJfKD1gCtxW7wJGepW0DubEKY6Zpm1+Owl2DbB92Xq3q0kXIU410ELg6KTadrtvlj
WPDXro32ScpuVF+iLExph6rK7u2kuBExtjblFrBlLSV23tWLm45SdNY4KvRDhrpHzVZuSM23WFin
iD1p6VD8O8S8izDnnrrCBo7sDyalBR4wMsvsLPodSKSpBC0C0OBgRwQf2E2PBmtouK3Tq2hAZrbD
gV2gW6Zwussh8uiOaX6VouOSpr4Cv8kd2P+ukcopHiaub1Uazq619Ivz95vd/8wvNIO0EW7Nm1PS
DEfMd1SpxN6Q8MNl/9sys0h8jqQwKe50kaRKvrfqu2kKN623VK9+zvsLjVkCd4Zcl2rU0Jj446yP
rvpd91K/aJ+gEJXuo93lJq1e5VrUQm0/pJZ/T+amhqirzEabmIUSUCQJEmExd/pf0r6sx1KcifIP
DRKY/RXuSu6Va+ULqq1ZDcbs/Po5lObr5DoZrKqWWi21Un2DCIfDdiznUByHFFN+Sd+fMJRfnkYA
6BVk/JYV9lHyCWu7evEJYoLXGpQWCLr4hGbehRO2Y9OUB47tOc3EkW7W+1nRlKcU32IZeuHVI0nP
bm3Fki+5jMiA+NDg5h+2MIUUMEKbOcJd57bCBnml+q58K4jul+1f9N5dCBKynSMIKmq1g6BRa3eN
Ao622dbbZp335Cc3QisWiOjBhQuuj8s9MRV6xohWzVn61g+HwbPV/cSOZLgOC8m+WLXbQtT898X2
izJATtscouoJ44y0QCXIj3v3Wvm5rdJaYQsL/K9KQhiKtKg19Qhykpv8KGsLWS0ALH9dCCIG5WEy
qgxa0Cse/sDV8Ca32E00Nr+Qzc2AAZbeoQnJrzSJWvMPb62UEFYGp0opm91OVVzHNwp6qoFX50+d
9ssc9fyIl9Vd7hiyqC6xpjiWULe9QocQ+lLrHh3IBUhTtpdrrf3SdcHKim5AoFZ/Bg5Bh2PhJPN+
6pAveKyGp1CJ76Yr00/7+qXKvkrkrRQRlvJEAJGPFdRqYCcFY4kxSdezQebeI/cCYDCvsMm1ZpSS
rbZiScgFyj12mYN/C345lUUYFwr0RPLbL3SPu8VuWzWZBME3p9BJ7N5FSbe5ptpJsSWV8M8bGG3h
JkHbIFKPn1GnUG9KCIAQS8D0I/UZPeRTs4scMMa7mqTF/7Mil5Lmvy9ChZ6XWtIjwxRw3I2uUlXS
GPQ56OHnMaqu29iJn5uayzyrW0Mzy6C0s9eJ23eh2lyhO/nHNLIzepPOf7osl+KEOE5GxWB1aJcB
wrfX1/nelnWhr5zPlyKElp1MJzkgwJwymOyHTDH2DpI3VnLrJVW3d3yNq34BQNtttT7fc2aZgJxD
fd/W0Ld9uUhojQGULtchE4ladL+b4XfNHI/bQlYulRdSxJ6PFkUZnTtqGahkQKnAzJo3nmqvKSpg
O5rVyA/1MQXUboJxXdPOAjaoj7THH5XeaM6hVr61eng0THqDAtY9N6xnM6eyj/zc6XD5kcKVgNIS
iU0XpnDjncpfovAWU/BdRv2I+lwbfM7uTfUdr6lt46z78b8rIFLcKCCIQYqMYJvkqINl030e9hh+
4dfU/EKcp21h83Jenj+XOgou1g60c8NwKgPbAQLA8JzUL11R+zVYSZviCKrSm7Dq/5ix4lKmEAcw
5lMAYEjDRkUZ9Ml2Xl1VEpQlTiyS3Gh9WrCOw70AtIc5g4PdcmTmnrdNtxo4QQdqANINbT1iP8/A
7a7UsVsCJOpTz+2qIrBZnvrGoKSBQ9BEti1v1S+cGYEQaUmLiC2luCejFlMChQskYUhfFVaQGsar
2yJXO9jUQ2dBJ4kFny8nWKiFRGGhakC4mKSARNw/+rvx9S/0cdGKSzCFoquqEGlyQNJrTY9f16oB
3SyJ1zHJ96+6wYcEsTGntCcrYS0k6GXmO55VcQ+zF9tazDb4tIEWMoQggSWIDFwCWMDQoo55vGsT
98j/qAe5jMkJbi7ctigLIhQtB7w8q9b8MhaDZNesgKgD2FLFGJw6o1R/GuKISwwHOyN0Gfpyx3OH
HsE9VBzKqJi8bsyfMRHFrjKgtHh2htaTvkx+FHFxEzbuzwQDTPsizs+Tq+df8sSauVDQS4HSSYgC
1tAiGascuVY91r3jeFqbv2V2rnk5MFu9ySkLVLG5gV4IOh4ju3jj9nSfmp0BHBUlvXGS8ouqzh1f
R03xOB5O24u4trWWiguOjh77LFQ6GLixui8Y0tH2KMPdDMDMKEJ1z5xM0u255phLefPfFzehVo+a
sdBnQ9s/hnb6fd/Sp0zSWPmbKkP0zaWYOYItxNQT7WbqGOywkbqeWnEN5bls7hdHqKhT4G+wLH8p
VIKy+9h7g958qaBrCZ0bc3zX+swApXKB5Hu80wvtpFU6ehos5hVjXO9KMp0VtXxCLcz0Q2f8rubI
E9SR9WDk6p3Rk2I/5CPq4cOhzuLGC5O4kdzBVtcNOUcb4EQAvRTBLqlBmyas5g3O4itwjqF4fLYp
PTKGurCMmGRdGDqhEHoNpIKFeIWTmFvTWGLRTNe3rW82j1HnL9GDIVm3tTPZmlH4cFud8c/nD1ks
22TrBXqiugrIAuUPhOfHOmcPPS++mV38nlv9vcmmqzaJZGg8a+F+KVd4aOCVmeS22lbB3ArTlD5A
tr9Xr/ZTnEq2m77m/xZmkQG6jpchruuXGgJNDQi6GTRk5njvKul777JvioPCPzqETjRxKy9mNZoY
XDM59n12x1MjOUxd86UM2RuPi2qvGjVac0BlQZrbycm9uKiPKH3tswmdFa6CulSMoqNu/6CFPnfK
obEX1V87/DEm7RWAj3Y6HYLJiG7UTo38CRobsOp2WCFrLrPUU4grLE6rdrCGKuiaeWbIRstXQvSv
GIFH9tbI920UVV8GU7t10/pU60l6GFJ01NSpFoRu+JgWOd1ruLtMGSW+wsrHMaRfaxTvcY4NiTeG
6s3YoIWB6fW1MyX2uTUBPcVgw3A25rY2K6hSIO4Dage2gGoBCE846rSearQCrCzoGRx9p6XoexpC
sGqYmQoCXfo1xAcWZkV8hhtklZjXLh9P3H6K5t6NTv+BHjHlAXM955SovtplVynGyiUfOVtUDHnL
bxSOSj5WRQYyryooWIwygXaIZZCLq7sEowYamFhVUAEKYcCJWKLoI3aJNjuOCg9qbPU9AkaKmpE3
NGh+AaGyLlFrdcMALN00XdRZgFtxuWHyMk0MdGpUwbua35ftviT77cXVVw23kCAYbmi0LB3DuArs
cPQqAxl+x8FMQZz8SCojR29Kme+sLFP8lLiHyZjM69a1lCNmtxxftyNPocpezTufhdVT2Ex7BVuu
p0BDcl6iJvyR6Eq6ywBq2JZW5FlEQYd0lu4sGgZjj+a5UY1sn1ms8qitfsdcOvrB0+iU5L3EkqvB
daGnEHpsq8/QBRkh9MQotk3o9+Ngo0khpxojPym6BDFouEFP02nbwjIDC7GANgPSOBmW8G7/H39Z
uE0UelsmZMQvA4BM/4vr7VyhxAw3qDZtEf+XKROmhtoM5qqRnu+fLRkay6pnfwgQ83Ys6/uwKPMq
IEa5D7v0PAD9snDV3V9YfyFG2ECqWrdUi9IqKKtbSnaW8d/sJLKWRR1apdEnVAVZ/Fq5Jzs6/8X3
Y9jCdcGsilExwW2ZgTZFPvEqcDk9DWm2i5Jv2xLWnrM4kP+VIPjnmGjcyqeiCkzjH95StAGgnJk0
QCOQmEomSHBXgsmwGIzGVZA8VMNDe0bjsPLnQ4I4qgC+hbKl6lrIP1/Gy7EsM0urOV5M7bsSASci
HQ9/gfdyKUSwmKUTHWdTjedx/aK6pudeuRi7kHnu6h0Cl8AZvkM3PjHPhoyoPGo6FhS77nHir0l2
FeLh1MmWZf7aTyfnQo5wABRTndZRCznTFTr8XredS6aEsB52hvciwKtZ4B6Sq/1wrCRPV9nvC0uR
Za6ZgUiJBZVHcpwaZ3QNZ+4PmRiZjS5dd9skqwfRwt7C48zteFHHBT7ZjG7RMsPvrWKGQTwWv7bl
rAbYhZzZdIvXRNnVXFNIg7dtsgMSBnuXnD6rv48SMvIGKuDJxFqjqVRdkhk9C5x2Z7f3E7lCQ/u2
CqtmX4gQTIUZi7gYJngP7+2fdWU+4QCXXAtWHWghQrBS1pcZcfKBISj1mKkc2LHpntLqDRw227qs
JvVRbMeUv2E76EcQtgIay+OEOISBqa5zfUx9vrLaiby+N39G1E1PSu+c6BjpgDLoMQuvo7/XepJ8
wyzj015357vkTC9jizd5N0RCk5ZYMxtzRrH5D9GvE/dsWl4ffi1kTQ2rDrIQJgSWKFejJkdzTDB2
455GpY9s3EGpHMkKrh4rrovJNINYYIEQ7uXjiLpFVoywKwdW6qEePJCp4yGwbbpVV/yQ8qlwqhd4
YjgTkrCDdcrNwmvR5f3fRAhXlRqcC0OrQJHM9vunQTbXvuqAALRAlceYYSpFJpu4i3JQu4QsQLXF
8RsQ+2m47KYue+rC6lglyV3Py32Z43kMv+AJOvS3FVzba8sPmF9Yi4hECENbuIYPGDEXZGIWAV3h
+ZQdXKTMwTYhMecKTBqwVxf6Co6hTRNlmMGAPVP0IVOwuD91jXltkDFoU7Ifuu7Q5jXaekOGnp4k
Mr0QAydHpPeTHZ7jz4wO12o/HCOWPue9+WZ3/Q0p7Z2TcsA8Z+ktaqunFDR4bJ6GidG+68VT+sqM
7IprCfccXVI/WfP0hULWXApf2K8y3SGvNDxhkg5jaMoALDs8YRROmDfUlST2ru1ejOzpePAixiNh
cynMKNLeri1Yr551qaCUlSvUCycmqQ6vC7LR1KwBLwPdOJeCMKCSgfRHwxE+YCgigQVdMDp5tSbr
9FkVhCweyvWmaULSpaA6D5FOydBjZQMPzTesBLnuAUnKkFe/th19fastRM3RZLFSRp+gETpG0wqL
AdpCquit6QEiASr6X/UscjTZW5RU40vL8q9Fgg74MgI6luQr1mLWnLb8n8KzQRZfkSiAuBiRKQ20
9rWMnN3ABi8JgUvIY/46cI5+RgeDL3PXRFI9Y3DsC0vVe7fr90mmPW5/zOreR4Ee+VM0vzoiTkPB
88IJQzQzVBaauJ/0MfWsWvFH0HbJoIpW1xkNu3NxzkHHpOC5rCfU1iyoDRiZO26ck/R2aIuv2/rI
hAiHWx1Ndsh1CNEdsAPDqgG4FA5pr1WSVVxdxIU2gtcWnI5qPWvDUcUizsOUSDb6SscO4uRCguCs
qdVFlv17abD6Dbxggjfg2h6UBmZTGapGfkdxR41S82uea8ax0Noo6Lne/YWqztyCrVoGOEbEnENF
4yZVHPQEup7iyViQ1+y4+HEx3xCh1aBWGH5cN7JdBRACgPRIzjeZCMHxNMw11W4BEZq6i52dW0js
sxb/lyoIPpcCvCJu59+POPX06qhDAz3G+HgrI5ha824AZoMgELEDtGFC5EhHLWtShjaxCQ3R/Dgq
no4jbnsHrWvzIWP++yI6UTMcQXuHGJmWEWA4qup7blf/uCTsd8MoJfNelYb+fpRNTFTSbeHuEWVq
0aGfGfgYcTbsTLX5Rw1fuJ03V1Usi3Ur3bzIDy+ECTcP0OcN6TT7WjyMt6VZfEfoe2KqhuGhqfTG
JtrlvXrWnbH0p/DFLboHlhaxR8I2Oepxev4LQ398jSNcG4reArdNggiSWfmX3tWPKkVrHinvjFJ2
F58VE98XC8VF7KQ4As0EyM/gN3ad+KwyH21F89AnscPhi+lOQO3YGbvuWCFxpt+HtyjZ1QGugrmP
GWdPCJN6347UKrG+AzQrUfMEjWsaVZhsK+w3XNgmjw8a9eJ2/Om20ZcGY2d+mTRXsZL/NIcWJb1t
o69GVbQ3gIoZXwPmQGELhXpcWrhPw+pM7R+VzrqPWXY95vs0Qp+d6x4r4F6bjO0mAFb6WomiLNK5
/C9ChmvBIOCNNYE0I5iFTLWKRC66FCk7dl/sl/o+lTyM1jbWUoJwemQhSrAxaJORgdHiKz55EQrK
g8Saa/FoKUQwJtBKSTN1EAL8/h5jX65v1JJr6NqdzQU+j4qghxncT+9z9CUBEggTXIHL9CB37fde
G3BRccAKneRlA7SOeNo1mI7r9KHfdVY1j7vKYFbW/PjiKwRzGhPNe0zU4eaIMh/aGfNDMx5GTJ4a
yh7XxOu+mYGfqv1+211XDHwhVjBwmI9JU8/d3Pm5nnz2RB1JtkhqXiHcT45VtCAOR0w8lHhhsmOr
7V76fJel/kS/bGuzakXcIzSkOEB19XsGbHm2AC8UrQhGVQfA3vhqGuWIqfT2WksRBRxyDKl6jtX+
JlU48x23ucUkto3ZYh0gbCmXRN81yy4+5VPHIyv0CBgndTBhQh/Jppsyw6iqZBPKhAg3D6Xjts6w
ggEm7e8I1OyAGAHggP22Xe2V+D6Pi/zPrmKLYty5NDNYW+NqzSu/MqP3cW4Zyu25R2EqPBAv3NZq
6no0KfdTh5K8wpN/Mr0B9kNZvycqs/zW7dkBDYb6fep0ytHtO9SMc/dgD+RXGiF252QYdlpHw53a
ToYXAynYbwYcixZmje4MTBHft20CsBSXmvduRMajM+lnjmOcqhHBDFiZ/tSQvjgnCPaZSW4tEk17
MkdYdY61fUqe0264Lfl9Vaf473kr9/OmbrG71f6EKY2rqUVzWjrvexut+B5P2+LGTJu9G2XNvgj7
h5IyoAqr7Cli+reC6dQbLf5dp9U/IF8/xVPc7abYAO6doVeHviGuPxgppoMRUmxgJyY1huBdDe8f
TcvtXd105V4r9dsIfsmH5hA7EjTT1Q1I0KfuACYPbLC28M4GEXyJxyK6gLgyPsQKa/YG9BnASbOv
4lo9uhV4F+08A16/DpR+24pvalZLduaqoy4+QriGAUNCoaqR4NJXJ8e2q2/aksJoj9t+uioFDL/A
4DRROzfmvy+ull1sdiHHORtw9rXPzvU7V2QEcesiLAtYomifd8X7Bo5V1WQNAJ3s8qmMOIh/uG8Z
+209Vreb/SFEOAxSm+a6HcNabfrIp9tuOhjZWasPmBgB2ppXy0DjVx7pMyo41FGR0ifi9Q1TyCrp
Ta0OClAs3kf8p5PcOIblG2S3rdiq9RaCyOUCUTee+tGY6kBLAFNy1gdvGiTn+cq95EIX4ebDGKXg
gFLrIGuTA+uS15rQZ8BM4A4+Sm4n8zIId88LUcIyAQ9KQ+svtJmya9KfXX7/N9YCyOW8cXC/nd1k
4c6mQ2u7n0CUYV8NVAMD4YHnMuq49aX/V4Y4j1cy9Ho6EWQM0+g1eeU5oPwFhgPvbhDgt/VZmbpC
WgYlkP+nkDhzF6Fer4azQkR54WgLKeEApPBmuARFcu9Y97QPUYKn9V0/YIKTQC8FE7yH7sEcn7e1
mUPWp9XHMLmOvIVKPhE/WRGx7YID151mGfWUUt+rvbFHN/BOM2twfvEWvUjYsdtSV31uIVXwOZ1M
CUd/MNDk9eSY6L6bZhLLrQUfhFAdNJsuaumuEKpjjEVWwNiog955HHQDA0iNPxn6c11mZ7ABo3gQ
+kC+koS81WNqKVZw9hkLp49TiI32bbvL3u3X+mFq/OKrYe5d5cWRNY6txYkPeZ+YGFgEigf2W02/
OeXeXpZ1XttYy98Xrmb2WHdlhMsPQLzRYlyi6cGeL5oZ72q/7B9ZxySesebxS4GCx4d0ACFgAYED
eypo45cAUjFlzXDbzoGB78uQ5CJhn2s9QwB3lMqL3PJ7aalH4JbHXlPkI4YSqq+ok5yNtE0k0XZV
P1A7IkhoxHDEwkSD9jOgpBU1WENzNMR/sfv4KM+ArbrFQopgxQLX4BzJtjqw2rtayfxM84wk3tk/
t7fxqh0XYgQ7hgSUjpUFMVmuAYMt+m671ROtrIeRqFfdWH+vzHm0UJqd+Dw1iW7ChVwhfLAcUJXR
mNdBUz7U5qGxu6chta6IE52z7vfGNiq/JHHuJWoiOc5Ww/9S+LzCi/Msj0tg7NWzbStyhZEgkIs7
72RSGAqCBz15ULsJYLHZM2a33b/ZHAu9hVfoMCmJGWkQXdXAkSj2YdX4SRtKXHQtOC8VFK7arKsT
3VUhpX3OnmNZXV3mmkJgLhowwkXzBjctTIREyaNLhnNXEYAiurZEk7XDDYcnMWYYaMBsCdHY0HTu
dqhxBhqPD21oAjEbuVoc17y+t0ftgWoS51jd3R8Cf/vOwjcMOpphzbM6QErNU5rIi+mjSt+2d91q
TF4IEWIy1YFLPNXw/il+D3vqZ1W36+rbaQK+X+butoWtOgMwtB0CNBpgywjOYCgxC0fu8iCZOp8A
NRRXCYmI9UNzIUNwiVTRnZQ5Ng/czv6Zt6A4oKhIQ57ifmvB6du5u7B1d2OfXw9D91dH6EK64CSh
ogA7FOUwZH37qyid9nnU7VhfnFz2sm3Lde/415ZiKlsnXRXjfOOB6ZZ40o9IcgCXyZoqWVu0TJDg
IVaSsCnOozroTHJKAJ9p6PzUAPN0W5/1UAi4IuDW4h0JwoHLUMhVo6PAxJrjcFTdx24PzEcEXW4h
/I45AC25eYdOroNTWua+7mXH+GooWYgXwmFczblGR+GBpoObMeM/smryFa3dT6P757QfJpp0MD4A
QjJoK57blZlZTqwiIQ5qIlyA+pf622C9Ja/bFl3TaClFOLdbdSry1oaU7s29G1/UPXUla0bmnxAv
/EsRwpmdjoriDglEVHtrD4TYK9AMv1nDPnyf3oA8RLyQe+l9UnvvFQEi+nSyHrd1/HxpAO7NPIzk
YgIVzEWi0+RuRbqW8PkG9HVwlB7R2XkauzJIQXe6A6DiiU3dVebIqiy/S+eXql9KFvxFT6gVja7G
MSxQHDqkEnDbY6912OQ+EkkA5+yHEzWBYFoDs3u0k8QrKtDX5/WMkGsnFFPs8X2rRqesoYrfkuE2
tK0AzTV+xsJTkk5/flnEB4OYxAG0mGYCuP5yfzlZ5PQYSuRBq5e/SMn9rE5yv8iz/faSrGzkS0Hz
KbA4t0Duldk2QwR2lA6k19XObIZfFJF4MIyfhKW+mYOqMX6oZYmoz8fLpWDBGcY+sdtWNXhQGSpS
D7o3gD1xW7n5Jz6t+sKIwqprTjvoagLdKACrGSBSNeDMarEu2VjrYmzLtHFQap+S9hMPq7pR4NaO
ZZ1omX7F2NGD2raSKbv/z1L9K0fMyGdO3VfZCCdOWXHswJbVAMY6+qVk0QE4ojuny/wYOLWaLYNY
+Byb5qX6ECweKlU7Aq9Q5UHYqm85HJ7C8UtjOkShLEhJbPkpUZ+CCg78J79DhJekaH/rHx10PW07
xqrvocsezaSaiyZaYXeljZa6dtqj77IcfvWsfJv4H18HYbKFBGFbabxhcVW2PIibNwbnTn91/R/X
Ti5FCBuosBMjz9oBt5dEK3chKGvUEQDpIZUt/8oc3aUkYR9Z7lgafQNlSrN87rtYfdDyEFcYuxiD
CKgLtHWCDjExn4MjhsxOVqbcqXPYNBs98fICSRiwdu7iJvR43/4C8Akgqql62l7VVTdd2Ny+DGVo
bAr7oWmw3a3yvokMrxy1kx2n32uFSEStuSke8gA+twn5DKVQDpwoVVPhPkfr6IzK2C2x6b1uUV0i
aE2npSDB9Fk8kGbsGQ6urJ7LVef0Bc0EHmlVyeinTCPBeDHjUKnjcNjwznU8ZboDquj2+shECJf9
SbHRyjrUPBiAmt0k6M1JLK8Av8C2mLVbxtJkwq0eBHB2GRYFD8bUivxo0u4Gx3ju3tQCSKeNBmhZ
c9gb2bdtqevK6Q5YDF3LwiXn0vm6rK1JmoOTG+xeamBo052VEOTMDGAQbkuazSSeasD6/FeSEFqm
zEJDWxTzgKTxE8fkbQQAw3rs+PUUO/2h0CuAzmnAFNwWK1Nw/vviomDrdp5ilBSrp0f0hIzZtzqm
AKvnfz7wiO4tkA79rrZhvFuwZKE3k8pLt0DPRIeJR6acC204cPKD9OTcqumX0ox+Rej939Zv5UyA
WBMjsjYO8k99w+BeVTVaRmUQ9uhXSDBx7XVc+fPJkFm5Dynk0oqGAkBQrYjLIE/oCUOyfk3Ch21F
VhbqQoRgP6MPE2OMISID9eTdREZPSWVDITJjCT4IfG8tMTQYS+E349QcLHWSXKpWUgOXlhL8rYuA
tMhVqJHWOsBQMusYuaTyqcOem6J+V9I480pwh3r20F3Fgxa0uSabYl5XEylTtCEBRUHEllLCIuoz
3S6CfBzPSoenQ1l8//PVAkqvDcoyuDooqC8dwsmwVokCxHWO2fhwaq5Y9xzrkqvjmh5LIYLXqbg6
KnkCIV2W4wIMUGtaSkSseZ0F4DyQr9lIb4qmirhZJBEylEg8AIwkSY99E5+b4s+x5RBb5y2KiSQg
wIlJqaEuB8yaDEVg2XtF8cyn7dVYOW7x87jEE8c11E8FeBWEPoVpt0UwAB9dGcFuAaQkBd1tmfFr
W9LvxnEhjF+IEk52k0Y9qitdEQDpnzlHAL3rDhCFTmN5nWvHmUUbxzz+QaNdAYx1v3N8etZMSdRb
W7alwuKxb8Q5N62mCGp2rZ1q4gMzfFvRNd9bShBOfavpElPR6yKgk69fs0ny8/MHbplROO1HzL6H
ZQEFJuJZ8dvETlm0c+ob3Tr8Jz3EQnNIMLuSqhAUWbtyOBbV8/bvS1ZCrC1XKvJpCSCpA+3kVsca
ZHN/jsc1751/ndsUokACCoiqnSVUX+gZ7XiTu0O7Mpf15a/cTy7ECOePmik5uvaxh8J/QAgW3hXO
rpRVWyWrbs5Ot7iM6EaX9mkEGdNOswChctQx4NbfN/afP+MAKkgs4mA6+/NDMQL9VRfTvgj6fwbq
6+DlDCXn3Or2WEgQNMl5afGJIQwwtq9fpZep1YC2+PnZ6xaGCnNuGxytoIH7Iy38ovCsHWHnbc9d
aRmGYy2ECKFsophwVAro0PagHblVjVvtm2Ed3fGoJpJduOpcC1FCvDJSihZqB6LqKXD6vRu0P1Eq
xmz5n08hX+okhC2AivRl2ULQpNQoUoU7iubdtFQky7+W1LmwnRC/AJkYx6EJOWTYVcZVX3yrwd/U
Z775jRAvecrfthdrded8GJColw4xOLRFAxgcIi1NDzVFP6fGQTfGm46PXstlDdAyccL1pmpQiQtT
iAN5L0VxBXpVRzKC/1jiGCv7CJB8BrLK1nx5FxvGY0aMDNwnsCNC2pH8cVMWXpSLXxd2qZvldVgZ
DMFffY+B/1ZeJeFRBgy/slcvhAh7tZ2GIVQ5VGhZ6o37SMm9IZDBwq9soAshwl41NWuMcwDKBDHG
Z6M9BfLSM0n3UbS3Jtnir8yTXJpN2K1EBXkpBRBYYKBo0tV7Zux79x70fN6uVXvPbn9y7Vg5J6nb
rRymF1oKu7dCaz+oAXHpuFHLW6cCGupuexvJ3E3YtkpldmY3QLPaKx/4+/aPr2yaxdcTVdijZRWn
pMurIjCvw9xr1Huq+45y0zxvi9n2NyI+PQxLsdvQgBj9jeUH4wEMUZUsGbPtbriyX4YbB52gUeHC
Tlp4VQ4g5rtPwVjTXnVRAOq7bX3WF93BLISFOSlTxJyiPC/DhOB+U0T7CqiLyUGXlUvW1fkQIaiD
MwCgNiZE2KgL3RpfkW63SvBF+r0027/uYR+ihGsUiL9DEzAY8LDRO5rlrn+nrt+BFyp7PpTXDZgE
CTZOdgRL1LYZV7CO5137IVkIdl1COE1aSG7fwZPBjWvX+V6BSeMBHFPHAdhz6ED5lqP3XBmOEtGz
UsJt/kK0EAJNFZRIg4t9a2N+m/5QzV01oHXjV2I8M/0QGt96drJlUmV+I4TEwYk7zJpB37wABTSI
V/aybimZBCEOAv6PZui/x/FhvybeMIHy6yCx3HyQbllOiHhMZcSd0OwfALtP35fv5zyow2Mrcw6Z
Vwpxr1U46KFULFDe7rOflSbZwuuR71/XE0tcdjuGTFVgKBCHOfskmJ5nlpY/v9QvncwW7iRqpOc6
oRCin2J/PP95Mzq2DzBpZ/ABB71Hgg+j7FPYylQUQdZrQBzU07NTFI8WpRWGeKL4mBD2sL34q+61
kCg4sI45NhRkctx91AeLe4bzbfv3VxcdjV8GsJwJsA4uQ9H2b60eOovfEoKLG7k0Z22Cb833yilq
HK9XPbOTWET2xcIaMDQGT7Hm0mBCKbEyQBFIq922IjIRgtErszYoEMeQ10jP0+jrsqqb7PeFmMFL
QFrqIX4/+pbHRyZjUVg9yRbrIMQLDO8YVUTTAs9mI93ZTv69T63aHwcbXbETWCXjm2Kgfz5pPu+N
D08SwofSVTVx1ZBi2tW5GfMYNDnf/9OyiJ1WCVFblEXhX1n7pRk9np23f3/VfzGeA4AGZ6bRuNwL
/ycBkVWujxUNxiE6j+rgj2iY7xPzgH7T121RaylCXV3Iml1k8XhXW7BPWAanQTqo/d7qmXITqvY+
N+LrjFvsaPUF8VjSY/wpw0i2kjT3eQ2iLz2ZbiYG0GkGiCvNmIpbAhBL+JAp2QOrgWfxgcI2q7ml
GxQs5gFT4hcH2C61ZvmNokoC9rrN0WSGOeAZF0TwGisHGC0FJWHAwIP4oLLJxOPIMINOqUHgydEy
uG34dbX+lSdCLhhlxhuSFbC782w/IxvLc4mE+Ys/ndbuhwThCMpGNqVoM6dB0WqefWfku97YqW9g
AfTsP28TgBN9iCKXTmRrSjeODMo0GJQ5l6pzlVccBNdpY+63zbYWsXDoASAZDDqfwRcMpvRsaiwa
uOBZawxk5GT4/muZJkytfYgQgm5MQLA19gYNWvPNxIW0jUvfHMk3NXoLMySCAOr6K6rbhyGcJj/K
QSKr2c/bWq4FzuUnCHHZxdweBSk6DfoeiWDzKZtey6fsaZpQjZC5iaatueJSmhCmG6sHu9cIaUOB
CSrMJt06OfjQq6FP8PIYvzitqYD/O3lQkoHvQFwMHlKMgd5mnRKg91I5VDwej2zs0kNINLRjqneO
lT5SpbylGGXycz6+IdL9SsjkdzrdYTAGDONm47cD8w0lewo5iKkr1y08FP2+RGE07qvQSQEkHt1V
CruKCwdlRgWTrgVJfxQDsQDuDOZhQrE0saa+5Al7s83wrq+i7+3U/wBDjOqzMXHuVDQLPhu1+hIW
11Z8AuhA/phlYD9uXfASpT269Fy1+tUNzT4KC6C5qshX8H5HskQF7Wp+atRqT5PhrSrZHhO6Huha
wUAHO3X439q8SDGtoj5rFn2KWX4/ZOYjZvFP+mhfAyWZeiTpb0sHk7PpdFNV9skJlX1BMGzbYCAY
aZK9YsQ7k1kVepABP8/3qClEIJ6KSenPYN8UIOfJbeUw5Ot6ZWcXruXRKgEs3QAgUhf86HWYtbsK
lgJ71Xs2VqPfViT0nNR442VreVo3nnrD/Go7FcSWxh1xxvc+bN62XVbmREL8JHpGjdDArkkMdBKq
FAAvTfzQolC3LWc9ANhoFMPpqH1qWownKwYXsoqz0aYHw+x2VX7YlrB2EswFxv9JEE5EFimU0YrQ
wI67+9hWDkpHdgV1H0BfLXkGrxvtQ9T898XhqzHz/7L3ZcuV41iSv1KW78wGCXBr6yqz4XJ37VtI
L7SIkIIgCe4EQeDrx5md1am4rQlN17yOWbwodEVcEMDBWfy4u20IGipcOjSencgPyjgcP5nPZ2/s
3J4RholYC4xzcv3861f1UWaZgo8f1CIg/1+5ZX+eAFuGDGxiI9SAiuYy8/glCORSu+RgudhZ/ABv
YGP53qkPPsmVfui2vB/4bJHAfClGUfct3tx9UW3RLql6vqXVVVtcDMW4Bex9F5pxCzsSB/lN3d32
vcKBX9iT40FBXAWf3LYf7pp3b+JsKetmLvmA0vHhxT31N1d+/q9slXfPP1vFqbaDxhkkoArgFHdE
lkxGXAz/wj3+/q2e3TsVxJ2shkyruJO/yQvEek1MwXD3613z2as6u2+kbCtX8RWR3TivYQ9h0rCL
spLErgo/idHWL3zuA72f0JlVgojTQmw0aoJoBijqIib29XRh+Z9VuD8Z5px8cHayHN4jFqdQTdQN
zYWtrRtjViLCot0tn+VuP3yBKB1BVxgAAvucxA1wM3DfW6I9KMDQIjKCaYVRRXbu7DwCg7H79XJ9
5Efa70Y7c+6mcrLm2Wmg6WZdjlYdL2QDnpDhsRUqyf23Xw/22dTODAroVztplR1AP2MammWr6Y+m
qOLB2f56nA8t77tJndmPYuShFugEPRTu0aqDyCd7DQn1Xw/yAdWKh366vxbqzChoT9Kmgv94KIAd
omI55nYFI1SBRwItfi/j5J+MKnfoxpLg7QkF+C48Gat2OADN8O3XX+bDa+DddzkzIFZlAAmTsJiQ
PEyoeW3L/P/xna6n5N1tRka7z4MeIwizcR7L6sCrf2kEZN7XrQ/e77PjTCE856LBAzp89UmJVLGT
U/2PeUTXJfuvIc65bAM2VsgQD+2hYQDP2V6ibJYi6Z8AU/rrBfn4XP010ll8NoRZV6IxrD1MZlNB
xK5JPP/JoTwp0fQvTsVnukAfH63Qs4HrBKPhOcUt8VsAiQGzPrhmcIFjQSlOhc01Q6cws+X3X0/u
Y88AMNV/jnZm5ItstKt5UC0QshcQsXkuneyukJetrKMmn45SUTBCoBlIz5+BLNdt9t9s/ruRzzbJ
XyM784yIQoeXpbyc0ahfyvbZzj6hjvnwWEF6AFwqK2/1ed6ASctyS9jjQwtg04QDLclnLu9HEwKe
c2UqYyDIPt/1HC2lBdiIkUs+8iR/ORRXxWfZiHU1zt+ZB6FTtqqceZB1/vnoQvEddIMeUu6quQZZ
j07LwYl1Frt7+7OWgo9m836oMzsEDlSwUq9l07b6ZpoKqooJq79oz4md/3nvJcSr381q/SrvDJLn
mF6GM16c4dsJoVWzJDniKiv7DC79kaFfCbahfwW8Pjrvz/ZcaTI0jaPjDHjijRl3E00USTnfnuS4
d8nOGy8ynv76hH1wg70f8hwrFkLWFfeXLw6ejkG/dl1V7Aqx5K8H+egY/zTKmZESHJtS1pk4fPH9
vZdd0uzBxcs0xwo1VpfeKO8zBP8HB+qnEc/cjZk7SIiSUBzEdbj9jP72g83308PP3AsloaXaWes6
Zfap2nHFI1rp/RLemc9QNx8cqZ+GWuf5bvO1g7CC2sE8Kr8lm5k1P7Rnhq3kFCkSz1w53Mh9wT5r
bvr49SEydgkcX9wuPw8L5UAXRFK8PtSPy+EzzcWPX99fDz8z6nZTGD74ePiUtEAS5ze+uZNATpP2
k1v4s1mcnSeB/okAEmj1wR1VNNW4ED9L830ywjlGSZdyCYamqg+BLgOAkppj1pCHX5+ez8Y4OzwA
PtjO4IgaJOvuzbL0KZX5J1bgwyGQDoTdDsKV0vnn5daeXkokx5HkHaHoakFQcP6MLOrDjQyBLeCt
YU7/G/djq6l0/RyLHjqg6NxlB8nepLej1/lnF93Hk/lrpPX3746Mx9A4XGhLHCwRj2LX0E+iwQ9N
5ruZnL2sbvIbpI/wfJNfSxNNJp78TyDqH2WP0bGFzDSQnDbY5M52rvGXoc09RxxmErY7Jr08zSdo
2PGWnPAi0x7KNZHXthSEA1AWWCoel8GXTzGZH57Uv77GuRvrzh2XKiTi4CiSJ1b33LrD1yVTW+rx
KqkH++3XW/2z8c62+oLoN+wsTLu0r31+8mQI6pTmvjdvSJL/eqgPVzFAjQ+6P2t75ZmFU/lc9mCG
EaBtfe2KWxY8lP6XXw/x8Wz+GuLMzknPoqadMYRyUCxxfgjE8U/t8tRMn3iPn83lbLd0rCEcrgPu
oyHR+U3Wxwsy0p9M5g+Q1Zl3hz2J+gywAkEYnHt3fZYxHcyFOExuLo+co34fqslEZsjnTSfFnfDC
A+Hiq9PZxzpr8+2coWzqlV8qT9/aVYHmX7/p4jYYu7jsq0vuZSSyBS2SaXI3PeiSe47iUs0AvLPk
Hh/J4gGSjJCRq+6glM7QXCATupg9mmhOtghelqq86RYbR6HSaIQn8zdCpmfputsBJEbJYObntvNl
pE0NzZLAZGkOFYrjVIAmZDCvk6UFagldmRS2fWOYerU4xJItk229YM7jbEHmu+ihekpVXacEoU+K
DscxAi19GOkib+JgaC8MovCI5QIVVtv9Vk6ljpYSUhVD2NyIWb221nhB1DzvhUb7BExtdXS0upCF
3BXoaE9n5uQp+CF/NNacjJ4Vxu5svwiXPvfocmRCvXHX76J68V4dUh5YX+19cqSkmyLHA0GN21XO
phvqaTdI6yYw2kNvxEQjNI9dWM244eOy07qnSTmCqiF0misUSm1wUIYF5Al0mzRt3UasH+YIUzkS
NsmbmvQLwLbwCnMzDidU3l+Vxa7bUJw61d2xIFcJqdzXkuIrE5BNT0NRJJLiewaVP4JNdNExyC2R
ogjDcduVOsDrnPESTf5iu7JC7WJ0Y6JrcJt2nRPX0C9IpmFWiWUXInKrbroxgwbHVq4cXN7BBPHN
IE9H8IInsz3OJ79w0pCybEeUU32tTP7DlzyLOQ3LC+WDPJWJpUwtAlZsrsrbvuy9tCwKs4Omt5O4
eX5f8L7aEL30V5mkduovJtgIpU3cTnWf2paoIJ1AOWhHnX5n15OMK6vwUga90yiEkjwkOYMbh1cs
ngahHwQbwUxBRhqXhh/AoWIiO5QPpQ21t3IoSIK6+HfAhvIYBCvycc7Kp6Bpvw1Ov5z0GIxxXgq+
oUJ5GwMC8cSTwXTMEQw62XRfCwke9WVbl/i5tree5aTlRG+gfbjXnbuVXpiSrNwJUupEMPWtIvMF
Y9YUg8jiKiM9T2qv5KkEr2ac166KKlMFSdYFz5Y2D7PTyUhpt0nazKZ71QI9lxfVIdRolKrdok81
nZ29wVxuql5cBeNikqZbRGQy58UaZ70d0LWx8SwQKXchXjca1WIBjeqUhPyhnPhT4yjUpxxtJxn0
KVOB/QxxyMGKOsNeF0c+LiFW2h6y4ftsu/V+YIWd4vP1NqMotYGlc9kEonFSlXkPWZYFSW01kNsI
u/6qyYsmNVW/75veSmyhRtD1OXs9GRBQ+bo4hdhfydgWKyXGDN7yUQepkG4fW9gqaDvkDfJA0KcR
Vu4nXiOuwW6s0bzsQdwZtUoIAHgm6mh75VvWXdvxIsqyMvZy97qy8zzJ5/Yut28VpJhYNqEFFC0M
xiVXVGQDMnH+yzILbJzCh+6NV+dx0KHMqQHWjisifLR/l9tZmBrMmZl/FZDlcWHdRUU0PY5h+WYy
dV8P8j4YTR73IU4yxI0d7HTrgrDWiyGq9IMFAJJSz2tvepCpbboFlVHGljb1WbnEGQ6C50dyOeRq
VSoLumNTdc90aaZ4mVkdFYrcdKtASrtKpcydeDYMusCdXX3v1AQm4DLqKxjgVZKiXcUp6lWmgkOv
gmcTMoErr36/MuzzZrqp+/4bXTyeul41RG3d+xHvHYghrXTCTRVeDZm5wwEMcMmDb1iuzMOhrew4
h85PMmb6LcjegPwfNtXKVty45g0a2XnS2dM3a0Rnw6xD57qe+m7DlVHJ6C+70MKW7ies0sC9Jhl1
CxwotQLcUeOlGNaMeie+FnJok77LnsniVrEuzFUD9ykzsE4N2PVUV3+rKXtUFvquNWS3VzLBcGB3
JaxQ1IL4Bs0V6GzLwvl6ENmrKcaN7vJDAVahUA75bZMhyvArBSd9cQ4+AvrEAYuHEFQdlql8FiCM
oXZ+g5ryElZlBAn3Iwc1RWvcL95KUrBQV+JSCeKuENU1AU15DFerOg1Z5t5l0JC+rIag2Cys300Z
+GpXleNaGJEOED7Wtf08aTBtlQKp4KBqbnyP3rFQfFejsiE2kl2D9+sHA9mScSoa51XZ7ijv3dNo
gwBvKjrQc/+hRtvYIpohUOsLh2yaYPw+G3EfWCNJx1W0qqz8nSJ2uWtd57VfNdZQ7XzSuinj0p82
aEcEZH7VMvLHRcWL6/SRXsXrjSn3fJWzD6FrP3TiIsjNagSCISq8qTtKLR4a0KRGfgFLqd18185D
fUL/FDm4xXKEUu9T3XgHsFa3EVJATcxDDoBeRaovkDpFJxoi86Sh+sku6fhl9GUe1cq5Q0N9FblI
Tw7Uvwyr4EmOYk4pqox0RvNi2XkJyvxbd9yUhXwkaOA2r9wlyTBM4tAurI1ybYMvwk4bNPViZ/TA
MXnbYu337Qj+0Lg88gAd4Hb9xYboEKxTE/cruqBdcQZL05TfJaAHxYpBGABGWFBqH1Z0Al9xCn62
3A5/IBdWDAMFmGECqCHMsfhiFXTwRFIC9hBW3tsSzl+aFQ+RVc1lCIAE9KuvLAAmwswuN8OKoQhX
NAViigPpxHC5kLCIynAYEj+E7Z5tK/KEutV6KBJgC/pIcucyhEZp5Ncj3boQLwLgbgGbjv1FDPVW
oqgMrzxMIRp8chYv9Xoru1j1imncO+OwLa3qx9J73r5GdjaGoczTIfSrQ9sCVdMMxZcAp7D2MmD3
6uJ+CiY7FrbfJdyerhv4EPHid12kS4j8DGbiUVMM8jTVy33v5Oro5d0lscDgUgxKPQ8Q4I5EUN0P
0L7byQkU5C6WEgccdzXavJvEFLratw6FFl7eC7TxAFyfaZccPDfkz2D24yjfldcIu3YGFgOM7tWX
GpTZyWTbYzoocAjZ+fiodLek0LnQ4OyCTOscrh22ZeGghiSbTTfnN+1sHmfftBtag3LfoW4RMe20
N8E8Pjn9lKUD7XCMM95EmTegTbbhuGzGcVstbXcKZ1y1Rhpvo23L34QSu01NVRgJ12uhelDflqPC
9ubetEd4jqXyw6MNUse4NqKMwr4WUVNOXSpNSOJxqYHf1c73vIIOdNsbP8lYEW7JEmSR340yGudR
bLXA3Z8JyC1oOlWJ5TnwYt38BgCU6rElCo7SQL8ZEEdGuTVzXIsQ0soNfeid6ZGNwR1At922tq1j
PZUnltd7v3fuwyFMm44AI6ICFDjaot/JWR2ZpVVUG1wwxvHuXQM5RCYbBd0Qj2wg0W5vVVBc02LB
yOFlb493qwcrRvs4Q80LnRfzsWzQzAbUjETrB/Ce9g9hjdCC7XAZtRRxAR0V3bjFJyWuj/r5fwp0
znLLC/G7UrVGHIZ+evF7fa+Uv4G2wt7uS1BymRhhY7xYJIUo4k527e7XkdaH+YsQVHVeQEEQfo7b
1HYbQMwAwwPhDyKb6pPAdw0Gz8M4CokwsCWi2oCA7uf0CDcFsUaGx5eQTWtjX3l4jyB3iBVAYbjH
5Ge81x/N592A50mEPuuHpbAwYKumK7qrP2c7XfOtv5hSeJY2EHCrMpphBPtJgw+sYhEUm5a4KjaW
TInc/Hp9Ptwf7yd0llsm4TixvMNw2vdBWwuIFMvQKDbUfb4l2uNJAen1ajVx42rswBFwWjT/F3bJ
+y9xloMWeV7YSAWLQz9fMSse+/TXs/wop/D++WdZNH8GowT18fzRnuPypfZeArr/Y4h/+778e/7W
Xv/nCo3/+A/8/L3tcJ/kfDr78R8XxfehHdsf03+sf/ZfH/v5j/5x39b4d/6Rn/4CD/5z4OTr9PWn
H9JmKiZ9I98GfQttbTH98XR8xfWT/7e//NvbH0+5h17w33/7+loXTVKMCGq/T7/9+av9699/swlK
bGztiP+394P8+YnLrzX++J5/Lf52mUv91nz8p29fx2l9lPe7Q5GMpeB+RgHUQfpIvf3nb9zfmQ9y
QmjHr5SnKwtW0w4T//tvjvM7gFgMddmQoWgFXtnf/ja28o9f2b9TlJRWxKuL8CBwfvvnN/xppf5a
ub81sr5ui2Ya//4bY+sm/+vM+eD0IX/IgINsBJQgQJn/bEaANWhmXY3IfENWI+wquIqapZkLbtKl
D2uEKbqE38DzxDPNTV6Do2nW/m3dwcc0dZPdje6AwGtEFskK8nBDGgtsCOGIO3iuvkNn6j5o7pir
0nx5y8xz6/dzKuiYLLN9nbPqhtpyTkGUWGwUq+6DOgSlnC72g3bl0dLzaQS/AJJuGYeOKL2wJzVG
jmDPxqD6NMHpxLUGS9H3bzkzcb+EhyVDls6p+lPom73M5VdIgEYCFyVo2NkDHwDvUKN77bWNu6n7
ACFNWaiocyCXpKyXrlL7VsurbmRljPRQms2AvM6VF+H4bzOkjJPQye8CIkQssx4KObl0E4uzbqNc
d++EfMeb8pqNkFmpA2Ql+FVQHnrJJVIHQxtBZ9VHQql7aMP2yWomEXnMCqM5B1VglsHBo/1lWwL9
LQn1YZigOzLY5bHKFhb7szgUlcqQykGEq5bua9YhWMwGZl9A0equqdS98QOSDqMHgD78JKBeBz+G
pNqUZBQPHUmlL+vOuRmHDKVJuDi3TW3A1y3EDxepHiTYkHuei+ZB+2O1awl5W1y10yBKjEjl16k9
VXuLVw3cQ2nHNSVgA5beMVhkuC9BDQexKXk0bLpsOKbmLyUYHhGWbtA8iEb9un4ogmBMdCDklsGD
XpzipSYW1O1BNgYfK3/iC3/kDQ+3dCAQoKDDDQ/mPvLm5VX4xRX3yFeggvMIvC+gTFLsKcCg+Owu
Q7A4ARV3pTSoJhR4nGDbN1C4bOMmlJegsj75IGWjxnr2aHff5f6qeAT8ku09VVJi6th2KSXyGpf2
FYXq5sbpy+9VUCNLXxECRyYoopyDSJeONWCEJnvyZxB52or+KKi+Dnr7qMjggfzcOg6Czlu7HeVO
kgZdWAVapWx32aAP/ciKYiMg6oJINbj3SjjXfMRubfIxnWl+XVDLA/qY5xvaZxft2D93nphBjlqD
QBXxVCRFvyWWRXaD1T57DjjGRu3qhJbQNui6JUhKr7K3ZmZ+FdlMXBso7sSdXc5YQhBteo2NNKtn
7QsEU2lm2c5N44N5u3Xyctu5yHoh+GBRVimSiKlDLpGi7wER8GYSAmF447EE+QIOzYZg40LZJTJd
+UVxwMFKQSPmdE/CnwFHLqZX3x2bhCkBkhek4hKjtQ8OvyKPgjoDeLoe4RfW6BrhfARPC+/jcegu
M40wUrbkbuKijWi4XDgZBctgL8sj/PchkeB1GUsKsTGejclYO0NEljHG9wc4uyUH1YJxeyzzuB2s
nU2mW0DXgYzm4NeyOutNQkMpNj0YLZfJuqiWyX/pALplc3NZNysZ9MSQICkI0hgu8N9Lj3ZYK8yT
oZkves6/GeKdSCZqpKeKHKhz8ED1Nb5MPg8rwPvBbmonBnc0iQv/CqxV/NgX+rp0gg7OzAwVF6Yh
pKuKuKgGFs9z6COSRBigV5kkuKyPRmf8aCrnWXVUxrAYXjyOIcLbKh/iUk7fXGs+NIWyo1xSEsmS
YbNnfRfNAB2eWlVs0XPxwCWkDMZiclF2yinO6ogFAAFqBLJbgRyscrYdYQce5LfKJd/aoCBpw9wA
Cq3ihunS30nZuymcIURYc/utUKtOoES/iCpdLJBwTpw5/RYig3U8See+K8tnCBOPu2XkIxQ3V4Fo
Y8Io8LGMtpd98afq0pGTRjAnzIXnAOvjwv/C7aKylIPGNApCfZv1pZPYHcfS10bfSmQVIt6aNqUQ
qdp4oIICbD7UL7NlPwQG3A7TLOoNbcTXcN3atALbI8rtICZtt21PL+vW67dzSPLtgK90rIrQ7Iag
GzZNZu2KgL8sDlmO1JpP84T0ZC1X/sh5mHbaQTNlJhGloYrup6il26nsB+Th21YgYw/6jGxpwtQa
msR3W/Q+6eCIJoEwtkPLiUnDH0luNkgeOHGZ4ToZTekmpJyuZ+xkhbOFxC8sKa6NuR5uGl5nabkU
T2WIy66Z5mlj+ulu6Mlt0IcDdLWKu76CRiSuqOvGw9tyeHATMpiNsvIeaqi2gM4HSSdjpUvrHB2U
XCIkOE9oK2o26JN/qAv2p5ra/3f9PPjR/2fX7zLnb3/7Xx+4feuf/dPtc38PCFQtPRYw6uP//+n0
0d8DH0rhAfUYIrdVOepPp88Of0dZfWUSQRMbqNn+8vns4HcX4tI2AZAD24WBaPt/4PSdBT7w+Vxo
NxIKgJdju2jqPGN7KMtF4epvvX2Pil40se8+UiHN+GR53esS1icz2LthrA4Zbe7tJquid+/qTyf0
vdOJHPZPTmfAwFiJuBgOrI9JoU/grGiL89t50DJne28mXxaGFiIamGXfIfrxpf29X8RXCahE7Gdm
x1j7jPbKE6Qu4Igaz98EGQTnXGPPUSvDPGKLvqOeeFmg87vkMoxCHQTXmWf8HUoVt2Pd+XGj51uv
o89L6ZpDX4OTOfTEfnHneqPQlhYPgfhu3EU/Cni/STdlz7Rm+jBafD4IF4VFyumSzovU6VAO5sqV
xfRQMXGx+CyMdaeG0zTqCaD1QnZ3VUifoE58PXchqncFch15FX6d/MyPKhpco+fusirqb4pDRk6F
etOG3gadTUGE7NtWTKg9Umkl/QDGrF6pe1TvD5MNf6oaUFpockhOlQgVM8MK3NV1EU1uTSLT9EeJ
2HVTzL7zKL2+vfPdYPk2OfWx6tTByZtpM4Yjue8quLIMqdNXyWFCiPHollmFSQeH9LGZlyDKe+8b
8HJPtWBP9kyelwF1XIMkI25ECKpB9xLkgUjor3ezeZLACCVjMX4J60UgXRqmdGVgkb4HFJ8kF57V
tDtbMzQ5kSEd8wAkrC3acbkz8Dt3QUG5VOgEq3PomvhN8WNx5uvRWZcbOs55NC3USUeaXRJtNrzJ
b1sCEUpK7EdvMpdo2DpNXd5FJXJnWMdxve+W1PYbeSOy7hlasodSyCmhSBxHCpVbKoJ+PwCkEAUO
vm/odhukWQ4uLzsoD7KjzkI3mXuxC6sZWlU0fIBrGKKokfMdINl11Lc66RWp0Eyun8ZhUnvmZaeC
N1XqSQLW3AJKGXrJLuw+uATEhEWIUl78yeh9leVYPdO4KdUaqdXhEfOA4KEZLys9wUOY+nbPDaIV
WlcWyAAdHfse1IlS2y25Hfv9iAu4aa1IkGBPlWg2mg3PtKlf8mB5bZkz7gSrxkgac9OUnYKDlXvb
LBAov7fztOsUz7HdW+sY2NPRU8FV3nZzbHNynzO+l946LdnJnSibW2fQIqKUI4dY+Sy4l8UIKVff
vGYVL2JUcNtkQv0MGdv5UobW3bQKCnsj7TbEaoEc5eSq1o2OgiW/7AIwNJbNJTUo8VeZjdgkIkwd
ehPeA6OWIGS6ajSU2ynPnybWPuElvc5IbUTI4G9AwXKFgttzm2U7yavLHi44WMbmnW5wSuSQPXOK
BjlmIVUvQ8dJCMsvTK67JIdFS0bjP2dyvPAzZ4wHGEfkqS0Q6RCXwA3vvjejdT0E/gs3wT2asMZU
KBSmxBJ5FtnWE2IqHPFvGfUMSn4eit4deOpDBKlRO+oLZ2E3koXDkSvniLRogXxpfcFQxo107jdp
QBUkKXwHJ5iBpyFi9XIlAGpMtGQgtXZLnEvixYMtb22p0GCsq2GDJhJQyNuICe3Wyy6KtT48L2Fc
eSXYdrUrYLKHV12j+t40EMIYc0IBYqLhpnG+ORrYjNq1QZreq5d81N+DnAEDUPpF7CAw3izL+BUr
ksVqmh6hS5xvi2xBCZdOcDHXxzUVKJLCFrworT1u0QbL15+GHYRb1L43/X7RfbObpbr0xUy3E3RJ
o6Xmt0w1wD3o4A4VDAe108CJEDHs1AwjD6lr61S4MNxCAN6x6NuclCSq2+q+zeqbwgx7AvntmChi
dpa7tHFJmiRvbysIKcDjos/Yd9aLgM5pXPHuBGXHLW35vgqEigseviJ34W1d284PstUgeShLtS2L
BlUeWvbPDMXlpKkW7zR6NWJxywxFjPJWAze5xeuaeit2azTXWhT1avfeZF24R614SF34i6DGdKGB
S5fTwKajH6oh1ShtRh1BjWQG4SmeMqBltFHgOdRIWHJo9W04p/nOss0IgjXmR2jaqtAyQwPUJEQG
fUJ5cu3cjhSnhzrstm4P7VbU9TZdTu/BZCSuGlK2cWshHHQbgRoL7ZYDqSV0sFUfXlXSaiHe7aDa
OvjLqiXW7BE5XIkezD0Wgasqr3Kr32sd3Pr9dMPrMa1XyQUZfinDAAfWfXMHtbWFUTi4y67DlZCS
IOtQACZ32RLYyJ34ZWwb7K4ZrcFxG3Iw4JJ+3SeVjhhR6Ni1gTom4bJmf+ptiGJwTKbuDt4OO+KJ
YyLHfI7pggyDyntzIDnbV3OeTH5O064oL6pMvuhRfscmPIIp5QgPHhGtb9MUp2DelmGB3OyS75BG
cDaL6B+DChAAlbc4ipa3X3xymqAlH1EGWkNj4AW7E16R8UkEOxumgTOhWdoe5sS2Z8T6A80ifB5h
vO9cB4sHuerOptBvLGPufu3qcrd4bAsRQxgSE9wsOYObz4uLUmQ6aYz1oGStD4ZxnkCcHOtHmzcz
0SfPm0HiLEh1h6y9tV/zaaV0gpS6OkRM2z6gk6dNwTV9o10onvSjj+SXCxdi8lpzqnr6WhgSQqkQ
FgdInyMHTOS7a8xd4fBt3fFyW1HtxrqyWYSzd02596Nm5r6mFOioEc0pErq6Ud/P37Nj2Y/R4nQo
ZwFVaCJ3D/WreWNP7JoPg7zDO1cot9fWRjn2qRWQ7RFmXuN9p9yGpHvySgSdIe3lHckVCj7KA8qK
gMBvmKoBNdUAQ7qs2qKR5ND6oB6nLUOrZUNPc82+1YzUCZ260yj4txak/bfEbu9d6V7R2c9wTsAw
a5xiPpnWPC2Fh2o0X/x4tJ2NsmAsutwbT8ugkD3pRpHWvIIdG74xpm/Q79Yj+B+/AvAM4KS/057/
lk8iSIORAszNvpjWx6A9RxiGnnVMSUybJQim1F5AAuYLhU2kDoU4IYGJ+nOk5XS3+OOY+DhtfZ9O
Q3AV0C9ldhsQVPz7r3knbjsBxIffoqo2dDZiKxp8zcBaAmGl+amUdbvx1YD7sQy0s9Mk95Ck0gCa
KbTy4gb1NiPWkMzAT7hFFVU86BhscbZEFiNsvTXphiPAz3Pr1Hp671uQje6bq6xsRJxpv9u3PeAM
me8eXfSRpZADcLeZGgC8X2aZ2hLVwTlEFYiFim/qqdgwqf83e+e1HLmVrelX6QcYKPaGxy1MWia9
K94gWGQR3ns8/XxQH4Wq1C76cmLOlTqkJpOZCWys9dvoXhsS8zCl3NAOKkb0WLu+FZ490382muWT
UArNrUc18+uQR0a/Zpc2IgoYpWW9SxQRHwxhnfPYeZ1bUT1v/fVevjImSg39iWomn1PaHuZmRpqT
TLeLprkxSis5VKgKW3tfLWuA7HWnAxr7NqK8DAM7H5i5yw09ZlQJmZmQHSGvEImnNINNHUzxYJrZ
TRRdO3IPl7q6M0myO8cOW59TqdmJZpo9oQ3PuL8vIzPJfV0Mhsv+/TmozmGIzMqvk6H0p2WMd1EE
CCGUmnLHGFbJ7gGMoWnPqJSIpl6XC6Cu6m7WPI9CqUNvccKMfAFlO3fnerZgfjqEWlW0ovES3WeO
B9prswaNk7ZogVPIZF+U+X3D/nA0C4VemTyuD3Ca2rFQIY7MNQXvtjrTzaKSU6tqxC7XGHhLTT4q
q723Uouo5ZjMPTXh0au3JoR70qN74BSEcAd3dFrp2uQBe2VreLVqukpEZ1muhSQ4w9eQZzR0PGj7
xlXHrthFKjFHSVn357GalF1tt60HEPLeOZzbKMQXd1QZl5UFjKLBd4UAU3jmHF+jzcvdcBorvtvQ
wbmffoQWcdBZlt/2TG2sKN2wR8BGeviUu+lCGW24weQtwXSdztvrE9joJux71wjXKSApeQwqRD/p
OH04eK/qKmZFqzrda+xJDTLOn0QCS/UC3WG4UGqeNKchs6/qMW4YgHTBSS2/kGa4Ydy/ZZm17/t1
4JBo0qAh2aGYSz44LX0sqvFOyMkKZMi9sAB9+WmtO2fgP94Tu4XihG5SZbVPnk6/VxvV8SeTUd2o
eh/tkjsZyuA6c/6Vy/655TEf6HrPOK+ur/MI0BMBEG/0cfHBhs4xMoRetUbnIm5AMLl8hsW+rerq
oaXF1G977V3lgm9XkkIMPg2KiKN28FsCZYxxee6zcvHWJGEsQiji4ue2XWOR0O9ieFhXhsh+VFXP
qd8qK9lF6ECVwdqtIDwseQ9NyDVVhNhurNxZPLXujoPdOVQJmInfDEZLN1m1G7P4Bw4aApZGvvfF
krQUD5AqtZI3T5tokgLBNsj6OjktWklOnG4OQR9Nd926InKp1QVPb3Xsu3H2zMG6504NRCE1bj4d
RkCpLn2dPcp2ekH/B2YQFd+dWQdiXKYDxA7XQbWyJmbT5xwaaEudXAsSI+bn7fZrqq15V0TZlckZ
vVvRqXlIauW5Yizlvf8RoPm/WNWWRf2vsaqHqvzb1fs/YSj5qT+hKnxxtM0JhAT41oBr/gSrVKlt
3KBmqmjsAWp+YigpupKMQEBVpiP5dX8wlOI3JMk2zVRC8suM/wqrIgXyr2ARSUIbhmbahoC/5Pf9
4gOpBWMRaj3nmGSkPYfWgA6rsF4ygTKwLtXE7VZjcaeG0NJweRTxqgZDZX11a01g5VKVriVB9RtL
PqcyQc2lqAURxPNuUJYXe06vyNn1epy2bqJ2t/lCELJS2sbBHvVw3xNIsO9xSd7NsuKwmuNbc6nP
+iyQdWn9vCsVm0d21Zs0LiORM5xlAEDXP5a5ZrKNCvSrXZkeQtARrw3VzxC/Gfft/NTN25LFuuEn
qvZiNLrj6pNQkZClY9DHznvZgQ4tXYY6ZX6pkYZ7adTqQUIHIRH9mtirgvm9SqYDWsjBC4XzqvYO
01SPBpzqHps5cVMnHTldb4cNIQ5z4Zqh+pgv6nzr2NOPKR1qb+1UxR1XngakB771ta2emFYtz8zq
G0OzDykt1h6bbwqdZxzSJL4aMvITiiElgk7h1Et65Sw7wzxVZf2Zzrk4zUOdHHnpxB2liH01t+Zb
9OJx0LTwKGpkTa+rjGKOxcS4GbIo3iULj7U17U2vXlEG11md4UluH3i0KMcOP2PZVO1upRLMXXUJ
chYvflVmJmczM2ohOuFmRpRfN45+sjMWDmEN36Uz/Uir4qbU+RI3tHGuS/tgIwcIkllDWB23bj5D
xs2iInloityFU/jg2Kzohc1KU8BsueWoDfdtkr4ooXFOYqKyl0kqHjzY4o0bROBM2VEz2o/ciuOr
pLUmd46kRSNFP7KuSc0dirZ8og+wI2Mf3f/ocIY3iv261D0KlyXXPb1KQqQfGWOQykghySsBRNJu
Bj0OCFpkr5/Ku86CqXWShUm+N55bkTxqGgK+MlVPjbZ0HvuyjTQX7eOKlCQGxIj1uQyykUiN1X7q
DfCETtPhWeXdGMXHrq6OUlH2Qur3qHzRBiPb85JBrEHitOFJtJB8GVp9nubaXV/lqafSduX2pfJh
V99DUd4Zpfal9Arjpslz1p54xgqSBHZRbjLdVJS8xwaxndNMKlzdC859s4r32TjudJuPMDNDBMUg
HGo5tUczQyglKlMecUY+d6XCfb6OX4MADSzks0Kus0dt752dFq3X1BlTbKrBz8mhB06MxZWIBnR9
Zn3dLFPq0dnzzV6g6ou4Zq6qsoBWjStNoN5U5g5Dv/Us4vGZuTMO8jrKD0XXKV6KcPAkqvGCCvQx
6mgNY15cuQia7+Hi/AD0Cz1l0Xs/N6IPkNbBzYv1zsnktVoW+oGR4Fla8spRLDuwTJTWoHJUP65a
c9ApgDzLzDpZSqkHts2fJWfDPoD3E8U0J0HFD/mA6ZnbmznDKnt274g+6OK69boB8e3c1cKteuNH
U6hMsrY1M8kjTGzWhbMuXcAvFSMOpnJO9/OSP+PtB1iL55tm0NNgJQbRHdPu4ISq8Im0Gl0lm9AU
Rn1CdCjAZKGsAvG7Oh3bssvPjsX1Y3FLjINuPKp6c87J1fLa2fiw0NMF0Tq/JKE0/KVephO3HerV
zQLctTNbspG8In/rQHSng0jRh6iRedVqGpd2D1CyhFgjwohhsROoRddNJhmi/DyUq/5YRi3jQi9z
fqDv3Gyc+oBgIfsyEqHCYmE1QbW2uJPW9aANju4VSDNOZqvQHjnBLy+hdTHSmWiyUpI/1Zch+jHj
q8LnSVVyfoplc+rs6ttsKa8pfkxobWT2QufmdpbTAtjGgrNqrpZq33BbLLu8Z290bOsQ1Yo/Gf3i
EVvDiN2UWtDI5hNog3WtFTvAyac+nd8gNK712KLRU4Wzn6PmWcMV5YbLYED80utTYDcZNWqbgfJg
sUUOqlbjzMiK97BrjvVSfxsnqNC6UZwAWh+0KBSvdebs7FnPg8hQyZLBX+VGrZMEZriELEDiNhmy
68m0rquuf6gb8TpSdErzXX+IdPEWWeSV9Utl+x22Z1e31rcZse+umRs01yEztBZ3/RlZeOS2y6D6
Tp63kPUkJ8w2x1Csjhbnbi1u0sVpTouD1n9OdI02zabwnRWUfAr51BX270A1R3lWlflUzP2G3BAz
oY7J25hPqWvYVB63OBSsRMn90ZpBTQjUClJgVDQwy+ob2D/dqOdIU/JcP8R5d53Wxr1RYNsKO+L8
R5qvSfzS3KU2ecZXIKki7ywPFVbL0YIzSU2Li0007nY7kZAElOLaK96WYqRtNVN1gp3Rabi1Hj7r
M+t6ZfBmC9TTfl8t2dlqu6Aqil0h4/Uqb8yrtLXKp5VyCy8S0XxMi/wum/NnK45K/AvVhK60v4qK
KD+FOhS7zBCT95Ozeikdv0fK6zVOUlv3nbJ5h8BpPEMx6oBdWPpr1EqvrZfd5CBH14qDOic3TBRA
56nSBKoxgniG5k1iTY/aJr2SHTpcEvNMQFftMkbc2XU/XeTvXjY1+7aqrYNTojqbRfdo68qhkP2R
BAywyP7UNVriLek0H9psWoPIlmSLx9yYNN0jtFxqtE0twvdW0WhiHSHgM4dFkRIkZimRHWnfSD2g
Ft4POwL/XxPUYSwBDJqwPNJJfs4jsKdpbCxYLLN2QVZRJdXhRSQsd0irhkDR5BfX7OLNA0uMHZfX
axV2uF+TEZ+WCSoePTaRxvGhrT9EY2lg5O17b87eIOwvkzTOQG0fkq1ndWmqmPju8mDNTso20/zQ
VfLw8OwQlRetftcvpUuyafS2zrL2asf5kQzTg5o26kOeFfMer5iDmgw5S58PNE3mhzmd7iQSMa8e
VwztyTwGmaHcDCgecBmUn31sfEb0vAaVLT6HECevMTGJGivsz0hjlZvIOt0NViM8feUr1cO2OXA/
gKk1hVfl4SnGlfVMykaxK2tn5AlYsSqSUsz3ydw3jIyVVYKxTy7rZ7YY2pWWMfN08ZieHC7/XSWV
h2lB9ufWFA37aSE+OPt39jJcxNA9ZRryqYrVHZEeShSTyyXQSBryzBEhvw7s6qQspUU1n3WrRzNU
IJHRi+oRUDDCkax8n0r1YcWT0Hfm9ciYhFRbXPHZNSTPKw/dqrwvjboL7f627wvk1bkfOtNBKQGL
+ZFn5oA0kLhYRy30hg7llbPehwrIeW+k3si3cRonZHV099ABrTWkatrNiJVHPfQqzhF1WF+nVhbn
ZeliX0nzc5QYl2Ky9HM1OtddY6EWCpN7boRzk0/I4OryS0zp+miuSovQXwPX6QbY0Pl9XB3bS8dm
zzp6b2n296GBmwDd3Bti0W/yReyQRpLdSPpI15dXtd09W+v8qBtcRlW8unE+H8d5b5BiaqJZag2x
d6xi5pCaM291iic9jYAQ8kHgixwPpoZwRuMFXWWsO7dJTd1jtUHDQZrlfpmmhzxJvsULrJCxTqPX
RvKlWFSXmPM3Z3SurGq+T63cOubV+roq6ms3Gg94MA+OxI8Whzy4IU62Y5bWs1gfn4hAnRn9ULkv
/UWllLyuO9XLgQuXvAXcH/EjaItn81+KiFK5PF2vo2i+yNQ8xFZ0HXNcVTYQQaqJG71qPJV6Xw6r
8Itz6FY334xW+Hqo3qRhuAdWCmwDMnDN3GW+3WB5EABOtfHUjvUXiB49qNtFJD/obD2nUVddZeMq
9k0U7o302m4ZPMfSSAMUkm3QUBDjm+DzfmdU12WmYINoytRfe2XfG8pL27b5rbEOd7atf3OmIZjz
zdswH6cEG6KhnpQkORQtZWVqkUyByEsliNXuM5pOI9ZDFzx5GR5ozgWkl4h+2CCM9qKqOauPKgIq
tnyTOkvDsY56K7/0Ck1To6vP1M9ijV83080Y/bDGDpBN0XdVhJe4DesLfx87UszDFlhS6ZSdVhHm
aTSneFC8paXrxqzJShYrei70CjN6NGcAoW6cuzCsdoYNGQwc57YqywF9tXWUfLP74qoYOAaHQt/D
9g04QthNwpVKT04rtFR6bXPKVnYQMWwVibnvlSjIQ8aAdVQsL2n1uwhICR29N+ZM7Jw+gSj72yhR
GPG073SjpB6GKTNITOvRrEwkBCQj+Ubc/kBd9NhPWK2QemJTpgp5tirLNUsYY7NzcjfpfpTC3Fk0
gOLysXcO9ISbT8wUNK1eVgxtrmKEZ8jR63akabWFOYTJ2OwIWI2GXn1qo3LGcmV9Wr2zwESl6TnP
liiwnR6QKjNoX47whlfg3gQz1wcqGRdufu1YhZU7KYlfx7Mgryx9x32TkX0a3/foIXfDYAO/dblF
TJx5m5lIOqw+RbTLAMSNNRnxYSiax7zLQLSyhm5b52vo2mMcneUUHdZYd7BV6XtLj2yfCozeNa2J
opgM+UPjcAFZFqtmlu2qgS2qULNP+OALoYtihxiAGt7usSzH7k7C05yVuTI8tYqfokZeV8tnFF+h
596r2YpgwfkOjfc2VMVV7sTnqRrunLBAQdzghU2L1B/zZW/hgfT00niGlwT/lVd6mwLu12gh1E75
wE7c+TIEFYxHauBl2t03Dg9Y7EJXiUlk3DhwHNRS7OZqPhnquOmh6V3rowpw3/pcGrAIjV89sVDG
g32XWNEztnyoMgCGUIHUGku18RN0eogpVj+f2+s2zFZ3cD7iObwulXLPLXBQZYmjtrWCshkfgAAu
0dwjUKzYctrTWIGfhrV51zBVJwPe7eQ7dz5ouunc4Aq6boR5Ybeaz0huwIqdzjWHWXhxS4vowqiM
mwnfVPUjAjGZjAZ0HqteM7cPo6L9aDmO0zq7Tov+a8ClnbZdemiksrqmZj8shfwBnuyFOI8nGT/p
Gu4e+CRkj2u6X2tCLNOaINwOxjcja+sk5vwJeET4EabwbXzd5aqNYmSMjuMirzNaIlxbksydMRvh
xkKwVGq+g4F210Xd7Kspw0NhJtxruR44Caa237/EuDCf6yl9ltPKd548ymbuHiSNsBwqa+QPFQJA
9A640p0FtMAWXdBM/RnM/DkeJ8c1Z6RYhoI3GOPovW0lsMzNeESrfEyNafLNJjRcqqISfPfWrgNe
TkjeDfTcif5DIjpw3k8+ASRboHCkjalYDywyl8RfUDi9xAIMo+ccSX9xnUwl7unld1jyf/FZAzz1
X+Ozv9tI4GLifwLR8oN/QLTmbwCzpjRVKTj5fpITmr+BwWIv0U0JCCswuf2B0IrfrL8nz/ADqmHY
/Kc/EVqVL1QHubVxPVim+V9htL/XcfxqIqEcWqg0URsYXAzjL047asSMGcEzQqt2DhsSCZb8Ua52
c5eo1bmsMzYFXTQyiDRmUSetw11alChRhqR6s0gIvwx2al4E2idwNYxQqYycfdjHxJ1b0YuyhM2u
rYqLo7Pf67htCcKOwdnwn5g3eJuywxwv6WaEYF1Jou4IZImy26b7zQb7O45mb1PZWE5+bxMwmxkr
8RmL4xAZ76xIitlm1m4u/XiKNjYymY4hfPmsKKdWDRGwx0hEWsfsdpOVJDfpkDibc/wOYMPtYKr8
JMeTbxuV5PavjCCRwEa6qLIrsGsKHBthXdVNccwKiURDrtMltCzonWG9S+LMvhjDCNq5jpdEH/eL
QOYfsqGnxvgdB8ILWKD51uMK8NAeOLuhw/irkNijhKYdsK8UG2MsAzMbzJdoexZHitlCE7ItpH1+
neEecKshnbHImqe1C5FApHhcE72LgyxMbk0tlAe1ziThHE60n9qFAIHoedKi7NJjkgnWjrpltGnZ
vik0c19MHRHl2tXgDAoGlUiHd4M/TdfoiBzP8AqB30amTn6XNAKsUknTa8tYCQWx+49iWrvbzEl3
Rt6Xzxouhz1zT3XUJ/k+Co2v2IaIpBNbPuq1lp6NsYk+irQe0Pp02U6xCZkppyLZT4QNBNaY9S4z
Z+GGBQkJWbPob8oquQDNGrm3qZdX+ZAm57FZjV084GZCy6j5BbIgV6sBH61ewZ0R5ZrjgrswAiwI
rBYrK901Ci2PsI14r1sW/nRJ5eupF8bo6UN5k0HpPuf20vtFJx0/VwYcg73T3oKtKPd9tsQvq6GR
DyKM7JzqvXUC9ehxUA32Po4JRDUzns5hnCHemcCOfTh+iv6iZ7m22f/EtP3/fK4qFvFFDtrhf3+0
uu8ffzu//yLT/uUn/zxbVd2goEl1VAdH7U+HKwY92C+i5ZFfY9TjofjH4ar+tgUo8SAU2ARNDr8/
D1eJ8JskZix6KpwaD/P/5nDVnc2B9+vhCgKP3Y+mSVy+UGG/8l9jXhU6IlbCza0OoGCWArEXDh1n
mDVPlyU2i7aYPWdz8iRKnQWNSKJTvpkh0E78QMeJmmDCpBFr5W0pazsjpAGHEM/57ZRBdWA7qJoS
rcv8cmi/ZfzkQe3b/ZoUNcpVfEfV5kCqrO5bm0XXtJRG1PYxa3NG3CKKIZsZ/05DsAzxAPZjtnmb
NExOconPsZh2+G22e4c7zVDW4dBs3igNk5Q6Vd/7VFX3Ckk5op1xnsXWU2kifhW43t28ks8Fww2K
EpTTVW1AQrCdlMamQ1Lj0nOaHK4Kd5/Iq0B3oAUiSob2TgTes8z4K5Bm1H61mCSqKE4F67wpj0mh
1eqFWtApC4ljMCMX+z+ACjdtVIDMqt3Q3ZDFzzFCiMQozFNXjY+xIq8SpSj9WifCCEqbYjg1C8aK
6ClSh54sMSGfiYrhAHZN9EzHwaz32hLMQyMf18m5Hp01KEEsrD76RMByjPFveXNM4V1tZMtJTCHv
tFsbj3recauPSs61Go/+oPcvioZkaG7iV4L/PgvsW89LOd8itTxyOhG1ZaXZPrZa6ANCOvwEMtQN
ozYB26QI2Sg5o9YmVXxSkMgcsKugw+PnDmp+HbUxV4debaExr2TYxL41FbZP/M60L7rqPpfl25Dh
tdOFelVAE7q9pj6mzRal01LuC4BSekNOkmFVTbd1CTAby7VBJR9faSWlc/2opHdL3z81JbkM+OuK
o4kbN9XaqzjcDNXYI8nG+3AiEC8rDfdWHX0CxhyTMcfrpi6XrpoWwM8a5A7BHzh+nrjDqEeBM5Ys
T/1Vx4IIsFA515a5DKdGqNUe6ppvybTno4NiDB1LTmtDn7wqw9zu5gFVakiHByJK7UUWlE7FcrnR
exxipoYkr04RfZbCQsozttu4rd8QVTMiZ13IKJuTH53uHMuwtk56ymezxFmDRGuFIu1FtMtQ8vjT
RE6E5lBgGK+tto/tYTlHNrkP5Sy+S92ug9ZebsYyDQieuqWBMFCbCrY4V47GmLGjzF+JuUHgmiFc
7uH9vG7M9Kx8ZCTYw6GtV12KMf3GyTRSGfTem/L6HrUPBvYYs+Qm0Vq3a3tawWtB1iANq53dg7k3
FfmZ+jJ/1vFEiM78jb/LdnOzyoEc2aoVx6qCSKAc7EFiHuJ6tU/rsiaHVs3qQF0jbJ5Ak8FsJrf1
sD53nXGN4Me42PPypubjgcENVRwGJLeyYDkiWYznREsrfxbkOFlTfIGjtWgiyh+bcrzOIBTgF2I0
7Yxmh9lyrggfRqpTiq+sSx+zssNL1yovfVG/j1ES71ZthpiO9I8sjOtjMyI6rbn3fG5ywb02Iohp
FcvvlmH2ASKKwBHT8jpO6qHOxXViJy9dCFaXWxoNMVV+k8dAC1XaiUOqEeQzgxBwiF7LuHgsZmkj
w5fP0wpHO2Poklu4yWg0X/lAbEDbyPui0flIcsVkhkEcs3IGV6E6eCn0Nlf9dc+Zgx9SO5szJxMQ
N+xwSGyLg4bRy9YGsVVupKdJTPJmXoroaC3yqNvlO0FFBzkrNp83QT5dlz2ESxmoaXirF5l9dEr1
ucsYHttJALbSWeUW7YLCrB6FH+viSxZ4NB0z+TB6+3myox+O0XaeRUieWU3lVbRmV4CQk5876+rb
A/IozUCQl6c9v2kC3BEV5TH8ltbXq+hSWWbBw0J+H6cWQl27HYbxEwpt3zWqYBAjW6XRmntYocYd
S+gzpxhsz4i7nSbBhjQyKg6DhrIuRQbALyU/y8CVvJjwejVCjbSxv0GLmq612JOfLsWOViUU1tTH
nDVZ/VhSCHNSWt9qdc722WYDIpbnIVacT8MZ3rE6HerCOA1WBNnZFrsUK18iCoRxwthTPVszyg+u
oeunMemf4T5VDy/Id2OS56ZR3+jOgRvu7ey67PSX0FTp8stJoCgXdBOjBVSgFY9qbV4qJ+KvxgUc
cPITlIdTIizWXVcRGJT3GAPEXF301bjl439Oarl6yRKrbrO5PFsttTHs4fzUTVw7hZVzVeAK1RzI
8zZZbq2WVwlN7Dh8l0/x767SgWA+idHU2BSoWHER1rb21SLS7x2m1JBPM7dHXKo6flXyqKVHPKzu
D2kd4+Spr52Edo0Zn6s5Nd+rNWZv2DywaZp8tZsrdtr8sWWMgV4gbAVUlSe5mWnHjQelLLzzncHs
z87mwJWbF7dUufIRgDxEKzq4kSsU5z7AeNZtTNBm8F02q2+jRGVQOQnriFayXuEIjiMYz6otX0QH
vQ1Ocb3gHs665Cs3WyKdkIvYm8O427zGw+Y6XrAf//dAw/8zSRR/DqzMff8aRXDf/3afvCvPQxn9
7fF9+BlL+OU3/DHyWki0VJ1cWgsYAELqT8WX+ZtBvJyuOVtkjWb8mUkhxTbXavxbkC4q703EYP+D
J9i/mZpA4gFCYRpb2+J/hSds7r+fB16yMIDAmMct0puYu/+CJsRJsbYjGXuHSkE20unVDRvfRIqR
3gUL4cf8r+rv2BNRJP88B2NDr355SeRtBnM+nwjrPv/4dcZuSz2vy9whfi4iSkAsQR0RJNpm/6Go
SLVYC/7hhWzd4CVUjc/S/ov10oHmWyAwzEOlTiQzOI2J+Kfwsiyy90UeSsanGdu/orbR6yyltUP7
ShjsZJovagdYYRHlhNVflo8Ybgp8NHoP9QoXROKzeST9Mvf4nNRLk9XKW8Q+/u4weXvLpH9EhfjO
3DS9GCY78dQs5TOy6eiMPx9LmzaeUs3qJpcNKcU0NjXMXGlyZ1fDo0gb66mIOirDRtUebjFnG75j
Ao1Agh1KG2siUql13zuPRcxmkuqAoBhdD4vTjm5j5NfCbOqgLMtH3I1ZgMz9nKTQ8UPZn2LRhW5U
tfh2hudyWBYORvugFPE7zkUfRLch0K5Ez2bFH06SHDsruiUrDDIt1t6KaNlX2e9pgir8/RR7ZR/6
zgjcUZPh2FfaKWKs2mk6viYAU8MbCC/11phdRyMCADO+nPZErzW+lpkg0RlGbye+javmO4Pax5ig
tlstugga89Dql3TotE3dClmhRjehTiVNkwGXz8hxamJJYru50pLuYlrp27qqRFmUKvqWATWORRCF
PbH5k16QTO1hyUt/yfIBLw2mrhAjInayG424ibLrrxdLYwchVGRYXhMabHddr6UebkAkLZuNRtTx
M5kmKHgSi5TP5A0ZkKdKZZdpyCKRrHklpVMKZJaL/w/LgToshPXCBk6WoGuvqk9lEdZ7Wyt2jE6Y
yQW+w0T70awrgVwNTzEzUyyYNOWzUshCWNv5usjFJXUM62Dk8beklE/hoj2iVkgV11HXI0+2XWsV
pC+ml7GRiF36/sEeIESQjUC7t7Dt8S172qupjzdVlAy7pcTJZCcktqC2nKk86TB+yPpRaMR8TusS
6IJ3bFM2Gkx4S31NHR8croU59SGxrxy1ZTG05X1SRAR/zBd0RreloZx7xDboViIdfky95DzPL0CE
rFtYMvw+FqS4lEz9VYcyXFEiMxDG0Dyk9vBkbh6gAvpzjwYx2SP60/ZK5gC1F9MjkYNbhgTiz4YG
w6nHiwnZJfZ2ll8ppryrVp6eVdOiaF8PHR+lCz7wkSutyp8spkOWi8e4Q9lMd+PWc+6wsOEL3Ox8
caCvlsLGniE9gqt6nXSCHArhOH6ptLcJxy9y/fFQ9rBACLjYv7Ao70o9CyRtwzi+++1OJvuLGN/v
ZkL83zRSbZHhLF1sEo7nujXPa6Ez+k/x4pnR1rsrB96Pgfqmm4cTdUTNflXI+lWK9GmcGGX1AW2/
MoRXTSQUr5qYDiItttxOyZ8VLVX2SRt/LZW4F1m0eDhIBgqoxPAfos5+5R4sG6u8+vOh+ZcHgkBg
EWu1bh4KWMJV8ncr3356WN7+/aT/2ZL+6ysgLubzEdKWgseOg/ebp97PWfMo+gRWxXWmA6K7SS25
l2b2H7Lgf33E/MNL/NV0by2EE/aJnA99E8YezD6wrJAv1A89/vv38nvh158Ps7+/EqlzYFbEWJl0
Bv/6ZiI9rFQVDd4hHZWXEdSLo3K8xqhtetJMwd4r/aEwhCAMpz+srcAjJ+LToupkXyox2h8pPnp9
veu4vugTYAdtREuK0LBfSvO9rLu7f/8H/8MnYwsk/vQVkAWAxPyv1NI6ki5Fuud8UI1N2/cCo8va
Wrn//lXgNH5+9PKx8DKaYQMagmzx8Wxjx8f7fUKwDild/6fK5ICOh+9YIay10sx6N/ZGeZ0VCfnK
/bDTYmNHadWAFoZtMCu6ryTDKauHSIHIa3AVKWXQGigtm2jdR0hWP6ra1gOrnUhJZevciYosqNGI
hd93BNEW440hVL/NjC85qge2HlKWxXSfqMYrkvFTRA4S8qr1nmZTDrlCYOYwYrkfSvmY/V/uzmQ5
biTLor9SP4A0zA5sYw7GwHncwEhRwjw4ZuDr+7g61SkxVSmT9apqk2YyJQUGAnB//t695zZtvZDk
ZE82LsXY7p4bUoeXmlYOyzYXtoIlQShysb4Q1fzCjPTzMMiW3dtp9m7hXVI3BJtM6cIKfmORIWRz
p+Y28avHQrcuy0rug77eOEgUl5yab20r+CQofoCpzKteL6ztP9/+n33JUNB0ah4D6sVHFb9k/pO7
HIygdd6glkAZfWHOwS++459eBGYabCzXsh1XWQm++4oH2lpJOlLGWQ4KsuGhGxJ2eO8Xy9HXNJAf
XjCeJEg4tHhNJm5/Qy/Wpl1PhRWwWsBIWGq9duk7k9z3skZMm9SX5igJFxzaTe7bd1iP58VgooID
vy2WkXLYCMQnboWu3s6MZu/VckAaBGYoSzv/oejNX1S3P3vyv/t9P5IbI5/2Qs/2uKvH+rVj7+w0
/QFtB4nib//8Lat36G93xqVd7Rie4ox8eMdIRPYMw5TTzs4E6CLDy5ZF2pMPWI9Apq23ghjz37+i
w2mFAFg67rb3YbHDO+UwMuGt5hQar/p+Rt+hX3Y9nUyI1luEdPH/fv2/NU/5jzk+/gky5Jjx78+O
TKCL6F+78vX7U+NfP/jtyOj+ocOMMxWw8IcBtP0Hf/RtFwUb74PH0enbjET/A7YMg2fGKrb9v2fJ
Pw+MoG4YTbM3gSBRBz3P+J0ZyY+vvXrODLADnECZxJAGJT48dZSO8WjKHrO+SUPOuURNqvIofrG4
/PgW/f0qH560ouwmP3QHfz90r3X/pOevLUmlVfz+3b3/SSnyIYD7b9f5eETsAyN2m4brMPFMVkPq
02DORqYEUaeMIPE69BmVoFiOiPfpybTNngEKfgrgUQGPEJR3SoFdmuMv3rSff37O94bByZWS6cfF
1YwYghFp6+9D89lBj0QXB+15cRha+f+8kvpNvlvGo4r9rnP4PuvRfPIG8yYMEdcW7IBImgGD/fMN
/3HN+vN+c+pH2aILl2rzx6sxY0/cSZf+3k+1tdVmn8esedL74ioth9dqyH4R8vIhE+hv36/4cL1M
YTQgy/h7yhztsSNefVHcwjanMf+sXVgcKX6r8vz7B/zw4IYRvM0x4osbfBzD0Dk8CcPtF1XnT5+O
v+7ixz3G78fGS0ouojNvqO2V1XDGspAqtP3un7+vn77tfF00IhzHsr0PxNyq5/EggMbfG2gBOAxo
ESTE38ud+3rPyLZS7FWqCWGrXtf3jyCcCTol6GaBdtufI5+0m1L79M+f48czx9dL2JSMrJuG71iW
9aFY8cNgjqMIxIimM8/snrvhF0/aT27UDxcwf/wMRpjWWR9ygabe2MnnMTgAs/zFy0Pxxr/y/ZZv
C8C2hIG5Bh1B0g4/PF1FM4R2UwMjQu7aLazOzEHdzOh6kZuAJto2uBo4Fx7J374BSkauqa1Ny0rZ
XwBK7MtCpzOe9UcRJTRIzHuXEVvfiV3mzoQv0AUwrSfDDoOVHdbhInDcgWASNMQPVj1cemN+QCdE
pAfV4FJOKJ4rplSLYbbCFb71R89i1qX37syUqa2UF4/6Fsm8DwOlGl4zUYTrGR0r8nFmmAGfFK+U
Xg4cMd3hkbaci4HM4WjN1rcziVJYxGm7d8cEAPuANjiQwwy4Qng3w6RhURdZ19B2wRaZSVQ2EYW7
nWjNSur2RGNnpAMeKHBTOWRPQd0m24xJ6xKm12pq6ZwJGwojQ1t5U5tO8IKGs9ikOtWk7BmPBTON
vkrE23qwy+MUpHjSgecg5owWJnpDpOEt3fx86A9dOsZnu0EandmiBWICfCiuDbVxVMBhIwfTXBqb
/Z4ZySVtshXCYHfXJ9m8dqK4X+vGdCv7plpBhQVi2jfD2qmCnWytLWp6weW6bQK781Ernc/ulMil
39ZfoGcxgjGK6djSX8F+OuZ0tVCrOkWKdLo35JmohW7bNjUTotnf6d3kfpIQqTE5YSxIy0deyufe
8jb0fpHhNDET00Ar37TceDe1el4zoSAaJM0f+giOQybHp0yQ+B4Y6ZeuCpABuA66q7Ft97YjzrVb
y7NnYYlF0NBuqoyc4ArSycILp0MuXA5MQchhis5bnYhkReOSUVdB8lObVeUK7lDOkMLCIehUNvY7
aB1GFpEOOFTZmzdXLN0Z47sIquQ9imHgZ0D3EZi11X7w6vBMDI29hPkyLrOxvPUmCpPQGp5HXKeW
xoB1YEdaWBZbfJSZdKwy2k6x9mBX+a4tIu/N04Y3NAzFClZquYH86EIBjV4qvx13+BqvnbDsjkGa
3GszvagSDtZtVxLvZJJAlcelBMQxdDSJ9Hs9Lse90Vpf8nGWG2TVLnYptPbRhHe2iA2ymQKmLU4T
vaEjLhaDh3jL62kGFkETwsG0nEOTSdzWWbmNWo0jel9vx5FkBUx1KomnQTSt+dpCGV42RtgNiANk
u4Ifet9hrcIXA9s5Ft7E1B3hE6JVuMduSycchZqF23GbFpggK087JmN677cgp0joexEOIyMLMN8W
KfNd2BHoxazpZUJpFykmp996CvOSvI1doy1Ingsv+bLINLCj/hRBwbypUpfU5oJlopzs4KJvcCXq
aRZvU9TM26TWnZ1DfgTkOnk1OjqkNCzhuofTeWYNwCru2lO+jJV7vMJGPhXRDj39Fz7UjuDTkWva
XzCJ4Tu3oPVhRA+ZEILKifLVhFMdNKu7cpOSV0jpchOl0E0rzI84jjKl3Y1H3AnpVz3vNOw90e5J
ZwFaGEe3rtL+kiJo7GKlB04SwBQIhCelFDaVZthW6mFr0LagEzLAFiJaz1JeJuUE7mfgzdAz5zwz
gb/oEtordWij8vHQEWee8zRq1qe57e5IuLvp3WFYsriyeHbmU0YmeDeiiieqCBxgV7oYDKpoVSSe
tTC1ItuME+8n9DGeyAQmWyesY5TAlEzMPsD2B/O1G3EL9yX2WduXMRHdyhKQ1NHVYIkTgWfXdV2h
U0rqTRcaA/eLQSMERAOaOHTtGS6w5XUepDaPxoekTZpR1F9Mob2TqLBZfsHojvMua8GJW8gVsUxL
QEfZKo48DKWDDQtc9Muhb++HusVuUNhYITvnYtZ1fBdGfGx7KVeDcI95Fj142uRg34ExoJmYixze
311bA5WaOj5VDN8IzhW859p5xE9whleBmMgt3vy4KJepyeSFEG+G+nOYr+c2m/exQ8TI3ESKfwcP
THb+1RD7T05T3yVa364KoF9lozdLcLb1tnZc/aLBDbFo2uZxribMkYmNLxJDNi7iAMLwWOeKDJIy
qu+hC2GMOsc2yiwHHgoeCxLrM9ndOXqLbF/a2ro19dsw6a9bz9qVTcKEJK4/ES+y0WAg4EiRl3M2
P1ox7C/H9G/KAAEA4ix2lYFnQhpvlWNj44NSCL3Ff4W5tYvz/HXu8ZGJQvjr0mifatHDqiOFqZQs
QW5dbqVwzqkM1zQ4runSf9agR65mP9siM3ga03JXT6bGSDhJcLa056hqIUGlg38vAAGxN7jNzlDT
IdlWCDnIg/MzdBxRXdXnUTinOgmf+BUubQeDThlIvvwKdqY5hSPq9/TVn9MXSx8XwQjU2cJ11TeS
IDqnv/LwCZZTfmjK8QmXIuBwBxATm58Ta9uKLa6PDzEEwihQCxWeBYs6tnrRBpDxwsf8qFW7NgS4
5+gPVoJrL9P8g2vBdw/8Kz2blN9rPaTi1LY60zRI2mP0buEJLqZrLzdWg8cS7ulLg9A9jdCvyAku
Ks87a22wLdAuc0LZjdx2cgAWXj0c3Xmflg9zEA3wgB38YW1W7tzYIpAKSCN8Pj0znj0ELAuztq6Q
Sd8zUBgC5olaBcirl1/aCNdSAEEtY4VpobiHwliPBTF9gsqsAHalYeAsPGLhGGNM6LgXWjDo1yZY
lqAoDvMY7WAkRmvXXIBzySxisUy/2aOWksgd2F5WYfKqedOuCp604AwxFr0rtrYKuH4RUNgMt9bU
fa4kj0zJI04NkwKB0/1Vggmjn6vHEZ6zdVNDMShLFAhpNkIBAGMaVEw/g1GcZOJ8oau4sOr5Ak7d
e4znlHVEv+kHnhbF+aMKxk04OS7iWv89UTRA7Df7yTa3SVQdnUZhOBQ5kKTT50SxBB0NtmKO8w6B
+nJWuMFZgQeRau3pngMYSwEzgSbsuuGm0vvnSEELNd0EzdVRg4E72BVDiP9VQQ5bO7i1FPbQKJMb
JkrYNjKQiHU1nQcFSZwibpjCJmJGrnehQim6CqrIHy9yhVnEHJChtcLlPwVw6myFYwSr9SAVoLHV
qte8MGacZ7h2m36ello9fRqclmhJSFRmpdiF5luj0I+AXq1Frv65UYEhjaF8Z6qYbVLor2jZUDdH
cCR1BZQsFVoySGj6ywh9vU7vACd7d5OSW7g0yGMYOwWnNGLEJvAqMSyDxagFdaRQOMtRgS1tPUIM
AutyspHahNAvUdTXBwMeZgEX0+Pa0OFBZXolqhG4x/PS8Mq3TAE1HciaHfUoKpwrovAaaALeHXkM
L3XjX+UwOcPI0JfSFsh3QmYUkEtgvJvyVMPytDubvVXhPWc4nznz15Wl0J9tSAmB/udlVFhQ6SlA
aOQvO5GdhxpdFQRRgDaXMUTRWg/wlgfivYM1Kpr4cRa03EvpXGrQSF1XuzOgk5rBsTZvNe9SjJik
bb88+0m2FfBMCwU2xZx1OSvUqfR9QuxIEQXZoN1a8FDZewCjKkQqjx5DznR8Rz6Hm1CBVMHNwFQ1
qx4kKOohrQW42jVeuhuyZK/DYtUKoKwOdFa96g9S4VpbyBSE1ZvtLnfKCOwEWFfRdMPK1KHTxCUL
Nc7BnSbG98QuX0a7fjYVHnZMBW5LgLGuWp/1rxTZpFljjYpWpmLM+rmOhkBxZxNFoM267sw/6S/L
ibAoILUFysF1ori16PunfZliB1VMWx24bWx7p1TRbh3FvY0UAXdIfJSJ2bDXmulRxnymClxuNFk5
TSkIuqFi6XY4DLwUum5t5DvZJ+S2Ad41JLGyaeddeEy+G48dFT1yjjgOXm8PuDcpHOg6iuUbAvVF
EvrsSIyhQ5+Pa7hlzS8aDeZPTuh0GWg1/NkZ+tAESIJuLlxBZyjqCU5cQSKG3Yq27z5YRSCQb6AO
LYBUr2g8nqJ1fR1v4g2sxz0RpH82H3+r6fxflrHzTZdk6tzXf9+dPrP6/esu6l5/quP/+sPfOtQ0
lWmjwDMTX4X8NNa+Yaw8+OkAxz2axKrZTCfkzx61Yf5hfG0fU1dSYNHt+T9Rk2H8YekMnnkCTKKl
IVn9To/6Y39MqNY0FwD6rojO7ofuqaxFh8ydqdsstiXKWD89lRTQWfvy3c35SftYdQ//ascIT12H
8Rqtdd2gG/Nxyum1nDG7lOvgAEItREFqmNE5alDE6C3I7UnWq8qJ81/0gdhw/3ZhPPLcW4/Zqkmm
0IcPKJzco1mq5XuJgpvykNYNaN1tOOQoVpnQnOLe1Rd4wa4aqX/OhxbdPgqDQgMMF0rrmE7ps+vO
p6SlwRPIEJgyhY0Ej7FyY8pVKDknh12zrP1VmSfWTo5lt/YQOy05ceDdSaS/M1Pya7oYGG8Qki8d
opY6G7M23IjaIc8jz4p9oGFnapP5nu5HhBnBgETtT2Iv9RY5RVDepXZl7mw/Vu0oJuC1qHjtASXp
y3A015yQVobP+aNs9W0fAlgwGs4IfSDfC2TuGyLF3ttyrIBGMgZrfZfgDHCLES2GDaOLeiv0flpb
VuNu9WaiETR6oGwKDOKGdvIIsF3kubVJjBL1LBrPssbdxEF2r/X2FtPbbTZIzlN1cLTbqtoNKoW4
0KL7QdORbTgkJsckSYNUBzNciPiYuVAIUlFcF+hg0V/HN+2IVjzLhtcmrN4Y/LcIWoQGtwZ0o+d3
m2iuLlIz6zdTxqw50PPLuk5hU+g4cOcwprWTiBr/q9V5e48g2rltT8Ms5z1mKdjbXUwhR/QrkcsZ
+G9iBAsSwKE2RKYMN4RmQBWLbXMDmxvuE2CpsUr2RtmeyqJ/JuAEGI0HxVJk7qfRw7zgphKSC1Zp
YZfnvKcfUyLjjoqc+2NHj2Zct5wQJf2nIbiEb12uvUrehnb5WiQRJ/wAZBhEIDqHfoHKCLwbPATt
E4FVoFM0cgai1DhGVfXkclrv/LldgX0+6FZ0lfkVSaWaRzPNbdrlRD9vPeX6nm8Ei3wkSd6uwY0o
rbjXfZ57Qou8LvsCX9pbFUVwnejaJ96WK2HUV86o+op9sbQTH0BDiYFNo9VCVIF8spQA0MzltqhG
m+7JvJOpcBZTGQGaYVK8GB3IY1DJwuUoxJcgS25ExxZDv3Uz9PEFbjbJiY0DE+4HXOCN++zrQbF2
a/9YTvHWMKSzYkfNHmtwBaKqT4MVXFdDcZu3RCM0hL8vZiv5MlsoDVlvi61ENwo9gmZq0SNByE1T
W3sR+TFTgH4s6OPNnBTuCUkLEclRjWnCD7+QjCxwKU9ijYTIXcFgL9eBa98LyCg8RvIiDhP7ukff
hLeF6awldX3t9hV6B6t6IlvusjKgEE1lR/gedVKdgC2mxrrVKxiqQ9e4AKdfm2zVWPZwNioL2kHT
nN1OIHybG3lb6Dy0uVnln52smDnSd86mLVXbjlToi1bgKZkVFFNr6T7lU/rUeqXx1EXYKuw4eNCD
Gm1aOO2spHkRPhia3MXu15nYIlxbwpElDmvJ8Rt/uN6JFRZOAnjCEAquX9xpdR899R6Bl9i9u8cy
iHX89CmxwwEQlIZUFoCZlmng159K2T6ghXzGcXVBl3Mnwazs+iaEcje1pHvlHgZOHCjdVRPY1rpF
QqYFYXxhtVR/oK3iYeXYE2LJPP4S4VVfoMsmqK12LYJJh9uqrq40n0FgOWYnUkb4Ec+663w8QWUn
oZxG0Cd689mTlr4CWMFrmGfiMIwgpDOM/GwxsBamZv6FbOLHQYHamX7cID5M9YrZC9M+VzsToSPl
RBZG2e2mat583QB/q1L6DxvP2xQd/74AUrUPBVD8ufjXrvv89xm9+ulvFZD3h8Go3aeWsYlXMbjF
3yog8YeOedzx8O4zztL5mW8VkIuTkTQWn6ePYoeK568KyCGQRomVyashwVRY3u9UQPaHyScMAU65
PnlGRCGaHsTRD/W0XbJGhD2Qs0mCl83pXYP/w7eQZqm2q1tYOuXYEBUwXvXJ1F8BZOg3PqnY5JWB
ORhbFsy2JlrMy8Hx9zaUKLtp+iUviL+B1BKtE7VTmUX7jK62Wms92lEn1IOlGZr5JorjL7Gwb0Nh
Te8aLvuVGyFSIVeJprbVQ+clqGo1DnQup9G8gWSSLGU2wyNyCnKb1B7NBMJdk3cA1pCRURmE9xM5
d+s5KG46rNwL24nNO2sWF5HI2kcgYv4mjpLLBo0zNpga8tMoiAvOBujzWgjEpSZdysySjTBp7pa2
Zpx7Q7NvR1RhLEoJWdWY5eg5Wd4Kn/NT79rDIqIbwCowVGdhdelmdsSTp/oZcTXcOtN8hby1XnkI
rpaz7Vf7GK3vNpuMdZpU4WLECwLnyeEwRb4NeE3wXTJ8L2T2SBDLARIy5ETBsR3ExFbKr02nVN+E
vX6B3FQcino+RfYk3cM00rC3MKYQcSYu0na4TWRw42e5XOlFuW8aZKKeQdsyiSfym4ER4C6DWdKi
MUQKJYKz24Ne8cYZa2RRPKRJerAyZUQxQaDF5m1SJ4iG5MCXaJgmLO+Ocq2fe+UEkL5xbVp4hXZF
hLBpU0ijeM4zx/SWEfLFxUQH070AXteaz1qfO5e4CSGgjNFw7ZT9LeMRAl9t/x5BdbYjVA9cMulY
a4oJliZt3lSxR1XaIbGIa0HhhyN2roFx5p24LvNp5bkDEyWYmWYU3sx+Xx/QXD6VVQjp8JbmBB6X
sr/ESOdvZcyD2dCi2OEhJxEdis0uaSr7SteakM+HHYphyUVPlxtGtJkcwOgBW5qjXVB05XIoGuDJ
pKDgpcqXVmWQqdNZ73iG5t3XZG7MHSP9H0aJaWOQrJCLF7tBkQipHeRib16bExPP3PAfBjCgmL9M
Z+kK2oF+18A9iLu3PvEHdnqIbZWDarS1k/vIn3B1zeH1nEGvtrp9mJI6VFBprvvauEb2mGw4+1dQ
+O3moLSGF6OunTO73LhVl0OHcVFOWslTOxfaifvyEuiUT9Aj8qVrTtM2x/hHTw40omiwRlmpLJB5
0wXLpv3E/3qMCvdBp03C2KFbCYJ56TcUZzmSEm9QfWNnvZgoBqqse+dM8jLUJgNGzbri7klE2aZ9
4Qgtofc7U+z2ZxH0/LKNf2CECzI+VI1dhnkcF+WW9uUxxEd7JYdU4+SiT7uYwe/ayDFXFLom0y3I
RUlphqahqcx3w47fMjU8LOsAl2xxMuzqJTHsg9t3zpb7aqHobs/j3LFqdTY2hIQEqQbPMXxNeOLZ
fGtDE1r6MZFPgnqoCM3L0H6qnau4pA0n5KmatlZvfm5y+UW0IXzx6hRPb15F2UtwHI07FKVLg1pH
kFMM+GpXVUBrZKx9qgxww1gZDGfvlrvUTa3DWMZvael/6u3PAkzlAOy0S0+TM5V4Yo1DdY6i+D3t
DHp5mJirwjjk7oVftZdeRp6I24obTAtUPH3PkJO2eMf8LBbGq1sx4g568yBgw5E1uWTizorFzNpN
jNsqAb05YFoGOB88BbIoD5PZ7zKyEFUKSUk5Ob/pyNMNo7+cCdGMhlvp1adZuKxV+ghYGKG5b7Qb
Ead3U32UjXXMovy5psE/aOPNlID30hhKpW2M7Y1W4jzAWmRuMB6dCBxgXBJP6hjPrp1/xiNc7IKw
4cHCqyFbB16beVIZN3o9QEzVyQeJ+zNjaw4P02EUtbtliH6Oe4f0SlwjK8JOgdfbF/HsZetiVLxJ
J3J4hOS+gWR7I/T6xp/1Q2MZWw3ixKpp7Ou0oc9XZ/mJDUmsIe0h/62cT0HNxKcRHWxGiemw1ybe
4dQMlrib31wP2hrvFFZmzrjgKTAQaq41rDM7fMKk9EiiMwh3bz/as7v//erpv7bPREX678uslSqw
Fvzn+wrrrx4VP/utyLL+cCC94hOgmQM3At3OtyKLZhJTP6QmPn8Lo+L/iizynB1sSxY5YmiTEaDz
V39KIU1sdRyGyMLBg6Dy//zfKrI+dGHwy0EI5vo452xTt1UR/p10rgLKogk9s/c6erIkFND65G/W
8R8v8aGOrwe8XjifSfDRp00anqZBAqy6/O7e/6SNBWJeVYN/dbKoFlGG4ikUNO3wIzoKMP/9RyGg
Atu1Xdn7Jhrmuy6RX5BvEIkG8LEFo+CxMC/DWjvDtoAJKdwTe9RhVrRIuwnygwFAEnAyAEyQkq5i
SxYa+2mmeJODIk8OikHpKRqlOfcHwLA3PQHFwsVf1+s7TyuTNYfOB6GgwhpoSw/EpeOXLxrIS3ew
Ni0IzFKP7mj9y2UFHHPIoGTyI2cceJd2Y98KMJq+4mmGrbyLFWHTYgVY5d50CBR9k/BOC4hN/CRK
VDyiUYxOEKLLIqCtlELoWcygPKd4WjIAPWW52MRgPkvF++y/oj8LQ7v1FA1Un5hCMliCEFom9tFh
k6oUPbRXHFE0CBX8aIgPlqKMloo3ainyaKwYpLalXcSS2iL2rEe6D6gJFLEUa7e+BMNGbSoJgQp0
/SUfp2BlpoazrqCelhrJoxxD3lN4qL0Co6Y0TZoYii9VGniNCLYZkNnrcch3LqCi61mnTFeoVccL
hi2JXNR4cFi5f581l2wtBobhS6tgrbXCttrwWwcB8COD6EpgTUJnp9jhlo8ucvSai0KhLhJdp7mm
g5H1kD7xwOurgUZM7s0e3sH4bjIEI84cpqyiy6ZeeZ44LNN3gTybTPaXWrFoecmtfVDot/BfDQRk
aPXLaBAEElITNUF2iEn3AcsA4TZXwcW1ot42KU3+wPZoE9peCkl9pBTO04dU8XI1F/RCPoclgWFt
thzMvEOq5cmVJhgjWbk5r2fF301bAtkCkLwze7WZ9IhWNERW3Z0E3avhjMFYlz6PFYnbJXhfGjiq
FWmfzLolPFdU+AYI8gSVP99l4IHNjIOGr4jBgWIHm0Z4Gcdgovk+lQyv13tjaXuasTIYZROom9b4
EZpX2eEWa2FGQoWCVEwgug5sD3qxpjjGkSIaE9lzjBXj2FO04wzscZ8X1yRxj3tdEZFTxUbOgSR3
vHJHWxYbD3wyKWzpwYzIVaoUW9lRlGUJbtmKkeJlJgTmQrGYYTYSx6D4zJ0iNSOQFZC389OYjQSj
KJ6zHii3rGI8Tx2DeHq7FoFqzYVZ4ZhtEf4s0sq5iRUkOm7tXVk1AC0CTnLEZc0r3bHmUwfOYznI
EcSWmaElSYlVStK42WRltm8k0M4xDTX8nImFSbPV1llDd8yoCV4hwUpfDkZHf6v2JxAGprFOHA+F
DjQDuZjbHFRkOHdQXxRB3CtvYg7pj25kCZKkOMXlunFsJkaw/VirPBn8Oz4crR39HOjQlnXuk450
hBGLZ2TZJAn4DOQD29gOFNrE2DX2RnZRuY5jJOCBcB/DdP6CgIWkL7eGy9jyRV2lHMv2PZnZK+HF
+WNXAA5p4uKcWP5pZLIHLpeJZWvMnyy/25d2BC+wabYi9PKHzE2nkx/0AefoGjY9y9FXWjBRxwjM
q3cfM+nU58/Isr/UWhxsjKBmLZ3td6+BxjMGhrnD+0Ga/VhNtN27mHuYbuqwfpoHiHA+WTPU7Rrs
fAr9Ebnd5KE0Ap7ybGlDtYrpGy9EOGWb3CrfG/znoCG057w272ITVMHQlDBI0xFassYyqra4rRPL
bA+ig2NL5R6iumu2YQicLO+169kbH2qlbAOtu04ywBTWnF2PRXIcbV2gTJmgdlV9sjHylpUM9KR9
hZTIc3E9t9hly5i8o7SzmfAPtQ1vhDSMhdfo175LLIEWGa/W5CcnTk93Uc35xcfYCUSo2naZSHaJ
Q1CG7x1xofQby8W3pQ9ehAQm1xgUk2vqVe4umB0a5RNaM54LMyOxPdVPrdadMxPrLH35S4Jxd2gX
1lkP4oMB6j3ZJltphZdZgR8YtnZktyRMhTB5Zv098gT9BGfterSMbYBrS51uvleSRQ6jbBl4zsZs
WQxoAeIRDztumZ1QM4+SJCaUPVk/FNvJtT4PtddsMLqKFZwcvLDNdCY+1F60Du+xIUMG/RHRRhqA
JGjgiN+MB92dt7ndvAvhgDevfZ6IEee3DjSUBMz2PhoBZrQeULawtG5rF8xfbQoAFP1NIsSWb+wB
RbeHhRoJJborH98xgwCHpkih8Cihr60HCRo+cmwSe9PS2MQaQDUxM0FqWZOXUa8ju+iI45Nm9uQV
BZjcJn0Uc28enbDBieVxFpPBXY3+ftmHslsUyRCuAYPyeZgYOFVTLwxjanfZOFdEe2H8xjq4D9Ae
QI0RD8no9GvizZO1gHS1tKXKgQNOcIGrdNuEFubfxNkCBu9osgwb0fVXCUPrBSFOYk0yFLORsp0O
UTrbi25AvRcG+jFB4rFoDGvaQjYXSz/KoqVvOg+Nhn4Vs3Y05zeeAQ5DL2eweAGePW/bB4hWgmw6
Vq3K+86bozUbtyG5d4u6bbfzmO80WM5WKOqLzn4TsfXsuOWpTPRdSlyVMLwDIejb2UErhkyL9RVB
kQ50JYd6m4erUYwPgRkd9WRAm+aFZCcIJJp2Nex1kiy2E09co8jYhJ/jIl5FXoJ3gqCwTq6IHPO6
hdSB7lYuP52zReWQXveGe91V8FXJKAA3U+SrNuh3enBBldVPTbD2pA6MtrejCwTD0SaLjXyjVYN7
70Sdywoc08MCdlSS5FA3nMWHB45Yb7AfaXOBwl1k4fQJWKPYpL4kcVU3OT2V9bJyjCMb5kYYERpV
LXpntYptRmGNVq8NV78ii+K2wJe4ak2E6MiUL1CpXY1Rcx8a+psXd9u+Mx9JtDzrRbedh4zBlnyR
aG2idDUkxgJZNIo3E7UGn3PReNWzIfHAjwbac2MvGd+wJ8u23CVl9ihr2CgBciNm2NyBIuJFz46N
HT/6dWnQnwrdnUK7MP46MtHWFl2Qr7WqeZjj6jQMZzjYsOf7XSDpR4RUzgB/hkOqWYdWl89AgnZj
Lw5lmr5TsSxzNDOITAgPyabnOZ4A+Bi73AZ7kMwpIuEZ5bPOUuvEenXhpCaZg0yJ7XDTes4K7+iq
8oNtkKI/jAJ/A19a6ceaWy1kpbC1XCzYEvJFPfbJChM5fv85iME75Q80lPNz1AdkKfJ6NUzHeJuy
5hNSQtqBg7sFPoKMaONoCPCsbK+zbJXoNpNgWHPgXkg2AsLa8HIhJ9dIPUNmllNfX5LkdnKSrRN8
Qgr/IAgBdpuDVoxEU9T1pq87Nlzxas7HRKTnMeGhRa6aCqX7s1EVEbNM13a+68v6PimCFz1uj+QJ
MR6fNXItQoJiGTdecHrHS+Vnz3mLJNxENznTmkIM/kqJbqJzEkS0iPCUUmSRh8pcVEmtZXtVNo/E
Qx6hCy2aVCEwAP7QZdP3Xd6TmDlZr11ndlceS80UnsfBSnepBrk6ylErTbYkSTX1F4KGYad6LPgK
5qUQYIWHUGfMNLRXstnSqGQBcchXNFWKabUNbZoefIMESHYM94L4KU8bnz5be9V7zRuDzU9mE28t
TLmrqreU3s+7NGdXh9jwkM9Kp2jqu5D3tka/Wzno3qImgC+W40XoYRP3jOoF+Uw1ca+dS1/OLu7o
koZ03ruCd4bSyc0uUFDQihmsEckaMOcu9QX8gPxzSEjITH7gAiD3yOKVoaPpunXnp7imyxuTSByU
ALBJM3mIdXhQzKeAnlZsTQkK3lPZBwwSy5Mn4V2r/vecq+xlcSt0bTdW5bp1/M9RXt9XKRJXd0Zd
NMQbbF23FvCnhYRDywaCag800zlvAwZ59GT0SCMbe3ZP/ly/jdH8JTY1WndEiTSZtyHg0F9LSeaL
FTr5Yp7Fa+qJhxzkU2UmK72JkPxm+LlrWdNQK+TaaOZdQNm55Wx0n1geu5GaGNjkZSx5nP+HtPNo
rhsJtvQvQgS82V4POlGkSJkNQlKr4b3Hr58Pem9auCAGGEm96EWzA3mrKiurKvPkOdDWpieJi/yu
qQCQSWbzLVET+QxjBP+5ghtFiNgx/X2iWK9uRkVY7Jz3sRLScm54t7B80blBChxcX/eZ7zwmrv+P
G0VHsQEJZ6WuC92b94ULM5zpcHblAuV12mgQ6G5NpI7p3SEPyhsqF8FzGyM8tJSPg648dmYOPZUB
g1V+KLjuG67LPdP44aQXJFNuaLp9bQwPfVjIpBythPildoHIBuFJ7LJbQa9wA7+21eYr2oM0wnsq
j57c2NMZcDcgFAQXGNLgr3mNlq+a/shU4X1hIEGc1cp7rQkePKVAY+hzkH3Rk+Qu8G6QMQD+cZ97
9UPjOQ90ZSRNDK+E6UOZp51NQbnPZSjfzey9hHiJaqdyAeoOkqpB+Q5k/f1Y1BaDDxmaSogipN8S
Ehb7ApCznwy8hgVPva9wh4onfNKA9INlpn2RuKZ3Sfei1tUnP3Y+dgYYTEW0K55XfeAd4r7/VJr1
Kx3GuwEFOXjpjS4m3Rl+bNT8KLbwOQjqQ4hEFw9ET3ntTR/Kxwet+qGkyj2Xsk/gOveK9E+K0gSI
iCOhDGp0xEBIQub0JugSOBOOg0NS8LgxvNc0LiE2oehc1kDdAaNBjaW9tIrpHD0JgfnWfOjll0aE
E8NV84NrwXLvB/Uz4O4bgd5+2Wu/Z6GLHKP/Rb2LVOs+Tx2itAKwO1IfTDe9S33vIvUpRWHuZOBF
HHpcEG8vK9uKzUe5DqApsxof6C63nbqxPqME8pKTFz2I9EvtZK/7ALj729CxbQdJf/HE5Nkl3Quf
fXYH6VquOwcy5c6FtgH2HKwXOynjXfBelYSvSdE+VQiYgw6Izgm1r9YwTpmZnZWSVw/PNygT0rsW
xsImgZUvoYGndZA16LkY9ETH8SraSO4xd2mNck6m31NyaNxTQG8Fd95LFeknc0To9LnxPgw4oDT2
rq+/VNI713sqYMbapYH8T9o0j0Vg3FlIM7uu907UpEMiW3bn05+RMH9uZpzheFT3gVg/16hzZtWF
i+PnJk0+e2kUHymxfEwcC65nwXoOGqIgz/j62aju9CYFml41jxaltl3gyPea9RHlQhpJXArzvfSt
H4bHUD40qIAnCPrBtBEGzftSaC8u6jGykp7S0gXKWwZn3dQ/C23eHqRGeHIjk8qFjHT2gL5bENhd
F967avQ5DygxhirE0Zx9WS2+D4f0U1C4B3SagadS+Sk4NGjueO1041GFwj+xdiUSqAGzo0cDFNx7
nRKiADY0USDKLP8dodIeNxbwtBBVhHaH5kQXPLjQXgrm1yhCyZsVa1tOczMAS40TO4HR7tM6phTn
fWn6LDq70ldC+QW0f00Wx/g4iP8qwHMT8VtBdbbP2u9hav6jt86lr8AzxKgGt5n5KQmqBz2Q+S3k
PbldSO89mDh1CHD68p1ZyMXe1xDUHQAV+BD17GgQ/DC42mtS8r84ZEId6zOgQf04pPKHCFx6KmSP
ni7cZCR9KERHlFtIiFGh+yhoigcr7VDem5Dcp0H6wc1MbaRxTAGUB5RH8jAGJVXfpaCtJEGDJcTu
EsC0QvUouCFpQeld/2/XIjQDN3iqF7Ycuy+Aid53mXbnWGJyY5nxR4Cln0JZe1DihsbDittEbLUf
G1SOdp3uPgLCUPdm06tHsPxH3aeXofAhPW0LJTlj9R0VoPGxww3BpP690/L6U25Bj01+pTmMzbGE
5hTVHQdIk+fUdgTpNmAu9F3TFNpD6+x73b2mCz/ksMsOYkNnKDy4lOIE99aiZS83aThDEBEqIQtM
iFBHaHBwbAR6cJv3xSnTxXNqxqeqr374CqLEdENxSQrp3EOHBSGx/EfWF09+jkw4Ko4faQtOOO+V
e4174G9lo/8nSwxGgfQxrbQqEIfrLLGaM9VIgag21JZPVD/pRmNfsUzr+ehrKPBbM8q1mQLIPKQZ
Ad7UcymX79rgZd3ANXzyfw1o8ImAwIBYeqwdTLPduaznRVz7nGY/CkqtMD2VIqmMkxV8c57WTS0l
1q2JqfGnTGoETYjDqB6mBFo6nH8c68ZrXhBDsbSNBmRpbGGep/CnlkCdTC1BfAW+C4E4u1IuhnxR
uK4ox1a8VVqe2tJO9j+sj2x9EuHmvraX9Jpr5q2j0D/HtSuw0PIolfhZzj77uG6QmgabhYvAutVF
3xgphUaYuARxxrXVBsxNwgNJofWdd4xPm093WLewuGITC7OSi99kpdv1WIiakr4vcU9f2lkFll9k
xMV8A0I8fu3Nqk2szVyxoT6QokhOU276VNFzQQcrqP/360PaMjJzQovceuUA2Lbb98BjyYnRbOGk
G0QSyw5oWPooHgwiauS5nDqgVRYjwNtQbNrq0ge6G8r3wk1O9mzD05cX6JedWRQSvLYTYD0A+k/H
Dq/Km67Q413tuQ+ANSDwy8/rsyeNnvx2jX4ZnMUjPVE9LY+YPrLYofyhImOoHtBJUiAWMi7WuVI3
XHDZyX8ZHP8+CRqQpQsG7cfMZNi9Hzmpu0a6bAxq/NFrg5ptJBORJwolP31Cex6VjQ5H2Tw/3q6b
2RrJbDPJUdblAsUAW63yZzAsKMyFGxFhwR0IA5osA4aHTk6Z7SCe4NJgpZpiy9KNUNgll3t3L74M
3RYz3sIukshLjQA9Dfa0OeGVU0fVCLRS7CIUyabbHPiFcIREd33KFs2QTpBE2B4ACs7iOKArOsNC
T7Wj/Ah5NZRwzrFKN07AhXWRZNgjKaCjqUEXw7WH+U0MxzR4IrsnOWRZwPpF6X/QDf+fNK8/D1mJ
orKoQexhAUGchQNa5WrUBziPQE6gdQC1tRkd0J/emK6lkUzNzKKBTz2oQf+QCjlwxNBF3SoWN0ws
rIiswqXFdHFneEO0JdYBdIJQF9h9ZJ279OTKJx9cl/O/aNr/54wtDOXKzixMy13Q93DtYyc+kIeR
jY2dMm7p2Za/+v7Ms1qU3tCmERTbKIz3RWnXwM0F68O6+y4bIedLB44l4cDXnuUlqGbDMqvAtHbX
3Rr5Sf++bmB5NX4ZGGdxEhwBfFidnHE+l0DxfVrFUhB6kNZnUXj6fUsa3TXceGnugUP32lJRe9AX
0+lod3VxF2v3GQ+RKkG6EnWidUtLkza1NHNiABVVq1sE44CTLGj+jWI7pgdl3chb9wITzIYE4gEs
WIQG7Gri5AJaHfq/VLuQD2r+qJBjWjfwdhTXBmaj6JhKCCMwAGEXOpl3CItsWHh757y2MHOuVIn9
AiZ11Y5LH4EN2DhunBsdLpfoa88ldH04W/M1c7QRsu/VMsPpDslu47L09tBiIBK8iQQVg/6ucSon
TlwYEsqRBgPR6WctQ0oLwWeYmveH9SEsrsjEzLiXJmYMaqlG7BMcedZ67Wm4LbKnP7AwHrugNyWQ
5jOnCvpQCRoaw2zB+iyQAJCD4RA7WxeixXFA3PSTxE7j7n89jjSVFKTnWYrEQv0B8Z3XSKw/mOK3
9cEsrIqMMpGsipy/QJpnq6KhA4NKJ2Yk5aioTxA7h8p3s7iYzoZrvY1h4MUmhubrUgiogIxbUcvv
E1pF2mc3OknG6/pwFq1oigF5Jt1u1vytxM2oCijcq+SLL55vO/kFQbYGFuZ1M29bDUxGQ18DF1YD
vnpptiuTOHUHFO1VO1dpi7vvA9oAeczcBs5tXB18pGsT4GO1979iW//P83IhGtD8CIkt/GQaOJDZ
JcYlUxZZYarahnLMhBuqpGV3okDcnwph47q84IBXpmZHsxAZHuwr+Lffij+6GN/rEjIxwV+amfm5
DoC5LItEtYOWAjm8NoPxKDXBhvctvNRYsF8T95NzdRIWQrijvapjNLYHXoY+Qjtud+2t9FmQ94A1
EmHDQ5ZmD7ZKQ+ShOwoXzIalihTRu0TCQfJ9Rfr1OZUe131w0QJoTEmj3RcGuZkL9pYArxMQGbu7
6+Obk+hu0PotbSVwo/99f3YWFMGQBbAmj5dZ57FxtZMKQQOaNHe54WwMZSkITU3NglBPCweQQoaS
PghUoE6SDCEZYo8bTrBlZhaClBhkhQlvj10KdLUGxaWUtReJZlGUrSh5br0GxiW+vntSu1U0k840
WpMIsNcRHPEFKxu8Gs+GmiU+u8G3XHqG+qsAb5l9qcuN9Vo4u6fmfj7ppx5uWTQhRI1qm2rx2BaH
jsT/H3jc+D5TUIYAYzwLPkkjwJ4SyLw7mgPEDY6wC8CPr9tYyDwwa6rMnRaMM9iTmS+A3WozSj2q
XdPheqAFsnuv1T8o0EhZf4Cio4w3RDMW/ZwbNDVTHYC0ORuVEHAwtYnJHTE5BXJ8a4xaQ1p+ANtm
r49t0ZKuKAQEBWCANtuxuRuasVJ4GoKh5h3V+n1ZZhe/bm2j+rxuaTHcyRNTs82rUGTwrcLXbEGG
S+JWE76qN+6jF8BAUm3M3+KumpiaLVio6b1sKIJqZw18QpaADJndjIcgNvkv6wNbOv9kiH0l0eJq
DR/k9Z4Cwio4iZVodoa6JmCP5FTnT5JwUJCnML6u2xr355v9O7ElX9uypFYoUALRbKn+qFO7iqhE
FKX8XQwHKqyQBwzwD+TK8e+szpwkisSY7zJC96sW3OXC0dCO9I7k+8K7l6yNmLG4doYo0zsAOoOy
wPUQ1cTRvL4uNJuULzI4oJTgERO2aNN/3obezOQvM3PyVjreqV+bqWarN5l/kKk3WSA839f5rXjQ
jR/wCm5EkcWlmxicuYlvZgIlKgwil2c5Lz0Qu/gQRrRTbiT7tgzNfKSXZMCScq7ZgEbDE8BERTuW
+W1Q2wY8VKW/4ZLL68WbAMaQkYF+HqtEyw+HIdTsUr7psg9WdAR7pon2ugtuWZnd/CD7QqBEDTQb
cNKNFN6ZGeymtPgXG66+eGIZv0Yz876aKkqEYDqNZOdUvunzjcC0HATHwh15ftQ35poAsSWC00iJ
t4OXA3ipvQ6MQf/qZSZMDYJ3ECqYqwbwzYlA130HaYatCunGIJcn89ePmF069L63clriNdujea2L
y3NVfXTlx16qjkas/skNZzLimX8UVke/fhFr1NqOrvdDQjmprJoHscyOalZtPOgXY/HE2MxNSo00
fU8a2o7rL2EbPSjICx0FhHE6Szl35pYswniOvA0ivyZy5i0lkt5B5BIYVcuB+PTGN1uUl7fSLYs+
yetRU0eRXTLs1xExCTS9oq96RP2c1RQ030ZkWnSHyfdno/CVXo9h0eR6czw05eVbXVJNWd++i9cM
pIOpFhp06c+T9oWJSq+ROBzIDs0fWX8pywugs3Ma9Bvu9rNH6s2aTEzNwl/i9XABhJz9NHN46rHq
T714H44tDWP3ZXbUaFqR+ksLzDvY+x/Xx7noEFxDlfHxI5Pju16qlGSV27sEQ/DvUFNWt4H0ad3C
kjMoIkPQR8ohagbXFtArz71KdzW7kPaw6lm/XdWDrAlKeD4+PhHmFQlPKdHrobXJNpDDTB6dZB/d
guEqpA2HWBzGxM7Mp4Um0QKFfi97QIazAjDbZBtBbtEC9Q7UqMkcvyFnMhX0dq2xIqFWymexR2XL
M7uNnbO03Gjs/GdjFkjVuMmKpAOJ4bVAW4aUnjjvoU+2rg5Lu0dBEQrJHdKVEH5dr3kDlwJtsVQk
ZOcR4IokfVNzO4Nw+w9ca2JmnNHJa60VSxCy5lj4MEXoE9Ebg2j0T0yM5OlUs3jbzC5BZQjatGio
fXiugyyzKB3zUH7+OxuzAIBcrAsfBS48tAOdEigbJxujWFp24Dcj7QiVSLKh1xPlFaJCvx/5obyv
gYGZu681j+n1URh8Yx7GaLTFu9AtpbI6/n2yGE6Vyaav0wpqgvHxv6dhc9+TYefAOQGy/4O9MjU2
240wA/mtRGeHbYgj2Wnx6MrDxsm8OGc8MSUQe8zc/OIT0tEzdpEDWqLHU7b+demjT5vX9Ukbf+d8
0kYiuJ8FVfGNrFYemBoZwUqnkeQsFRfUJtrc9rJn44wC+rqpxZvc1NZs71N0y03TLGjzOHjfKacH
2YGEe5IeVOUpS146cSvPuhTQpgZnHuFqsPa1Dgbb9BRUO7C06yNa/P6YCdA1OrlJD117nFcbtQVt
sG47tXkIzVFS/fR3FmY7E1n0uuzVQLdhiR4holx3Uyhk1o0s+sBkGLNgGakKTJ0JRqr6JjbGLtgf
AwA2BzLtdUNLURlan/ES/7OSN4sCSP7GeiQKY+qE5i/lW1qHe7n//ldG5hm0TC6zWKdFxoboDOVm
0P6anNtV07E+7su6raUtCmAAqACkJDL/vnaATOojulzph9D6j67WvdMd4x519I1pW3Qzym2WCeaP
E2DmxnGdFBAKlpoNO+6uOv7BECYfnwWyRqzJcmeNZneVsld846AAs8qNauOkXJypiZnZ0tOuqBjB
wBhMuGptQOtcKbus2Q29ufGYX/TmX5bmNYKsqgCRoiBr+0+kzdA5/aqDDYeLJNhYlqXzhho76lUK
tJ/GPBFYiuRp+4qsAYTRRzV0T436b+DpuwruHKlpNyLBOEFvAvXE2ugkk9Otpn2NruaMZ7Z2yuNn
+h2RTQsb2hVhDd5YrEWHG9NzJAThiJjn5wyjN7ywZQqzoeLKTOeOK2+s0vJwfpmQr4cjtb4WQu3G
q14K91xHnzSlghnmZXA/6bFAI4V+csONvMuiD06GNYtzKRo0Q6OP+0hnI0n1qZI3Fmlr4maLlEWO
r4sdm6mgZVn39nWW/okFY6TtUETlrZIdypxIENeiZtcQLOYqyRDGJP3J+pPfhiL25+NzFnASI1cy
2nc1Ox8bQ/Kqe+6r8Lwed5ZvAxMjs8ATib0mFIC2KayUpyFJb/SkfW4rz784UHYd4zyABTEQ33WQ
39uBqN3mOs3E6z9icb1GxCe3K1Dh8yuWNUQNOIcOj2gT9JmVnUhS+O9MjGfiZN/2ja+EWt8SJZ6K
f6zfo0scsWqqjIbifwOYrVQQ1o3QCnzdM8f+Otpz4MDyjS2AzGJMnZiZrZXV+V4q9D2ZWDm7i2ni
KqCw9Jyzq/xTFP67qO83wsPiwpjjI1T6+eyZ3awS4jv8lmPq16woDrTnPlU+rS/MYjSYmJhFILpO
StS1yLJVxr8W1K1e/yJGycbpunhGTIzMQo5ZB63YGKS7fEvZG71KSwrsbhXp81Y9p1Jz+JMxmYYM
poCX0ByC2QkaFdiSI0l3zceh+cdpHyq5fl43srQ2Iz2kPNasRaiErj1apXhYyRJyJ1FCLz5UeRth
esnZJt9XRlTzZMdotM9LIYzOttCdYrQg6PVE/xx0DkLb+oafLTnB1NbMzwo3bHnzMpZ7lCB95I03
Iuny98kUEuhk803DRgOOuK7EVrd72X9X01nVpoNN69T6iowxZH43IFj/Z2W2PQvTqkRfg+ZLACN/
ksOzSmUSAod1K0u+bFHNFXli060wz6M1lWE4aaMzlmMq3wf+EXqW5GSgXb9uZ3H9aQgBkzPm1Oa4
6EoGFJEIrL/eHSMJXu+DS2U/pKnmYLivf2KL9zXSerzh5kijogm0oTN6Xoi+3TjvIL6u7po+OcgP
Ubv1Gl1YJW5TMghsSu/wms5itTaUlcBpwL7Rw92jBy+LeoCAdH1AC4ukAGGFPAyZcl6kcyNaSa4S
bmC7+QemK7KQtMnfFq224QsLMeDKzMzjoNxC1XjAjKYdm7HHNpae1geysHMURGMAsFro70BKex0F
MkNqu8y1dLuknVeirVdtTkKp/ZEVRUcSmGUBPnBtJW/kIESLAl8b+ktmPcAkdexP6yNZnCsggP/X
xvj3STwb2Zty4jXP68j7FkKwZZXS+78zMZsswS3qpg0c3Q69G4MG6TrxN1Aji847GcT498kghlrS
INIeJ4qGbAgahOApQv4lzQ/rI1le9l+TNfPfUFTMNvCxYwYHr/73O4W/jfCyPBIDGBlrLinzwkrd
i4Xr6rJuu61zKqEdFxTtNPQ0RmZf1seyvPC/LMnXc9bXfSS3gYouWP9YwcDwB9nnnw0EVDVGCrz5
QdxBKmlIvE3t5kN/+IPM0/Tj81PY47nZFiVee//lTwIhZLyUjHnB8HiebTpRojFNhh3Y7mRpb1l2
435qwq1TZGnyp0Zmu64zQyuAPY7c3IvZH/vCXl/bhUOKIP5rDLMd53hS3eUVn0d8OXjV8medug9t
xrmjow3wBw/yK2uz3Vc5Rl5FJdagTYggJdY2RrOE7cCABYAYZDceO7vT6Y4zKDCbsL3Tu0J8ijMk
KqodCmO6eaORq6m8H5sSvUtHFXdUKmeKRKV2nq+HuTqLLUXi7BVvMj2008LuneYQIJywvlZLT83x
Nvyfpdlp1ciNO2hdz80lqi6+MXylTfeTawqvVnJjKuprpgkPpduckiA+1+oWYGwppNFPQi0aLJcM
4vw6DBiyFnWOzB0TSdXCAHHUSR/U3P93fZBbVmb+7st1Inllp9tWFN3UVUKnj3auTff578zM/L72
HAMSCy60RbmnfXEXeSfT8I9/YIREJ63aoo5Pzm7lOlUcTyDpaYcDWIQBdpgshmcQNo2/szML0KFR
5XlfUvwQlHhk9tk30g0t+etGxq0zu5zjxCQJ6ShTqHHMTrQ+yJSscTIGk0M7cBOF7zv1i1kd6JxH
7+68bmwx6k2MzTydnEoRwfiIrxVwN/uffc/YsLC4aycWZpGiMNxMSlMihcOd+RHGd9mujS3c9eIw
TJAPKAtYMoDO6y0jJboSFSle1u32/6zP0OLvJ2siabRKiD85dqcXGU+FhrzSiQUAG3zzjha/Ur/J
L+tGlk4HSug8w3++lObNJV0VlpCZGiTVHei50lx8ltWu2Dkjc5AOHbiUtP9mKOusW12aNXVE3FL5
5vI/v/uHqZwq7qBrtlEexfgwDFt0u0sxZmpg5l3c/0ItjgfNVjzlsUgstHwRquSm/h0eWTh6KL22
nmRz5LcHLg/oz0GkBHr6ARGEAIIV8net176uj3rpPqfqXCSksb+VjrdrX4k6SYPYhKKSgJDVMUuM
d6olQeWfwjym5tZGaFpcWdqFoF6TNd7BM880GslXK8HnJDbMd2lkwYaHEONupNYpO+0VIqivsNp/
Xh/iks+qv4zOkZeo6lSeolBnhAUfOWi5v1g5r/zGhbY5GAmm0ib29+s2lwY6ck2r3CB5GM9rm1an
1W0FWYutiBW6dtVF0Nxdo3yPs5fBCuExVA7rBhfvIGAETImig07eeZyFyRPDrUMxpTgEChNuL3gu
bJOksAbzMuo9z2JLXRIaLwidL2IJFjqt90361Gf1xlwvbSIK+6j50fqrv0GuR5YTwRRHSjgWY6id
IRlsP6wPdMlhuQzQ+wOPB0W92RHaoOSgNAFw3bKBtk8udsXwCC+L4ye/X55WpobGHzKZUF3RYr1I
yAZmtXYx0QYS69P6UBZvVmi1kNcglOKis80nulDKpOKIc06Ge9Rh7Zju9VYwPsN7WrXgMTP0UfRy
OFsNws/aBqJgIR6Nti2KojxNuVvNBtgjmxGn3CDL+uDJxw5u3S2cx8LWuzIxuyJkoTc0tLvrNqJZ
4n3WPZrRu77aQ8O4PpPyglcgeaOjgERgkUh7XY+lKqj3QAXKuRQ3Tx1injZ8OfpZiiEVLPLsYvTm
vrFEb++ZJj1P0JLuy657iSHDO+OyFwRWT0HtymfRbNAGhj4O5jV4E2GU0/VRMwcFK20km/NH2jlp
6F+skYiOvXRZH8niQEbQJRlCgDjzwGG2LUItLq/S4rbKzzGy1NXGXC2EJo1S+H8WZmvSaXqXFFAM
0qug71Cz33cCvFXNJZZerL48uIihrw9pDOqzK9yVwdnaaInQRwVtdHZlIXzeH6ESU+Cf9FHh23tg
0zfcemsGxxA12bdZKYQw6455A+VrLATHok6PSetdKqjB1we2bAmVAlpTdV2ah1woyjVCHBsoE5yP
hStcetE9DEL32Wii3496zOEvU+OiTgaVl5XZWA0bqaQBLUBncUDpL0PgPEXjY31Ub8OCTheszE0I
nau3CeTc1wLdF2j5kIEz1bBINrFzaM7rRsZFuPYJjCjwwoz8CoxsFntUo3B8q6NCNbaQ3Gh/+fWZ
i+c+3BS6wtcH6WDsEVVc//Fvoxo/3lINRChGKYq5DOeQVy3C6NTzBgt5xqe82YHGNregJW+3zbWV
0fsmS84Wzso84bpo7QYHTkzrrHYf4Y6WnOd+A4S7sOSMhhZNYFgs+9yR49xJMsWhYq0Gr9mXrL0M
/6zP2AJIWlcNzdTHrcLkzzu5Zakq46pwNNhNgqOactjcC8kFasza/9K1XzT9gyvdtvk5kD+uW367
RzFMIZ7x6WSc5olw5k+skHOl4i+hSXSA/AAiPP33C67XVmZr1dZ1QtcXVuzd+7/7/aMvTrxAd5Wy
C1sT5E/kwmE3iiWY8SESrWOl/35p8noUsyDTwFuPHhWLpH3zX3xhY9dsrcTo75ORINaVlLwoeGkc
Q+NOys4INiX+6/p0LbROjmNAnY/Yxftinp8WI6M1igwrsYeGSAenL5h2/xiONL/NSOdXCVCfK2qf
XkQV7jLX0QV7/TcsxLZRVwVtQO7/EBPNlsx3em+oGh45htM/Ibn28JNxeN3G20OcgsjExmypes+k
AuZ5uu2PtMbRSHDcj1THeTmcamMoTmbbIT9WkfFcN7zQ9c/u5XbC/cE0Rwzv9TKCpqzR9xpRiCPN
cgnfcjMSLzcjBXMpRuwvDaaspOV8r+PBOpLWFfYQPt4MStpvPKmXZprMILI/EhfZN1UupNIEpxpI
FGQwQofSExH7vD7chSBMWPxlYbaxy6AWwr7GQkSpvoW2GtbsqvsSecU+VfRT3sFxa24VpBeGhe/Q
DE6RkGaCebCM0DSItX40OpJf17BgwyW/9RRfNAK7DfdMTmJrfvvvrKypKwfYqugV3GNh7Ym28lAL
TqqRWCDqklsw35yTVaT5cHbgKh7q8odG7sObIjCh9Y+8u8wfXDRtI8R7fn/7XVmdLRkPbVNLIqKY
CsdvnYUHB2Dub3sFEDIJrSkNENkb2gGXHFJgyOzwfPgg5Hj2pUz2Q3PIzc+yDwvBFoR1adPhhBBt
qDB6QKcwuy4pap7RO8piGeYuedbEHfzGKryfO0SwHRnVlo883Qp3Y68vXAt4ACMiCv+BCDfKLGLH
mht1ruJyv3V2TXEU64OgP6/P5PLIftmYF8qiSmn9zmUq07OhXBBWiV1UfG7l7hR8VB5VWKCrbmP1
NoY1iotND6K800MaY4mdCY/tujoj6oly4BYsfGl/TSZPmd1BKwS43UBk8iD0vY+tf1PeB+tzt3Cg
sjzUAbnYsIHnrVMqsqdemodYUE5yBPO+7d9k0hZnzUJiSb8yMztquAhniVeyQu96fy9Ep1q+yT54
8mc/OaW/H8+vTM0criVJpxoubm7S8l1xe/+yPmOL3oYr05wFWIHy9exoNq1YytWWVCCYZmRD5TMq
TFlworMm3CfyKRcOnnUImqd1s0uuMLU6m0HLJSVmeFhNkl38LBzWv77kBtOvzyYtKi3ftTrcIOis
D7V0DiXvq5HGT2AzX9YtLeSraDz4NX3qDFsWN1XXeiEDkYKTah1PorUXj8OAatDnYOPeuzhnpPdg
mKLqQzXrepPGqgPmSxovUWhdyHBja2KwEQfGxZ69QcdrIlwelGwl0lDXJrwmiWJvPJ4EWHei1O2O
PhIcjgoJfI4oh4WA6fr8jSsxNwihIkf62L9BdvjaIKA/NFNTDGrWoUWYOQweubCEiO/q2u9PH+iv
/0zN2ziAOAqV13MI6v29ynnhy8PGYBYOd3gqRR3kL22n0E1dD8bSs1hOY+JbgJRRh5hHMDx4DSp9
6J90sX8KNuuNC+uFRQNoG7IsInwa1xZJp2eR1TAmoupOsPagaDV0WP07pNzXF2rpFXFlavTOyVul
TJDYcAdeXYGCtOquSz43iMakF9qt2/x9qj3F1sbeWp7OX4MbD62JxSaohMj8+W45KtJTkz3Ed571
uj6srQmc3YzaUlYi18X/cvRBMsRSsu9ecSov61YWdu5ImKnR0kE+1pzfXrPQj1KUYADt5hFMNR/l
eAvFv3CATy1oszCkuGXcVeM4UukCjXshXoLuuD6IpakCGw5L6oiu0OZVhrKKYYCoGAQw+kIvd8Z9
6J7RGkDxc93Q8lh+GZqtiZhUgezEGHKhMLUO8SdT3wgFixY03qGSaBK759eETAyCwELcmYy4upfA
0DfoHYlWszFjC8cQKRbwBjxaoJad9wwbYdkgz8hAPPFBSbJLUKt3YpgcWy3ZQB0vhFE0zqh1iSrF
bSon11ulcBGh8VIijwXbfnTn4sto4SjeWT1KiI1YW8f30tac2hv/Ptmahl5EBf3FvHiH5KOOqrMR
GXtYO8jBZi8+9eLP6y6xNJNTe7NjQkCfMTPK8VwSwkNhAknO6oMpdZD+f/0bS0Ber0dW6ZnZSDqu
YRn6PlYC5FZelDg/Rvnv34AMtpEGozlpQA6ma0NJNsiab41DKjhcu3Y/BBvH0eKkTSzMrttyUkeU
2HCKmHlCwcjs0Ikr9smWmy86A14OtpZ06Rvaae7cEifD6AzqvWk9lWjUe99VhEDrnUp5aH19Fs8h
uuP+szZzvdbKXNIL45Hn7ZOPqXAp0SX7HHUf8q1a5OL8TSzNnA5pN6WsYyxFww/NiQ9i/oX4fiAz
vDGmpXA0GdL8DjmQZIxzY4wTCAcgJ9M178go/Yk3cMsHAA13N92l1/7WK37ukB8kC4jQHEDWfaea
tqSUB016Xl+ipdOO/nJuI/SxktuezRtJt07uYoNE3FC+kkY/xkZ7/gMTPPKQyEUk9w1pbJsPgpPX
1H58Ko6qflPS37VuYcmpx2fk/7UwOsckwnXQeDpGB6iX9/5OK5pjEt5GCKwVrbmx+ktuNrU0j90O
TNdJwFhiWPPUdm+pz6VxU1/Wx7NQDgatOBnQbN+oapp5I6bMpsUr3fe5jHRKNqomkg3rd46pH3CQ
u0z3bsQquyCm8mIUAerIfm17cv1OSeL4TPcRyppOIV2GsLpxpPK5yVTt5EB1eC7V8LY0vO+6X7s7
33VvE6d8QkfI3/DjpWvIdBwz7/LMosukloWRiu4TopXfNNW5UVmgcFwoTd14fy/tTdglNEAkMl2S
c2ixIfhlorc4M7pV5+yLCllOOTytr82iDTKbtFhxdr/JO/IAQtEudw1eJl2BNFGInnWLRmqMiNTf
WZKvvTqXBTUXUizJ0U4+ps1u6wG5uG0mQ5lFmdZUKl1CD9vOxS/hjdrv0Hd9Dfv+QRDKfVDEG+NZ
en7DvwMvOasDHHaOnnI99NoNJJztVu3s0AG5JPxUDm1Qv4zL4E6LJKBNw7HTQgsNAVR7q6R/WZ/U
xXj36zfMwVRW3TmuHPEbFLqx/N1GNF3098nXZ/eEdkwwQDpg2F1YfgzGEcR1/yS5/WuQoK7c4S3r
w1mMRxBemoC3Tf0Nx7/foFxY5SZNAH58gUhpX6iIUVXVKD9or5tamjkaCrgZw3NEVny2lyulc5rY
IqPhI4B81JX9H3xeURkG9J28yGeRtS7C3ABKSnKh3vUF+drT+veX9i2H3H/fn4VUx6CaI45ZU8mq
78qmP7G9TpIv/n4p2uB2T0vGiMLkGny9aYusrNHxI5ulta+Clu1E5+CLysZOWhwLgA0eqPzzhr08
N2MktFU6/lRNuBTqQ6oaKMZu7JSl6IBayH9GZuEnaOOiMmrQIR7w6ASEPkw6sH/vjDx/l1SPCezv
f7BCE4OzcCS1kkHDLIeFziHBczJsPlZ6+bRuZPFKOh3W6OaTu0Lsm7XgdAyLcu47n/HEwUk0P7a5
fqFC8SF2/b3hFLu42tipS3lo3pWA1WjQHQs8Mwe30ipFwpRFs1LnNhrkH31p/mPm4W3RWMMpD1oo
alr1XR1+QeKEpECFYoOrSjsn7JONvbAUNaY/ZbYXSgDITlB0ui33X8JI8Oiyq9DGdKIbJxQ2bC2G
jcmwZ2EDvmG/lkJsZZ+UCgzplhLVxvfnhB8N6oumq/N9r9nBMNy4G1nWjbmal67Mtu7rqGbZlKw6
SnL9oqbva0VEWDU9rLvm8q7+z0Hk2YbTxBzOwrZnpsYuwXSnnJOh3thji7PFYcGTTAeDOoeTDFZU
B05HN0pTIrL2b9ttbK/F2Zp8f/z7ZHdlQisJuc/3zeiMZm9Aj4ginaR247BYnKqJmdleGurAyF3w
9OQ3Uc19vN/uGlqcqJFM+meC+A0Ooy/axupdAJlu+V0AdtEUWzyfi/F1YmG23B3Svonv47gO+64a
N6BQ6T61CP0DNEyveVXFN1KfRH/iZROzsygbe9xKlDynG0q6EfX0qEHw4mmf/8CVJ0bG2Z26wYiX
cpKSUP5/qPu23chxZctfafS76uhCiRJw9gZGUt7stJ2+lu0XweVyiaKoK6kL9fWz5Ore21Z5nFPn
zMMcoNGAy86kSAWDjIgVa3X0phP6LlA+20Cd+tgd+dhrmg3lzUCqyTPLmTBQZ/ONLt0b5pPV53P5
qOiG5noHJGyIKH7l4kzNdlIlxZFuWdNamjJoQ2eeiSIULrpsTxqSHeDmRlBnOdkqtdLTiYuteWRr
fWDz7x5jYS8+1UblQ692V8LRpXswpVhHEOMf3F7fjbAwjaSq6jEvS7jSXf6jd59L986HTqHxmwld
agOvhrrYzM4KJ7Rsj+GZY0xdq+mu37lbc93ffv6+luu0/PrFOhlmYYF4Z0DYVG6oceGRl+wYndUv
kcxyjMVKMVe2ZudgDKPdluMaVAWuHcMkEPaEdrr5701osZmQPam5yzAY5w9deiXtW2M4csgtfdHP
+aDcAVy1iXeyOKSBqOR237d0FzRsVbcnA9WxQrVXQAV58Ld6PNruMadm39YSFyMuayCTVTZc+iWd
2Zjqkd9nEpLx53UZavCKlIV3ZQNsbdbX/5Wl/Nc83UV8JqzBM1KjQXzmGhEAB6LIoWF8xGF8bID/
HmRhgFbVK/C7YBBZ6U1jZFE/bn1yZK8uHd9y/RYWWKku7+wGb8xFM4Km3/38yC5dOoPlAAurM6eg
zadGIli3HpT51YXCl5VdIwuRtUcOiyPG587r+caHQy23rEEqQHfdpDe9AXENd5MZtypn99IO7cQ9
8n5eL1Kf2d7iktI2mg6qr+mOJWHzZNw3VwSarLcFxKXj/569Le4pqZ3izj+bgirIhRbT1yyVL02v
j8UWx3bT4kI/9YXfuhNm1Ptsp/x2NZSnXnvgWy/tTnXmbgx7fYwEZHnVWxrIwmd0lu6awsBr69WN
Q87MYt3nm4kcUTc4spm8eeZvjMMyMzm5HDNLuiT2+cGznJgdMYgje2mJuc0q5ldynonpT17ksMKM
QD8VfW4Kr4HC0upQ7kMLONpa0ai4sAUBIW+UnbGhmsLaOM0cA6anAxRSA7Dm99p96Mk3anF5MnEJ
MA90msxSAgDI4iLoFWSV7CacumHf4UnRSMmB1hNRkxZro++PVCg/WvS3j7owp4yhiVjxnu5SVmxE
BQxyeSGS/sih85EBvR1lYUAN0wLZMkV3ftZs3ZSeSNs8Advttun/C0b0ZqRljJiVTqHAMwdTvSgO
IjriKY/MYxkh2tLPXbfHtyODKk2wP+bdWrhXdNh9bkEfjzOrIAbgzvilps+MwBkDPmEWoGgHa/aF
ioh5xEo/fPPI+SClCFW0X1mUG/SPyQLHcrt7OJbh+/D533z3wqrQW0ld0yjg50WYjytbQ5565Q5H
DsZjoyysiiP7qtseM5Anqr5wTfSQxsbD65v4j3cSbvKf/4mfnyvI0GcpU4sf/3lTFfjvP+fP/Otv
/vn+R3zkr6+Mn9TTux9WpcqUvuxeWn31IiHB+zpY+lLNf/l/+8s/Xl6/5UbXL//48+l7kZVxJlWb
Pas///rV7vs//gStFRDgFE7vP94O8tdfnD8V+PApeyrZH9uZq+3nd77/4MuTVPMXBV/Qag32SceF
ZDEIGv78Y3j5+Rv/i+eh8Rztu5DSe01IllWrGD5kf/GR/cGNH42aM/0+LE5W3euvrC+IAGblM5QF
wf2PwOvvBzz8dJw/1xyr8tfPf5RdcaiyUsl//PnectE4aRG0KkAuEIJts8D64mrnD7XuytHodgQx
mG2PcTr1q8wg4Zt1+WCYRTT4cxwEgcCrIoxx3GUGxQ9AeJVkCcaZWgVN1e7K9tKdLn1kItpxY6kq
7pK7vL1p9HCqbX4Flcls/flDvLfxX59h/v2bQzFtqaqYtjowtpMzwGJUZADfEXZqujTM7vfg/H+N
NgPtXYBjZh2W96NZ3A/aBLrUO0eL64lDj7MNYEj/srYPVvX9CfzXEGC5B1oJ/Wi/6He1aUcLYfJu
Z6FfObHLS88pbj4f4iP7AM85jBgEdqhEz79/s2ZVl/ZGSVSH+oJxaaKUntnedeW28W8PgyK6hzAK
oVQAxPv7YbJ2VFJPfberqN6YVr9ue2uT5daRYX5dMHBUQboUJR90vGEHvR9GcqbHwcBshA0G+pLa
p6mgz787FYwBqCJuJRDQwHnwfgyR0KBJzLqbs8TSFrHpxG7tHZnIr6b8fpB5om9eiwZDYkcCNFFQ
91ZzvQbaKrOHbTMcq8vM+//f16/ZxOaBfEB4QGeAZvGFf7BLgYJJN3SAougrtHXvs9G1o6oy6fnY
JFvbql+KgXmxbKgDrgFTr/ppnEJZB4eiRLtCz4NHn9Q/HFnxM97W39HUk0RK9N9Moc+LxLiWg/ej
nIxbYE7QHEiyPencO7dlfJ3Y3hhboFOOK4D1o6CfGZzVwZJdEKLWn8UWJIjDGr1+kZNat6pOHvOk
2lWspKFHxitpkn1VlSeoIRZh5+dz0BrksVsEG517h8JXe5e0pzxLjuUePrSzGYmLTlrf+kUCM+jS
oLIU63eJFGEpLqhfRJ9b2YcGAG4kbBa8FLyn9wbgmAjHWr/rdoVOd9AEDi0nBzibh65z/flIv3oA
8HTPd2/00sMYgsX9YwIbS61Eona0vNHqOYHqauI8fj7G/B1LK0M3COqxc/HP8xazAY9Wre2KKKhQ
MAOXd01XXBZ3vAASwayzvcSejVgwrj8f9oNTyUMDGVzODEwAcffCH3gerLYYDbXTWV2HfjGtJ3Pc
pml+sBt2lmh+nzTjRebYq6zyH11mXRWl+Pb5Q3xgK+juIeDvwE1gpjx9/yaZy+nAHUBQgDqD0lgQ
p2nzWxf51038dohl1qj3vcQyeyzvWAfxRO6cQO4LUx3xSfNLWrxEzIEEIHeHzaND6v1EKlLkxtga
cudiLcv6dlRTPNIbR7ZRndMj9v/RYGACQUkGPYnQSl+8uSAbPMscmdq1PVtXjr1vumAtRXewXqxj
1Hsf7ADAgYF29yGmDgD/wqO7oIlFE1umAMcpo0SAL9pTV+5Ij2y0+UUv1w++AglzBwxeQOO8X78G
/aJJz7F+ffI0FUHcsHRnJj8saoVom4vLsgDT9rGS0Ad+xIEGInAJ2AmgrVlYnxadRscM7mVu70dm
i+4ESALL8rJ1vn5u5h/NDvww0LDwAOB1zcUWd8jYm0zghRVDfttDHrAoGj9E4T+IylKcI5W1q32W
oteMy93nQ3/0/mZF0Nk4Z5LXxRyrQCVMZVSiITF7sllyXov8zuLVMYzjRzaJRXQJZPcACrQWNilq
0Ziu0AqIPbHVec+2XZvdGpau0aWbbxrTOTbiRzObgwCAgmbs9fLtuWNg6g4h+i5omzWndNsV1Uld
5/8VPzkzk7yqZaKms3h5jFGe9Wmhdn2QhGisRMm9CnPnxqvsSLlZlLnPtWmGYHcMMw/dQeax0vsC
f/DThb19goVzMUYnpZJxtSuzOjIbc29ScJ1OBEg1tWKus+uyKcQt4AI9Akf82keL7MHxAgUDv4bL
/Pt9iQOrHnSu5K7onbB2sqisNhY/Rh310UYECA/ZAxv1sl86n3RjCDR141Vqm4TcXLe5t2rVN50e
axxbICp+LuXM0oRa0uxllijZQWu7buddVkp6GsjCWrl1vjGAMgPXWrb1uXdjV+XOqJ11WXkvk5du
U22zEKLeR+zK++DcBy2E7c94XXBWL+0XlNVWRyGCvmszHhspiAQNa50BlBp6dvc9yOUYOqopVo0n
ixDdDBFztqXZ87Bh7VWXgSrJn6yXwazHdeqQDdS4dKSlt7JRiQk9o4IwI5Sg6qZZBWYHAiB3uKqs
4n4YqkPrptfgm0ojs253dR1cYv0P00wTBM2a9ZgMxWpAdjP0QF0DrESJhlTn3BhGHntq8FfFaBYR
R0VpbPIHOJ4LO+nNuHN85OGT8tlMxX3nktNMWV99GewnO0/n7bEzpPdEWnLWoYkqIlTKCD2oZii7
HG89y14cA5xMkGL0Y+mUWQjSg1soW6pwKJSMNOXPn7vGj18AWujRJgLJkmV2lRNds6ojwL+2tgrR
8fktrVS9agOUZVucVbFImiIsCDnikj8al8zqfzO9JzIciz3lpkRUnazljnqo2YviwrHaTeNNkW1M
l2nF0OcsxyOxzAc7DAlk4IhmEkO0by+cWKEaYvi9kDtDIDGMmLYMXTFY4aAm3G2L8shwH03x7XDz
79+EaLmhRjCJwW2UXnpRdsTbqnYUYZGMZ2XXgdayVbBpAcTW56/0w2lCzw1tFwCp/nLQgumqZrZs
210ARsiYFcV9jsguMkmz8urhSMr7w8HAH4OQHS8RfZvvJ+mWSOOOKKjt0nybjuNFyS8JoxfjuP18
Uh9ckpEeQDOJDYJIZFQW765XJreaHuMMFgCogfPdEMbt50N84ObBLEcAdQThEu5EC5ME6wYo4FMM
wWp7RXGWh34q4noC/8rnA81rsrjnza31uAjhf2AkWqzZIMeB13nQ7tzSPKsqC76JCSCX2u9WkkI7
1KKR1ANYhMWxLpaPTtG3Q9NFWUiloAnPc4JlpNfSOqkrvjKyOpSCgj7kq+uM0cj3Iz2Wwv7g7bng
g8BNFcLNuIYt3l5QsCFjHaiKk6lYieJFDcfW9IMRZtwMTk5wwoM4djGCqBDGOczsdr3V0JhZE185
w7Go/gNjh5nPTM/IiVCwPr839iEw+9ogRQsU2G5Kx/VUv5CORVZ1xBI/HgcagrM2xa938qHwkGMB
Qnk3TmLVVVdeWYc5vfKMY0HUByaPxtoZkY/E7xxNvZ+QngCNGequgZrQXVqedMEY+tYxLZ/X1O7C
3nHnttB8D4ae2VcsRimqfDDF1OwAn0KLa3JQeb2tLNZFKFA+u6o448zIQrPlYDrNQAjhVy/VfJAK
l7+43cBjbedbUbaR0w1PmozfMlU8Tbw6Lfr0bBTmfZFPkZHY5yD/O6YVBGKFd9sVLZomkhJQn0Di
GtC5X6DJQ0eTnE9pg/btFuquvdnq/eQZQdhx53miBgtbZt8zR+g4Y8Em0eAAt5OpjwRz84ipZi2D
ICKKXDaOTK+cNqlDbct1W6dtNNkCJJODjCpFr62UbOwaKCJRkLCyyaYr0fpF0OWYUeeqN5shHr0h
rsuGbLSqQQgSrFK7RUOVn+ut7/Gvta3XlQCVHyuGW9k2eYyLyFOd4O6TTHa6lsycolZ4D7Z2vo0p
bbZwhz3OdwjT59pHR3pi4a5h4h6PfXCJwgSN+4BveZKkYV4zoF1pjvZLEsRdlnybhoKGuIZdd9CZ
YCo/hSrmfVdZ62BIHnw97cF2A/wDbWlUZ+0N6ZlYjbI5yQ2xga7pg2MMW6a0wOrIM6nq/TAZG99w
Y5lAhoM1/YUKFIZysxiC27fTZNdRPjC94lAtjzQSRiG6gW5rs/02gIzIaDsaNmnmhg6uNesmd2lc
GJYZgdiOhRxtGlvLkkls5/2Tkw6nhS/Ofc53rulDv96PPHc641W6TYRYA8ax8Qn4UhvIpW+DKWX7
qjC+WqZYNZ21LYJOr2tvuPG0XDEPCF2vKe99kK2uCQoxoS0Ktep9E/KgwYiZqLue1tZKu161JS7V
l0mefEvHflfaZFjRcfxuGPZ07ZaTtfEcXDK1LC/GxK/CtMl3loHzW0K+WJneYyvVWrEqiY2MX9it
10LTzj/z0qzbFk1T4s7e6hDlJh2PBr9A0vQFRWkZNX7ihKkTnBBzLCJpWcBm+qHP1WNqGlHW5TGt
s22ejlasC+OMjyOJM1E+uoG4ACTtHrfYKkRwawNjLe7lUD46wj4tSHpizcBrCecIWT3vljrJw5T3
dwZFJxlJxjt7yuvQrrqvuTOcJKOzr/1pOncNcajbfo1Q7sHS6ASqeuvcnihK+KD8tgbjgghwEFLo
nFplFbq+Ic8b9DRHJUv9sLDtLoSQQxaTYbge2x4hKG7uTWWvp4AcPCo6xDL6OySNN/mAbBRTCbIb
FeKMZkPc5mCUHcJIV1egOpTffcGcB1qakCOsoZ11yxB0nDuGzaIx89wQSJAy8krpr2RPnoPE+OYZ
kC0mGtjpsdLeqesa33xixJmRfyWlcxUYylkH0FIIfZKobeqCKxDCXGFWNzdZi0/x0ZjbbUu2SrnB
9pNbu1HVQEPS98DzA4kNLNr5hOo7VhDOgxVVubZoEUS1SL9b7ZCsShttrl2TuCdmapykYhKR2WmJ
ilZbRQ3eUJPJnaUsM7R72wutXP7oLMDi/SYYYw8SPmtwIJuh0tkJktN5iDaSaBw1jbSwvupiAPWP
PX1z68oOJ8W9iDO/DzuTwTHAgCLsqgdQZmQ3jhi3yLDyjZEZq6qjZdRoG8xSYzncstE4NZJ8iOp6
3PgaZQGSkHXNyNVgm8/aLs47OU4/zF5eQO5lBZsMQncYzXUHrmTSsq+tItixDh7K4UlopOBDbEc2
QF2xNDfSBX+H6dDzoprdFerVXVIfUgtAOJG7ABS2ng4btDpHdj05IS/yq8IYM8xU0VBK6cU8k2jj
6wcWNQXrQSzRQwZuyKAQ6bQiqssJ0nP597E2s9OKy/mT1v3QqosUidyVo6trpmgPlcxqq3t1kNLe
ByaKllWe35AJ2TpR+jB9aggZuugxSibjwXPSNh4ryaIU9NQrT9rDoRIcQKohKMMuIReWke8DTqqQ
VhLd2RU5cPCxr52Ut+hxr86YnSEFo10rtse+hR4oCBWZTcM8qC6NgJ/nrD+hsr3sJ7ZmCaowshfr
ieRZ5Drk0GaIM3tH3osG0vWgQSHgySxO8rTl4dTwG6n5s87kyaidLhSB99VKoKQKq8nFrjC0HwvH
hkAsofdNV5+MXoHySd1tbLNrIkbpaTsl9tbsM9yKpqaIRI15u8F4zr1+LfIkjZzEb6IWZOCRFP2W
STsJh9ov0B7jQ02uI3iMpK+jIMOppwcTKKzCB89m11yQLHfiOmhIzCsOfobUFTGkG75baYOGF29Y
+S3Oi3HsQ1BU9GGVplfo5SxCg6rvZuKxbT9Yp7IuZYwkTxOhfAd/OhirKUMCqxskehEJknVNHlqs
HtYDTX9YyjzYTgJTm4VK0uYKgTAe1Sv6+W/sMEB4H9pDfYrWuzGye/fJytI2LCvCoqR1k9D0Bvj0
4coSUBzt4OHDlE9tyHN+JyhwL1nqHoiw5GYs03qldH3VF+lVAEXMsKVOE6q8OK1QUyPS1TGSq23M
ZI/opGsAGevvHDpkeK7hrmHjPXcFheibuDdqLcK6M2KVOdjwuj6baL5BHaSbF2VfouC2sY2exkhC
kwgEk0ZoVsXjpJKtsCsZJrBAOCigTfrqHB9vQujxwT0FG5m7a1OJy1w4+6xyQfqnu+8lwSbl5Qjg
VY47qk4gGqvg+vP6uXDbtW4S5Jb5o2kE11Ulzgd7WtFp2go17hsizqVUBy5VCFyrETXcOgWloB9R
kj803DsrFcDiFeBB6Boe9fc24FctTsfcGdvIKo12VZIEobQC/iZMB8eAuBo+cjdpDygfZldhk2Rb
LUkEngwZJTSx1qwRIzJB5rltQug8KCGpnpp+cxEgOj9RTgdc/6x8XmTusBmLbu8jtVrI+j5xRYBk
jXsPXYqrJNAvfOovGG8SPJp5gyTOpdt0NkiiG70qOtySapu7EQGb4qpySyecauN0rPoU3SP+WVqi
IjKazF7zchKh1+MP6Fhc2W5PNjKr92Xnnkq/8sO6Ic9NrvO46Np97zVBNOghfZzvVElRVhcQFswj
mZhA1xvBmXQQMgxVkyJIbl/c3l2LEbftTllVxHrlR7oH+2WDmwF2gcWjgroIcVsjRkoQ0Dg7SPFP
/FKYzn5Eu0io83yWESTwtC7TWxDTJpHsrGcq+l3GrVuvgMFIm3XQ6TIeVe6kMJ/0R6f1vs7zOymq
Phqk5eG8Sq6MlhQ7lYg6cuBT92PWXORV00QIu/UWhc5b20/4fsC5kAhoDxtJBX9R8gdZTd0ZUFeI
CKYaj9MYt8wMmlPWG+2aFKjkm8JI9iUd87XTeNeiGw92kZ423BzBFVRcF4V5ag1pviorbA1Mvo5b
Xgxng2ZJzKk60Ar53FTMe3fwy3UiOLv1JSR1aVfjomRayOB3zhVNsodmKoMN9A8FdoV+bgEngGP3
Yr+c7LDMrPO8KL9NpnlaT5JsBtPOZ69+Y5UyjXhZfMcLfDKV5mfG6HsRPlVETc4bpGecC0JRO2BB
cZ0m4EdmtSVvuPKSPUmLPs6rTJ9KSDrEmSXUxq0osqHCcGKwOZ5yeIOQGG6PbapOBYVxscngoeV2
dThqccUrnNxZqh/HkolYGHJrJE6zQSXvth5sgYMIF0LwAaA/sWFRa5irJDPOaRacDaXsQ6adR7ur
NxoAA814B54Nt4gQ/Nw4jtxzU9ykyjMhBaTNcKrax2nss5Vfgm0mndQUKVs5B5MY6GrCwSYccdWY
3aHDnSK2cFkVpZ3GorX3hiqneCq7K4+7wd73pzQa3MQ9JQwVRXD3+VGWQKrVhfuYmEVCq2g26Cwv
IvBl3CMLDPEMy6qyjcODs7rry4iM3kXp1Ic6MA+ZaTwXZXLJR8+PTSv7oXuEa1kuX+RUndAGD4xc
eFjmdRqOhbkbGzdboZMSxxLShqd5UI+npmtc6KQ+VQFACY0QCIeK+0565n4wxFOrcdOCKT5T7eSb
IChx1IIlAJHVZKJfkkGK06meaN1cQ9qjXvlDAlZ8HJxWBkiUT9jXtCycEB2yWyjsFmE5NedWwE4b
oUCg7lfZyhPec+0rOOS0TdaDPT6YlYIIJyKExLl0EjMLBU2AWbbH+iK1wRWeNZSctsCGQcWJmRel
THQeqi6zT2rGnKifmmmnlTqT6XRiO52/+zzV9VHsPLMUOmA1harJEm/TFCUK7wywHtjLykCXPNm7
Uu8Cm/1WfvBnkA6HRWxQHQEOueRYQ0Ts4AKV9rs8sy9kV8Vs1L+Ju53zAAQKug5FcQb5zkUao3ea
FJFDNQ8RbAoizpw83w1lF4Nc8O7zZXufzfo5G+itoDiDjKSDFND7jEnboVwpOg9gOcDHBnhnh1WX
r0P8FhbzLHtuK1n9UO/xl+8BnP9zEJsGRfoWDf14OW+We0aGvgNtbp+6PzbZU5m+BW2+++zfuE33
y1xWBXswlDLQcoUE/t+4TfcLuBhAbI6E1k/+4b9gm8EXAGXmfBHALDM95yyN+hdsM/jyyv0HLVj0
w82ooN+CbQLm8C4tBYY1G0VfG31gKJwBlrNs/Ec6YK790gFUaChLDsI/rS0bIErfPTdqkkU5Bx/z
hLM8cHNIfeSXKbgV1zK3X2xVVTGd+BZ4Ax32CX00Qa0Vpe14WVYOlOtw5CM32YTOUPMYsI57XiQ4
Z+x8VVOcqClJkWnw1gC53VLuuSfEGQ/SxdFvsPGC4fBFbk+GterHiPB2W1DQJWUdKi0mRL0jKk0a
0c688kakng1asWgKmtGGZLrTqtOJAqIiinKIXJ3qbyo1rRVSvmSF99ReIRb6XqcWiEMSwtDr2+k2
ntpmkxge3euK77PcuO1bsUpL/b1R0EC2g2oP7Z1q5RntSUaDb0093g0+IkL44DkThyOkHh4zUu1K
JFywZC5HiseUL07HyF2vp/IMNycR+aTg0ejqZourToVTq7AO2jPcbeYE/b32uw0k6x5rq0PmT9Rn
Y508NQR6WTkvz802wdGUg3Kgr+aVZjF0EJwtHM6JlAMgEf1matr564Hll2lOD1qAc87mBg2dxjjQ
1GvWzmSJeJJZHrN8fGSNfsgQu4XgPe5iU2RlFSvEKCFjolwXk4EqntJW6KWefkJU/awTqJ2TBHI2
oqRnXj3x66LPLGTXRC5iJ8vaMIVCxA8+jdmVHpIsQujd7iSqj7cWQdur65RszqqssFf2nsvWtjRW
g1FsZUJuka05JGa5w435AGkpaJ2OughdY1gR1XzLzO5H1bcN8kD2qqgypFF9VHE7xq4AogsVWr9C
zyrqiOfkh+b2C6l75ExtrBoK7sPGkZkVeQDCb93cpo81AuQ9oLzpqrAYTjt/OjHd2kTFhN1WcrIi
bSBU4q1PthngzAXHLZTL5hFBNKL4YVSrRoNFbrImdcomB7d03l6DLY+ekALNI0zQOuaCfE0UekZA
KHOpOhJ1JAG6LrdVNA7iQPKiCGvt3Zat3EIOhMQD6ZBGccw8asbp3NSJGbNKPhm5sbEohxIfMVYF
4S/SR+A0VMPerZp1adFxxYh4aNoBJpaA2TCfkIUvmylsXDAUU/OaclzieWxmA3AWyo6ZB0Yjg9Y0
7En34/ePhf9ZEH13LsP8CzT9i7f/X+Wvzv4V2v/6uX97evBWAuUIjtG5ionz+G9PT768HvkID1Gp
htrxn3/8jdA3vwSoXwOZj8oJ5L7mToG/EfrmF5CEo3CAYjNA/2gk+B2EPo79pavHiYYUK4R3fR9f
bM63rDeVZKJdbcmi0FsEcGxn1S254sV8se8bwByQZ+1WeT/WsU9b1FFkEWxZYhsHgVxEXOXImcKq
LRW5Q6ZIbIyMlLjhDxY0tCjvt5OX3Bkpe0AmfT2iFH8i25+t2jIeTA/RrYtuAPSPdeAjUPc4KXPk
anOkELrWifjkliDWQkegldOnwGrRyB0Y06Fzx4dk4gE6rgzELrL56ni1QlpHJqEGvs33+W3TjHPp
E/FjW3obTttng4s09tBsGiqQLa4bOx02+WtGb2yJeY6GDX0mWJIdWlFGBdk73FpPlXtdcdSw3ETm
0MWx25PSbacNMkVAkfuFuskcJ4vVaJn7qcjT1Wi1ZpzWdh/65qSu28mg52bjosMJTWM7yq3sNCkE
eFu6KbscAvcs8FsjHB1o3ecDeJ9wyuWzXjyBllomCcI7uBIRBNkPziDunlcTJPwyV5wDKZufoqoS
zMF1FxPHf5a+kyPP5l4T2bEd1GTEfujnfH3fFcNK69G9nXSHtuiRJrFpiAl5JkruiPCQog1qHKF+
z/CiudG8lLy7lmaiYs8tz/Ed+YlfuPYKWT6kslK32nAH3bpZW9jnvTvyVSK8dFMTXsWDw/a+me+m
ElTyrap1XHOEnwGRToXCQ1PhRCyeHOO7dIZrUMe226CTxSrp4cm9tG5f8klR60ftEf2iqace4SIT
P8rbiU1hlSBkXwPpm4FQiVNol6hsB4FF+lKOvr9vmQb5BJVqj7wZjAHxtXlhGwNQqSm6fZGss72L
sS6SVe/kwUVp6RfcGiJEy6Ci9wvQL/6/cnjvOpQ2L9Xc8iOXN+V3fUz/XzUuwYn8n73i9in748Ag
zvpHhH6qtxfhV98IVBH+7a/uJfoF7R8AR8+UAwTl+3/7Ru8LMc0ZzQnn9PN+/JdvtK0vc4gEjniA
NYBtnluJ//KNNnwjILu+Ca9JCUr25Hd84/tAiYIuCvdwhJVQrUIRG+197z3jOEnFuZXXJ9Ba/D62
9DydkKB9szJIruu0Kt92SL2PYV/HAOcC4B/wvzgF3EUw1gVuk9VdUZ+IzvpqKb0Dx+AFm7obS5Gf
QRks6eNmrF+mgxABAwFrCAJlHByL6SQjgQIqHesTihusNPqDToP157M5NsT8+zdnSWDUAYrxQ33S
2cYmN9WLMujXz4dYogoAKrQdgPhBy4oOG0IXC9YrlSgdYBa4XkWyzCLH5JAy3H4+irU8FV+HmUN9
cE6bjm8t4vGUsWAYGAHeFbXgAVf/pOqvhZU8FLXzNRnrr4NTfuOlEY298TyAtTyySPciWxZxArXs
vi2iNit2ucWdQ6KPsXe+Iufeoh5eHw+iHTB/oF7MJWLJEY3XUqusT6ADICL0iZ3LLpXR8L/ZO68l
x5Eki/7K/ADaoMUrBMkkk6n1CyyzBAIqAAQ0vn4Pe6dnuttGWD+u2b72VE0lmUCE+/VzrwdETDrl
Rxbo8TTJnVaNyI3mfeXq0WoyR7am4GYx7FPGclSAbVYobv9tkdm//AVRzf66zJcX9E/PQG11LCrK
uvbYdMi8bR0xqH6UWvVfYiXRKv5UuFy+g8sKGLamQIfhJfrjwybpCQuZB81R99yHRbdv+0o79nZ7
Wm37OHnbfVlnPwvTPFlmO4S1Ch4He6GeaCqKc6ht5gHpfjDEgQIoEfqSdDl0YO7v5ryPN9+8Z8EQ
mp6XBNt44wUl89Ycw9VEJe1q9IiOQifcVKTJbJca3V6Usgp7xwatt7WQkjCC7mqiehjb3YYKjVS6
vliCK9JFbg5lgTtwK/SoqySzGoVdSHjX29y8btZ2lQf+y+qvYG/rk7cwXva00+ZupwLB0k3FvaWv
e63bHkx/ogcPvjWZ/wicd2X0/hWbSJ7dvE/ycTuyszsLPbF8DijIbm4kfWY9tzK7ypX3smrDYZbz
t2LpD/mSXhe+2K1jgHdtHl+YYZ7pt67Ktr9DIbhtCp7x1HufB7W3pulxWKq7xZsTZ2XaazZZ6Lfl
VVtpRVTp6bFKe6Cz4HrKIZlWZHp8hJ6R1ZE10MozTr93zfTZz9qTk+ZY2BhLXA+a1Ya2VUVOkd4t
+hoXKSFPUvkHsMYhZGv3/bSY14M/xyUfvTKWyGKnAn19gui411rjlC4mvzqazUVaX6tT7ZYlexBG
4eyVHE8tdZPvbk95pe+CLP0RVN13oMCbtlvv7YzVVp0VXxCF2nXOxqZpoXCaW7ktd3bQHAp7fKwK
n70e7tOIUs0ni9yFC4F51Ll25aE1nAdqrkR489kfFZBNTU6PlNdYL1gYWspzmS6vUjr7ubb2frDu
ZlclgSX0eJF2JNdlP63mrVbWO0ZEL5yAgMLmNUbA53TQ46D196vhvM19ffby/pQLZFchw2Y9ugGh
eX6cbxrOGDta84ovIPCODO12o5QHe2n2TlrdKjM4+mqIy7zYuVI8rtkQZZ53VqKPPGnerH6/n9di
Xxv8wPS1Rlj3jP/UnASznWTDnEwU5Hk2ntnZjTYA87OmJnmaqb0v5barup6tUtoaNSNlZD++GQQK
dcF2CISAV7H2m1c/i1rdTm6fSNdmKN/HqlG7UZiPRBrEcs0Zmk39tZ7NSe4K6JNLwG7ur5fn92SI
Yb+VXVTZ9m3gmO+yTu+sQr3I1n9tpHlbZ+1V1w4/MtFdq3HgwUtP22YfBBuwZ9EkWd3tOsfpiASC
+K4tII1e7ayLgmQwVQ41A0nA7rPXdKoe2xRyumIAHq1yexscRBfPfrBaYlh7347LceLLq9rTbDKP
tLz1qDniOK3B1Rr4X0xXbhT6DGAGMeulf7dVHr4U8ao3VcKKkNfGd6j10/aFAd3R71gTI7RTp9us
h/fvJ2c7uVJ9aRlP+JAR5tFeB7O6kUWZpGO1XzLnnn2k10rWIyy7eRh6/aNgV5m+jB8E/687e5Wf
qVl9w+V+39uQBxCn94E7JpvPgW/r2vli9tkKj6CfDjiJFjDUNTsxjfTkmvN50NeTsNakLyyd5J/R
4kWy3hsUpapp7+esjTVSlqsW2GezwZ82VlTNjrhd9enLTo0vIIQRNAsPueA2ZDXszhLbHS6dOtLn
Cg9S/sCZwfkyTxyZFQep/zzm1VWZUTcY20OzTG+GqOMxs7F3mS9Ss2go5y7RXe22zZykbcR7a9aP
sqbgNzlknHbaGH3XaDVuQqEJE9ae8i14rTzjmooxUdV4Rng6QII9SghMUmDtnb7aN72NYLmkybZ6
r7Unkt5HHhFe+QULtrLLb4i2tD2QfPPs89sLt6V4LLviDnf321KIoz+o27yozKuOXR7Cl2Vi+4hT
ZWqeha4f2j67n4vt0Mj0hSfq2+z5CpgmPyjPjEvmx9naPBVjcMLSc7164huBydeEjDSRB2Xmm/Wh
CJoaTGaKVjGfMqM71qI5klWZkf0z3UvLOA6shWIJ7nQol/G9DNyboeJuMo2bfPEZRNu7pnamvTfL
z0VbZQTwcFeZZRy4BbNqsElz6d4k8/Agt9/G1qG3t3fmOv1Uix6JvIlLZni24pXplXMwrAlZy3nO
DT9eM5GMsHGVhjQ4m+I1qCyf5CP3zfS793kzXy3TunaMxiOUO915mv2D5PkhSlN5PQ/+WWktKX5e
23JncKDkCzoDc+frrPCNyM+ymzX3T17Q/9CEtbNawnM0Ow0bFvyWmFOd2Yg1f3tqxvxsDB2LZd38
zhfBTZsFV+3qP246g/L/XBj+q+rm90UHvcfvK9wlWCuY9E0e077YSwRU1XEwyOXqP/8z/6KQht2+
2MocBkL2nw24UkoetaZvj6IrIpZ2wzM51X/5KH/itRkEkSgS6KQz2BgqLyzwHz+L2dWmseaqPdKA
rZFjwCySeJpQVj1ky5B/NtLvQ7PP0QPL5dPp2/+VA/9tQ2L+WqL9s4zlJyAVgjaOPoslsT493R9/
gnV1chAHszpKVQdhNg35bRe4PYcFx25npjKeNe1IvkrIcThfBbIuk2kyZYxgVkTAq9uuTev01Esv
2DvaWCAZyTke3cHnpFgL9gi1xC83pXYOiDKwGHsr80p2A/gjNOXJXis3ZHkSz07na91brXs/Wt8h
5mo4NgxQfbO9zsaBRQzKeMo6HXdW6f/0FT8QQnYZdv1yMw7dlfLGn+2WvptGVSRbJhHsvaO1WJiC
7PJB+DUWeh+Nfi3UvS2DS1D9WzFVEyPkIT3VwIHxlHv6adK0dudn2g697io1MhmxNGbYESycBHnB
DFk4R29lXFIEQDVRvtZ62Bnubiv9PmnKjSLBZZWzktSfa7btl4oLQ3N3Q+M+C5uwpqCfzXCa3LhR
GbVulwjsg8xyjj6XvdNo14tpbbGlgDcswItQlwhRoxHEWPIvFwSlb300gylcN8CpUhLWNtVADzSe
hwmg5DBuyxpLxAFiinp5nIJZuxNon0dfy7IrQd5P0jsAApXKrF1GNneUQ9JeDfna3KXl9on/Nz2j
OXKc9IjXS9Ote5GtYk+fnD4Iu0YY7+f5fWUIFhmqUKHZtlPE+HTZiWk2k6EDkF2F+LGIAhirhtjK
eutYdnoZb/ClUwMKZ7VoSYDVbjitqRHq8woJqgOlmUtgnEQzHdPKL+JpJECkpLYL17H37/Hu3qXB
zFG7pTLp0v5Z5I4Kg8W+awt4i0xjD0CTz15oV86wt9MMPsxiSalZfIHuyQSu9L3nHtAb72PL65Nn
Vc9j0z62lYp8NX+feWQpOeqfzWLvJOd/ODnrI81pbNX+YfH1mIi+LHLc6TCv3XXQtjeV7RAaOvEy
zN4Z9+nbagfRthbUhSZjN3/yiHw1AVg7vYl7wUVesTGZ/GJYWM8maLQb4MAUuQoN5A6GWR5S+zs5
8JLV9s1pUu43P/VZgDNwjwf9Bjpmy4O2Wo9umXvR3AJb6/jWdkumwCC9aUtMCrs0ADKz1348iGC6
dzvzR6ZN3VW1ujZo0Gpxl5dtzG6D0Mrb4aZchiWuO22MnAySx97uukxB3yj/h6IDi711MZNA+O89
xXrbf3QlKF9qimNbVt3eysDJgtb+ZizQuAzXrNAcnQ+pO3eM274jYxtJqovT4jkdjn+3jCZmOUmu
M4DMnekrTRuusqnbCXvad95wtseJdxs7/bkdlnsAyTyUxjaTaMvCnMqWJKLo3nWjlwbqQ1Ned1tb
hToPQ+I5OG7Yyse9MJZ+7Mo5DPgCfr0c/n+6znT9IrL9e2XxJScR6U6M334vKv5jun75u7/pis4v
l/0pF6M0tZ5hco3/NnO5TNctRioWCoWHTeofMxd0RdwqRMo6JLhcLFTc7b/pisYvF/7DClzSIy56
pPdXdEW8Sdxr/7z3Lqof1kR0SmQ44BXmLn+894Z8DjoHdeDYuKYWzbMdPK6qrh9tup3D0KwlGShN
EzbGdhS19tj1bEVwdYYyUq8O9qzeNM04DGl/Vpb1MA/VnT6W36uxzmLpae+CXQed0D9VmcMM17Rk
vNYDobEldo5IqlSjbauPaQvh29bBPbnK1Oh9dw/nkhhCQu7oXh12q303t7VLF8zQYUtLUruW87Q0
VwxIaWhTfQuXKmAKgBpgBvpNVvQNL8oUVnN3owL3we+3h9Vuv9oWA+6ou0UYOOJR+SV1vvzQjbGm
1W+vBb8N1gvYT2Ov8v0AaBS1Lrdrqtz9bFqPZuPsiKD87qbzg56bFTQ+b2RrmWKHx5f2kyTWkIE9
2wK5QkmRWT37UcEeriZAXq30N0v34mJNk3YdLjbX/dpWu1ULDtr8Bn/ce9WpwRFR5WLnLflrqjv1
wa9A1aqRSgFXQknUhN5zNI83zYb3QXkchEACDL88y4yMbNsZUryYgWZGvQVFWZF67jvNGGe9ZCgm
2Q7uEn811BVVql32u6opjCRTmpdoY4UzZpr7mJXXwwGjbx6ShLkktsYnMfXlhCzz0aTaQesKtatY
23zoDa2AZfCyPR7qbp/hbmBCv68byHK7HH+krgS4c+TnZevzLticbj9rxnMAWPpBXpdxsHMcJqpv
9Ae2zC+R5/ZHszew24vlPjfGn1lRPBHDo0fmUF2Pw/BG1fWhpgv0QfxCWJd5xgTIhe0Yb/TCfW0q
H/oYMpGHQQIIgHoyT3FGNnWbY5L5aClztnyqZnuhB9OxYBRwwdpkh3Ygsn0qM1SfdrgTRTWAoMLb
Vq7ZhYQafHTbuIbk0LThtLg2D0Xd7wIm1VE3O8VVX6cwf8pxboc6h9UNLBXPwCbcDlgVBlI2e3zZ
/Fm/vlP6oB9JD2iOCwwfcHt6rSqbaIPGrK8X2Qu2LJd9bI6pCdmwWvND4A0i9IJmC3NtvAvM9h5T
47EvIOxdd1pjq1L1Xq+7sz5OWhwIVoaHw9b61+aS3bZu4R3TweyfvAyWPRo35+8RM3/pJvi/NVAH
T/pPB/xj8+1vT+pP+NT/To0uf/G30939BWDXw9zvMAvgIP/96e4wGiez7BJ4dzn2/8lOWR5Vc0Cb
A7Jx2Zz897M9+AVPLme6QYSH43Iyu3/pbP91J+Hvz3YO9ov9FreobjHyv0ynft8hBm1V9N4GOpU2
Zfemi0FykglnAuggH5ig1MY++qthJabH7NObls/Uwc0T2qpOfw5abZ02a6A6HWxxaCaGsuY8a32o
Cp43jKjOHho329ld9eFvAtxG76edXy2Mo/uW3VJL5dxAljUfNCgdp5JrhthwhjbstKGLMkt1d2nT
m++FO+9r18pJgxjGH5OaOZ2yotm1ozO85cqm8LIyfG2Trdqz4aXDFJbDtH1XW5e9FkbQnqYh87+2
YVii3rzI26ABVNWeWwTPSCFD3DuTOGhe4b0WjGySbs6KK6rqmnXcVapFBsFBsVboRaKYvYXMWq5S
e/hYQKZqt2rDppoJxACnWmvvywGvwgMkEwPgykWTCbV6/e51ZSJAsrpNXOPT8a7Jrdp7zaCodOlB
MCTAclmV893SBvXAzUTB6w9GYljL8qWR+jCjqwcxBiO4ZilMeqPMhxjrFNEMFimR1jZ5UbnpK2xM
z9YP1c4g30ys/Q7fndVxJQzbXZYvt6B8LM8CVZuaxUEckM8SiE0As3UXqg0DZ1JeOLdGlW9qKcl5
uDBwVQZDZmtqb/e4/y6c3AgwJ1e8RdjW3N3M+BFtseH0JG92invbaS9OiOOsakJxh2y/CbX3xrI5
8DDpbVwaQ3nQC5+f2pjaMMia+0x6pyaY2mRZ0g/cksdiaej5NN09+5rioCuxjhVuRynAXWhmxofd
Bye8U6+pNu1Nj/1gQ1+e6NABO4L5k4/j43Ay9T3R9Nremocb21meq6p51lkGqrLuTVlYFgQH5uYf
5Drt2sxE0e2enc3/8Nv2DLCUUBYjq3OX2FLbc12+M+y5n326GmCB0lN4VtO3YdUi2U48er7DAKs+
yUG7rxVXiq2RIZFnegQsb8Z+DSfv2Tu76kY2VaWvmFK70NYV7tMKdXfLpp9iYHFHUE93lcWYoQiq
r1Hpnwb/QV90M8R90kWmaH8oh1yQeRO3utzwVrTPW1qrcCvNWJrbWV+K28FuymSt8oOczKPU5Tmf
SYmRbODRmldzXT7G0nkvU3TSIX8hAfo0uQMLoMjI+m6w6gOQbuLKz/zCfhlqXhlEdlwe5n1bZ+bj
/7cKv4G4F4zg37cKh+ZvaJN/O186hj9jCP/oGP5IIujExHA/IDEAv1KS/9YxuL9YRCkQ7mQBInGt
/ONSMWgLSJV0wag9RCxuo3/cKob+C/cSxLDjc7XwR5y/cqtwb/2hXyDCxrQ9rqhfw2yCX3W0383V
L+hooxQ06CAemK2eBjro/57dg8L4h3+HdoT8MUgsflr9cnX9+r//7t/hVcQAixJ86FSeHgpV3MlV
P2xVV9ah5dryaLq5fzZzrLF01XQFmtG44erW32VVfc/ZiwiAJEgScHOEfb/WcZhvFK2LPed7p9C7
tyq4eAXxdvBKbyJJew9jiyoC9K8CjrfXEZMr/ans/PngMhPhlEWbgUyTd0s/fpbCk6FL8xQxamds
Qd4qsou87xy/pIq0gjcfbR0kTLGowMZorSsUjUmc/ZRYR2uo27gbOVQaHWtMM290OQt3YzMXzY3j
99lupKR7MBV74ed0Ua+UIUbc+ow48wFFwxW9z/67nnq8LdwcrYGleKKtVtwdPmhmO31fyIHZZ617
q0+TuBcNkVZyyQvcaMt71xTfnao7K6PNDuygf6UPdQ8b4QWjh7WFDx+qihWmYLD6jicveGWmmL2P
PomFxmal8VKraZ/j4a8LFJnpkQuzSMiMeMBKqyK71Q9jVfW7WW8eGjs3wxU7Cv/89jp4HiZo0DIY
02kORT1UJxG4B82HHe2NpYqqJf2RLf1t2VsP5jZfkSSshemyHEU6PpQkOkWb4X9UjXhecAoXlv1u
elyJoGUPYu4/K6l/qW5+2Rz32i02CDlzWiPLT4+aHRy71Pq5ehyjylFmaE/zD1XpKx6nBgHLuikr
d4nKbs3uGgxzxzlX+TPpnK/4ZtMk8Lc8cRrbiN16U4cctf+yVI+FFP2IjmQynbXBiZnbrlG5zCUi
03QP7e2EpRL3U2tL9rq36DbB3TR6h6IWIvatEf3Lbx/zHM9eamBf4r0/E8ny2E2lxI/MpbjomIsq
nfCBlT4tqjtFz7My2imm5uBiFdvkFiRbq7xrJt4mhNqQ4UjqHtNKdJE3ddN+cAqHx7W8D0pAc7Mw
jtpU89SjEF1ZQsA6KgjiIW+32C7I4RgzxUtQ+HzZ7ewQJr/dblX/hluTnKeNBkx/tzbry15wqTtB
neJS9B/9drssTNvwbkkFp2R5D1tQWOelGPZ1YT8EaX9MhfgccbOTjVyjZouRJBg6dwjtfIefi//O
WxQ2JV9WbRZ13KSi2Xlql3XcS3NL6oknOvHdlorYqIwIpRZ8cwqIVhZLEPldeoeqB3hdyglus6+k
EdGxtnhJwQTirc2zA0uh2WlUjg8bMLty02nnrc5hY3634+DwdobYHpnsoGp7uPYYMi9EOmR9nOXT
bSnKIeaQ/lh9XEeNZMK3Gjy4pvY69wCbAW+QKL5YX3KfzynPvVBntPvnTviJ0TNiypqnWjcn7GzV
9Yq/1HGKU26gFINcExjb2XXiVP29u6ZlJBdcpuihTwMZu+k2/3CUF84pFrvVr06VMh68yiKwrNn4
ngYMonZt4lnz211jrA9j13/o6RzZDd9UPWL1HIrTUoxaWKU13nerwwTvfNlmv8Swn5+6P5O8mBPb
Mc/jtzZY+foWEz3C52+MTR41fvBezMEhp5gw++FY4hwAXqcJ9/qPWSseWXxzX5kXCdQsXwa3vIdK
QD639Oesax4LU39M++C9AmKi40ZVAtE4926BD7w4Vb14s9lik1fpmzbOGc2vUpzPuAWgYJybQRr+
zgDNhPxtxbLz265h44HfYMVzU+mGNMzFdcarFPPORLVEF+HNxgDteOXB73v2iXLsu7ynxcaEhp/c
KR6m2rRfWnyXX7rMsp3oLaCR3jrpriCPoyc/S84ubv2X9l4m4qE/rMyjw79eGf3r1vn/OJpJ6tK/
r4quP+u/xZCZv9dP/w5l8vd+a6/9XzyS1CkEiBogR40q4bdSyPuFfCyykEhZt9BSqMB+A9bNX4gh
p1uCJefhMy+jvL832FRJlC9454gRp74iVPWvlEJopX8oUvAm8S/jEPo1voiR4uWH+H2DrWj7l6o3
86vO74YY8v4eofBHy5QoLJrWiRl2dQe0oTIqzDy7nRhYxEtVPAGk4MXI/HfIYmJo0rbjYsio5s0c
y23X8Ka6w5cxl31SFNsImOQauNwdeA87a57bDj9TPvXmya0qWs1aK0McgwBAbou/VyOqYtjgDnrP
wnBPXA1Orhu7UXasfMoiBkuxGs04t7Ychtzu46H0bpzWw2Pf9TeOuPALTlvlN31bBXFFk/acsvx9
dhn+tZacoo6ABgY39peY6p5P5LI7OruyZeqFTUeWS1MNz1Oh3llCik+a4orZ7ymogywGu/hwcv7P
9BlfTOWwRCrVh2/4i0RIohcDrSUzCT4AEVuNTkXLOBI3lLke3lrz2+aXOuw+iIE2A/qQFCTYBEq9
4TlZHvtd/aZPrYjGkpSHZrM/y1IKRGr3VGhGFa5EHi+l9aXPqY8vbOFnnWVY5qrnUrf86wBjDhko
5gNLPt/Spb9pDfFaDowXRY6QADf2SlcIXYaJ7kEfQLyK7klk/LKnGUNtZoyECMGchw2ZWpFjdziH
vL6K6jZlLKgIUzCL/sM2m/WwperOHqB7Kmw0Dkth3qq1fEsH7vqJ4eWuDfziajBbeVyywSZZe3R2
biW3awmx/qPRq2lXW3b36F2CSNaluzFb0kMGy54x5Kx4C5q6hnDXH7WScJeemwm78rjvDKJo7aa7
HSzWbVJJj2qzdh6W5gThQcQzJXG8rqPNnoDuaI3IsGnhPYvVbxKdRMdYqxwvWacKY1uQ/bS0MUXU
cIedJRf3PHegN3yyfSD6Cy8TaElBqFK8ZPWarKbmR6lJ7BXp2yrWreJn3+ocr0PrRYbePi5Weu+3
6tyX4ibg6Xs1jc6JOaP3jgqulwlnW75RfHpEhbnQTIauJ9kCeD9pRkcTXhy1dTZ3YHkYr6qHwEh/
ehd39dTND9mI35pm/XopvSx22CFlGrUfK8zZiyMfvK4NjYtre7z4t8XFye1L8AP94u6WzvDRXPze
4lfntyufbKzgssjJq7x4wy8u8U4fry1s4wGSBeot/QaG8loGNz2Lgw5qSb8D9sqb8pJb7rsDkU5e
arNgjNFmaZdutA1jHCjN2Aclt5bdmk/LuO7TccGQklEDWVV1pXfyIb/sZQymh0maP+TKctp8cn5q
Q33DgP+MIHdnNXwKtmjfuhfF3Eu3O60tji6lU0yGgpHMucNeer9Zolk4TLO776PW8l8ypzywFf5m
DUxwR75gxOY1Q4+wl2MOdx4q1Xxp43ADrvRz6Vc+gUmNJWrjM5CYYkpv28HAPFQjb69LtuniuQjf
k5AJUt1usvs7NXVfZmc+avgiwtlIb9M0ONmcQIOPi4zRathY7pEH5pgD0BpOejt6JrX/FPC7butk
0L2f7jAyQJkVHEX77ljBhs9uc64aTfKmMTlaZTCAmPIdZmvbMghGyWi86+4SRdS1+YseTK/sqf4+
CtS4Mc2+NYoRbLps7b7ZJN3CIGJh54exLs2dVaPMNx3s0drI/ZxvTLA4aOem+UmKSbor7UxnpGrW
ePenOSY7dYr01FNxOXvfikH70Pqx3pvLSKz1YL80ubPbuEIiX5tvV29Yo3o2D/XijrGXjqdG2j/1
fNgb7Xzjs6DbbHgVRHvKhpxYtExdWfr4rcQGEwW687WZwaFsZugQbbesRK56LqlVmzF9IzhtN6tB
XpErH9yVklixJRfWXk3qgy6WxK5F0KsoD5a3+Nw09dx5DIYEVw/SIGXonOdX/uhdbZN7ZkjFvNmz
vqBRyJ/R9q3RxsZmb+FcTFcBER6bNlQJV67cG37+Y5K2HzXKuC0q5x6b4Nlq0+um1K94EcOltY6D
NtwRh7o3tvaVfSxmvGpp5FVksSkFHrEtLaVtS6hRM62krhgBEKJNElgDj5ofNjvj0WQoWBfmWW7Y
BlZnb5Y1TOGaf2FuIDfK9R6Xlfyn3BmO3bAQLFGdYScS4NPPoNFehB7c6pbi1fGHUz5vP7ttSyZ3
YvBPiq3wvuVG+uQE2k/AtcdOmDWmXO4b35vvR596PuWYSll7VazZAyLOLRO1S1K0sx+5HvLe/V6v
bmxKK/bThQmnDlEstEcfFEgX85556r4q3CQ3e9719Yj98UmK7bbMqj3iugjFWhxlS/rGpO/tvCBZ
qOtXKtIFlHbvcbKbJK6RvUImoNaftkVn0piiH6T9lTlLXnuPp8UfE0SPLyPo2ACWpreFK4nYaViN
ljvtyRwtzj/SicZLSp1Enx2Xc1ubFVGx81UqLjyvl3Chc5FZ+UfhtEk76juREVY7peu1tZElog1N
WIzT2ewIxmuMawX8Pi4pi/kIzCZx6GeTMStrGoCV0WgfVlJvWe10cOmYh3pyj1slv1WtaUXEcpKP
iLOFLTKk51nE3VhF/6CTHjuZ03DUASQi7Bc/Vku6EY0epjnpkiMB1/GipArCTR+gZwvD26H978lb
vE1d7XqsdkI1Oqsi9Ae3b17Wdf30rIVrzLtLq+Eo0Z4iXQSv9Vi8yFTkUdfBnei/oiHjbdXAnpvN
cHI0PuTMMA0I/Uqq/DDNHSl61inNClYkO4cAaMSts6NrFV5U5OSdLUbzOHpus8/K9BvT1DFELE/I
HAcWM5Ht4UPorwVW676Xj3q19CeLuKpY0B4zIYFQTOcChw/1AxJKDhXGFbNVGjOFvIw43b83c/Z9
nBgzWy6KBEtYf03x0k8ZbruoG5z3atR+WMOSTMZMGJJuz2EhgxjIe04Ktz+p0THIwiKzyuxJWOrr
T79fm8jnA8caB0Dol8HnrNfXojFemsx+JRgpSMzBK2/4uM94lMgPsa1pl2rV+1SmBNgN9sFW+dPk
5V/wA8R+Ib0g0tt26NUZN+uwnD2T0nCZurdykc+sYmKNnt6KRBrqJ6anLTb66ciut3bntQFZrebI
iUTekyJfp4aBP7cm8SMswE6Q65xkZJpxtjrrSVnajy4L6HO7Hhi4sPqTNzJNIujgahNzouwOriw/
p9X6yJqi6qEEAgjrjT25hYflzjAuB1IvsqSYPSyNrmYd8zLd401GFemN6tjkirvF8WagpxoreCCO
mrveYtrAgUhYfdzpk5XYRnE32oRt5W59146mDI0Up58phieNrRRHWQZBbJfVzB/nK1YDf8LuPPdu
9HE8Y1MC21JMVjpEhftqKh51A1A8lxcRaMLWarGWcj9MMn/aZDnwwzZTqI9LnDJ9os86FXOWRUM5
6/shs14mZn5cs8ZNYDTmSYjthrx14q8tzvlFym+eqRjEbf/D3XktyY0kWfRX9gcwBi1eE6lLa5Iv
sGKRhNYaX78H7JmuLBQmsd39tmNj8zDVnY6I8PCIcL9+bwAzgeM+dK31rMUuN/eeoRoNXZltIF4q
UXrbiBZw8+S5T3yqF2kPcU3VQrsTiXAuNdUhdXPFVmp5YzbxfakZ2aEMJIqBVvnWjTDpDs4h2Haj
EJixc/CMHrCV4NwmpIRXJfxJXH5EcxMpNG3CevWSiuaeat2DqSH2agTuqysrtIiIiQZ1kFVT2Vfc
o6W1l0ZhXncknNaBqKicylZy0CrRsqVcfvIHCEzBmlNJ8vL7zqwfZKFFI7G5isGO6T0velnx39Sa
a4DohLVtACCrDLdcBTCJ9V347MHeEuVkCOPOh5xmsC5IjijkNQLCpK/fwl1AtkBQtmbS5Wu0rNd+
VqwMY6OV0UXmBqu4/U4aB4x5j5+hofDTKYaO5Re6vZAEgO+dlxzExM4f815+2B8g/wx3vqRH+1BI
VUqtxhWpGpfuEMOyQzp/V+xl9Vnr1einhMDE19xqaSoBKPdWBqF36Czw8UZf/pKp16JuRviVpWLr
pd2NBYhu1VftF88H8GCWtPlKGhQarUFhDlHLMtxXWix+U2RhTwrZscHrPgkm94TYbFpb4AGMCG8o
bmgjgYagib6W8YieU92dm0rOE8lsyAIMgnIYcvkFfPADMob0phK9H83gl/sq6cOt4aNbj7bBVSRX
+TpWhos+G+uqSrot6PLe/PWkyv8z3pd/gw/Okr7c1SAW/ocW3s9pFbrzT9MqCrGXnkIDvqJT1AJp
FeguJBPeHxRcTzBpkv4vwAwaAHBA5wrfQmXoP2kV9V8g1RREHbjxgGoAvv1PlPpEGfADjC9jy+Mf
jbinSRVXhRxv8HvtYFi9Zkf68NUManHDP1v9kXj7r6jvaS3LmFia9AfqNNA5CQR0hwoMZ55T7RAs
28kX+JTmregy6HnKcuZUWSwzBIsQw3jMlquUGwVPA6g0aKCjZmE803TUOB74GPRRaJH6HNDAD+ko
uGrlrGta7cApc53WwYsSC7uTHN3tH+CR0ybhEZ3yof73hw3Sa7RVGqOSwkcbQEFUXvdAfQUh/w5d
I12FtLZw5rWp3ZlxtebNcC17nnMJ/RjIWFd+jjgY+yod7I5v3+g+AVGCIXYFNPutb+HV7QE6cNaR
vDUuBct/BeJORsbYJ0G5A2sYbgS53FSZmK18S7220vaFIllFr2mzr3uoBc8Pcdpv+3uEmqnDeESi
EJaljyMMqzYvu0bSDpnu/izK5jkrhoMzdiAVnmgPpNg4u6Wn80Z/z9spVme0+lt5BZEbkEnS6EUn
9U63lAvuIAIQakZl+LHt8TL1NbBzxoUWk5P3mm9trl3GJtoRpL3Om//so/gMaUykB8CiKiPHx6l1
2FCVsokbDd0byPQM7SjIV7mlLVgxlJF3/32UdFmg4Aa7CJ3CMlhlWqc/2gEmIqvxUA+HriIlIdSK
sQmN4MFSISgGZZJRe02GCytzgDYY1BHcwLsy6ODilOYEScgQkh0he9gPNPRGqbGGyW4XKf0llQSN
1Bkv2YxXZShrro2WWrcvCkvcRCoo6NKiDpzEVnLFI+QikftXtYM1NiD9UXupvEpb9Q14akqyD8g1
HJjP6OEkW9H04HK0aunRSVV5H+XxlRqI0FVmbX6kh2DLhZjHwYgcoWwAI+hRKIob11EO4WBclhDJ
imtnJAORwqc4b64sOqZqBXLJfLjynITGA6OCb5SDOPXaq1JMhXVspjvPEB8BtD/XVRbCAlrQCSA8
+EXtbOG4c3kaunfkablAxtUNVX8PkI0T2UbRt5QfqxeNutAa7o3vsCd2yJw63g6NTmHlZpA9kwqR
4Cq0nN6W5fCFl1585SnannSFfLR6t9i21hCRHTOKVViWuGNCxqx2tVe17cZGzKFd6UGKOXn4kvgp
5CdxN6I+5UsV9CbZwjdwi+uOkZIOjY95IV4LIk3IXtpTvqrkZ4l0JZktFM2EsNBWAGSvZSOHt1TP
Xw2A81U0HKKy/9Il9XUs+Pk+BP64ctSeVxqX4Ezlpqa04ZfaDGB3jZvhIqbZNJLEo6JKP6D8eiwb
w7VJzT6ZWn7vyjDwDuKTmuXPsiemNsmFkaZ2ODZiCuGQmstrJfeA4MOStkZbFExv1UeyQb6zHnss
RqCW5R0qQyk2mUjd1ZQ93mz5hZ9oPxoIX0uaY1YpjUp9C1w57grTVq1Y3bedsfdEdq8/PpQjbmxw
/JLy9eTgZ4Sw4a4DV3TJEz64RIBUUteiaY7NC7LbwI0t+T0sqhqEOEIQJ/dhYwIGY8lobLA8kq5F
EezUkaFgo9ZG/p3dQRaNLoCQYAGFfT5ov0gA7Xr2W9gLV7HbvxlxfeGE/s+wKZVtKrZ2P9CcQz7/
oMdQeDoh7QNa0F7qVn0nB/5FW6f5uq2pSrehGNJ8q2UrsvHg/0ooymswUrq8LkLlXnSlvczjQPbz
r3SLjb1b/ZvHBYJmac4BQQN/JgbNVjL7gsxnE1zBR0RptoWOtc/15kl1B/mLhGDaSs5B+HlK0aw1
a3BWRibfYtfaWWJ3KXmucUGa+6GBtRVuTzlfm7wm1FQ6qrkO20EqGa9aqKg3cSuF29zIfjUUeOtV
R1v9KiuEr7Agc/31XfWYd+mT4hfBxoiCkLs7pVKdxJXNo+R70DRfajgMXhvXiHYCslk3NMcNm15y
rstGv+684SoFCb7KRIlXX+ZfqD6l/8jPrh0nQsPRdFraSyJezWr+NQT/Ds2lRYsi0jLb1KGG0rJu
thHzasha6Lmjjh4bv9A1iv0AsegyB0YpAAlr2+Y2oSteSKvQFiPT2Q++dEcL1rEeILDr5RoaMHXQ
D6VQ7mTdvY0t4Aqq+8U1lJYGELZ6wUhXki7VUKDDCSTV0XdasRy7FfrOtnJ6R8zSLx/lpCh2Qaa9
kUhv78M6MzbQJF2JNAuvilK9G8COrStFonjaXyRwOFeh7twPcXaQNE9b0SlEJmcwEQ4AV6qKzbVZ
d83aB7ZkN2F3HY1kSjyxf5mxRb1K9NaFG+rrhM5PsYaggLe3Z9hDW9sdrDhUgA6NvPOUgHr6Rhni
oyCIr4IzfOnDZFMrr259UQfNTm9IeZhqANEbcVgbHiV68gCx7hr9gifwl5xeVqG3Qht4HVT2NcSl
gh1qrHebbf3OWtUthRlHEmwhVJ7Kkq4b0h8KfNd6vavkDnmwt15TbsxyHaBKDuwV1v5uJYeXUpf/
opLv2UqLdFRlbPtUH+mDq407Bk7ViGyUS986T9sj9fCiqzy4u5QOPhE0gmwWLzkBUo/KVwo231Ok
EFM+bqhATor9Q0RuQ7PuzKJ4HtDb0sixe1K/RT3rQkzTIzTtNwNEGlH37PjacxWCUK883Q4zjY7d
5EUq2ivIlLe1xeMqp2E5cOjBL6uvEP6zX8W23PWQQssuPNJuZOwqS/imRcLPKs/3gUblA2rqIXqp
4WVO/Af6Y/ccMUamHhwddfZcQcswgIO4eXQpGtapvmkjnoi+1F0YYn/lFfHBBxaTR9J39CUgvzX0
XQjh21rA2XauodYrpaAbPpDrO7/i88yyORiCER+0kjS+PHSwL0rpZRw1OhvFbW1HERMkfCzUMkbe
KdOoHtXMiOhL8WsS+OBNaae5qKWk3pamdezDTN1CM3an6wkNko0sraQgV1cR6VR6e9OjalTuZRDV
4LXSqr30Wo+4JmvfhYo+wDwEGRa4pQYK07qE9+qibmqut7pMcTR4S9vyC0WnQxMgt6tIbPtO8n74
wL3sUG4fVQ0gGs2iW70qxE0Pi73SKnS40yO+ovUSfkLrSSvdL2JrwgjoeD+0driu3OFyUJL7ti1c
ZDepnxWxtpFFmjQQcHxu6c9b+SncKZkRwyaRbiFbIbmb1y1XKRJBuZhLHBsZaWRRf1U4+RVX3Uc9
pJWC+wTGRKT2mwMZHjg4kIe+jJXkkvvgyuqRnvuZy28wDgOs0HZ55txkDSwc4n2fFZs+If1siOtK
pbrR/qBc/ODFTJY2HDtSnEXxZIU/TO0nfBIDqfgVJZ+boVO/h2ZIg763g9G1Xnves9/8EgToIONw
lzj5WhfXZVHZqJDYFswRVgMDwFukPSRDv0EsbgcKRokRpC03net+kdLXln4WHWBLaBFcKXVvZEe6
ExT3J4p9137ub3XaB914OFZwS6e04gzgeVYpIYuY5D449XPiUsqioOZ0973PTvYk2BuyTQ21fGCR
+VXJd4HZlfp4mxnWNq+5Gsl8m99/g7qezL+av7qSQqXHgdwM5vM3K09fuYagpDVANm1BJwAIJZBt
laB04UDM4YGf5JliuBvfjW99mYuAYWSwyYnarmvzepurrncjtYCxiOlF3+AQKZArX+27g6PFT1Tq
1o0bkQ6PD6llVqsGvKFHWn6nV6otN84vNyR9lCR3MTJyHvzvTgLr3SCrYMkN3zlqIGls14e/QAzz
X42Qqzeh4ldA2cx6DYDL2FZKrNiWFidH3wdc6BkviQSPOUKwykoQE1sJTWWdiBQtLaF5Fs2q3EIE
h3hKzZdToVpxd/dhOqm/WL2or2Krsn5xlRlpR2nT5w4ByapRSwej9w2Al961QV+YDn8NwABdOiRw
97kBa6ZY6S5zaIFtwUPw0GtotcmkS29Ix2/vjn2X1Uel5xVUsOUJ5BDfd7r+KIwksNx84k1vWA8g
YV9MN7iMCvEJwqPvTYFACml/tcURctXYcKFDGpFRRokgvkmhiJJK3XXrlmwdlyEz2v9+Wf2lvpj/
Z3mod8wyCYZzAB8f3PNrfZqJ+vCv/gfjo/zLooEVPuF/98q8Y3xA8sgS4JTfiqxU+/7E+Mjyv9Bl
4m0uagB6Rl3rP5NR9E5yGxsBQ7Ax/eUGyenDWOJH+AR+EQrksTPn44PVpWnOqYCAHALlKZH3HVoV
xuPJrMykVKb5hqmJydvbTOSIJkLRPKTNPqipnNuhuc37gz78pfQQj28Iqnj/gJmirVQVf7cLnaQY
/LYORIDGziErrW2mEdEia0GAe5LG+GxjMpi+bNxEbkQHzkfOJ/oPEQghv3MYhlF7HBKTVkj3PIZo
Y0tMkytFnm3gwI3/2HX/x8ze58+Y5BmM3Ipdq+Az6o3y1hGr7PNr9tEtPv/+iF4/mUo47ENuFvw+
xzzFpAEA6QKp2JKFSS4vLd3AGmIsiAWN/KvN+e//6HOfv3/8+8n3++iwwwKKK7gmsTZ7lL0FA0uf
P0miVaITmEAlHZK4q/o6o9SzoDqqf0olffRmdfz7yRA4QiUvCErnQC/upg9AWlg8tjr/LfWqiwJF
+4DrtVBrwGFbyoZPavIDlR6AAaL14JpcA+uE19xjYLpfvXgbDQNtuME+F8RhY6FRtjF1IA80ZoKs
My4yx8gQI1J/JSTIKHX0PFAtKt350AHMDr213gZbt/xiqNU+iriADeFbovuPHU/GMLs0KS+nAOWV
ul7TI0cv+JWgSPtajn+ZgfhWh/qdH7tbObmlorYFo1UDe+Cxp7+i0HiTabcieR3LD+UFNx5344d0
3DiHGtyV9FsYlqRMnEzNwE8NkJscGpMDFkZZUVqwMOsHJxYmjqbICYEgk5xDLCP4Fd+lgfFQtwsZ
2/EzPw8DdkTyiyQnxfEjTlyh78SwqUTNOUhwdmmS+5bJX0Wh5d7qIbtzOL91PnPV/J60d2uTvS92
rsVTRXcOqSQ/iSJ4M/i7t2Xf3AOMMVcFpGM0wF0U1Nyg7FoIbPMr9m58smJinTptPzDU+rlc6wvz
OPvjugzPD29LDs9Jbn8ootCnz8I5BK0KkWXDk8F5PD97s0t1YmIsL5wsVe1mwLGT3jmEZvNLrMSv
Ji+8gC1ZSclTnRQLR964Fp8848Tc5PhulchVGqFxDldFcUfSEIyRyDP8/JhmffzEyDitJ2NSdMEX
6fN2DlZK891Qgaqk0T5aCHhLizNxcgBIapjHLSH7HpW0JQampV+fODUqTYAdE37dzPt7NXgiqbrw
/fNLQdERilkDadyJ51rob1laQ7yW8kewGBA7LG3M+XV4tzCJNdDSdQJoaXxLN28Vr37MOAmQEdtZ
Srut8K1YN+mtIFHs8rJvgOxULXyAwh50ySaPh/V5t5h39ffPmRyBWqSDvcrxPdXZ0OK0JNg6v2J/
/rw5Of+MyIuVWuPnO5W0J71KQZ8uxIPZCQWVA4yefnVFnbhc1JdaArkhF8ZHyCQddNHEha0zO0eE
G4peEOiCoP+4ddqO5mgtUBzySiE3X4leuvjQkZ0QwoPpJI/nV2R+PO/Wxik92ahxBh2DQovWQdE2
gbMVIB55OW9hZlF0uv6p3xFB6e2fjAeOL0otdYGTc2DnGqJ6ycKazGyjDxYmYyhl062LkG3UydK6
q/1Nqiqvg9Pfh5LpLBze44aZRE+oPVVomll/g7Lgx/kS4g51PBVdO+h7tRtIRnvjW/jwN2bsxMZk
07qd08LdyIxl2VAdK98D7msAgTtvZWblwTJIBgAF6uK8Mz+ORDYDOWBxUOgTi53ntbRbFKsIjOV5
M7OLc2JmsjhFgXI3eRZgTpZkC2qyVdrnqpGOiF8sDGgMHp+W5sTSZGumvakrUo6ljFRpghxqSgr2
vqWvKlih6xUthYJZxz6xN478ZOvogP9DShQ4tkWbSVt6F3Uk/R1XOLExcTetgW4VzUFcWznIXLf1
u/OrszRnE1czPKkD4MKcFQjrcs+WzZscMVfKEndCU1wMavlCH+R5m7Nb6GRMk0OAipjgCKM0pAXX
8mVt/p1o8P7z00NA69shDDx+Xriv+vuk/nr+6xdWfUoOlf/59f4KGebD+R+f3yykIgyivwLz40eX
MgpVaJEGdg4l3JjHqpaeyV//6J3SP/rFsDBRo+983i/vxuSPxhCrTFHPZaKoJF1r6OjSHKvEPEur
Yt/r/sLunB0a7Cs0yhsSypeToUU8p8q+YGgxVdZBc0Fsu+hdpxSJs+Lb+WmcS7nAP05+ijmEw0ud
uBj/X2FkQsrVDfZvraJ3IpbJpt7LPY2csmRLdQq3YrSHUm6vBM/nrc96yLtxbXILqZI6cEFs8YJE
vbMP1iUg0fMW5t5bp+PTJpMJmWxrWg7j6+Vt7+7TfJM8Ofdau/rxDw1NfETWCy4pImNR66/KtaDZ
5nVYAl1dyQtZstmgYIGuU2kPsUh+fnTGKA+SyDIi3EOjqmfnEEl24XflNr5YGNHssXdiaPTTk6jd
ZIEKMWdMRLV2yWNyS0ubstZvandXxgvX+6UxTYN3mGTonOLyktBuYdSkdKaUAHjLu8TMaU7W79Rg
IZ6jJDezqU+GNwnont/SUFdjE25KEjuIw4LBaJKdg3AQwuc0Gue7RNbQviy+VZlHj0pBxVwtCmnB
R2ejy8mHTLZggsAmtWgWNAwRpd3K1q9MCtYLi7kwWmuy1RCHzdxWxYilXtXAkENbyV6sjX+FLjdU
w6si/7awuWfD2PuwRiKSU/exEi215ByLgrVGWNm4S9tntV8a13j3+hSaT6xMtp2n9oIMBImURrEd
yUxF24231bP/6DwYV9qVFO9pXDXaBSza0tjGrzrZGrx2rLBMGRshpdiX+sLPL+w81F8+/Hwgtdxl
KgZFkf9rEF2lafuI/PaCS4wLMJ06XadzBAC5AZHjZIF8NxFboQmcQwWGDOCE68pHaKhJ8KtbjcL0
yjL1vSRCCUBnrSwumB/HcM76ZOEsnRdjl2I9plXId5dvN3OTeDq8yRp1pU/fAK0YB+rPTr138k3W
7c5P4XQMkOVwY1VR8aEq8jkDanqCKwu0vh4r7djuiyW47LjxT6do+vOTCBWGVeBHGT8P0a1UJ8fc
pS/X8AqAd9RFHeWbEADSCPKFlZnGo6nZSTxCbEGLauCqxzHjWrbiJqad2vrRRkZrG1L89fwcTrfS
b2s6sGNevmDAp2kCOgNUD8Yv71hDcYEao2O7D6H4/Z8ZGT/iZL8aCkohLcQfRxdYi6B8k2JUC2Kl
+xW2+cJRNjt7kJ5xdZPlz0kJKSMPZvWMx2SharW6DBPthmrVbojI45eDsT8/tN9Zjk9ecmJwEiya
VJHaLmVsEHSs4mrY6HTlpYL/VMSKA2quS3Z6PXbrWP6uUelA71ES2EDStwv4svMfM+uxkEWp4GXI
p09vk4GlDImpp97R7/2veoiwEKANuAR6nV48DRhtKt8a1vN5o9ON/tuD3o1Ob5ENTK5aXDIBlgzs
iLG14yhplFT/YlieGpoEzNCqMnj+Wdq4BewYdTfIh+41L9ycH8+sB5marEmyJUG/OAlcLgLdKUw/
7IixZfHRfwJFd+HCKnXezPTO9Xs0J2amfgMqFKpepi1DrWXXJCLUjWJ2Ay/sU+F1ASlWB6463bs7
b3Z2v5+YHVfzZCvKIa2POpTgx6xLH7zGvzVQwYW6IADk3C3sxdn4fGJrsu1hSZPEQcJWV8D+xVC0
rE4XpnHGBqAoJCyh8NDhDptEy0TrYaN1mcYkyDsgeumrCFTt/Jx9esWwVhjBxNhYgNbr6DInk9YJ
lpTIaM4fa6SZPOsuKB8iGVlh33aAap83NrOHP9ianDpgCXrXHL08TdApbh6MRruEL2HvoEWQ+/HW
b4tVVfp//Rj4YHUyjU1IY9jIInFEGXJlRndcCoKfNHKeH9tMqDi1Ik9uwarhtlaUYAVeeQeV5cTc
pJawYGTeI/5cLHkSJhAj8WOon7yjYkbtNgETHYeKuBAklkYif/QIBGsiN4Ca4Cihq3kd5ReQO/yz
uZqGoUSudAPy6GNjDqvqZ1+8QDjxz0yMM3ni1nQjelE/LrpKF2W4jWk0F9QFd56JN2BwxhIBZLao
rE1WwxgcNcnrivO4gZ4kHxtPg7BfdfSvrYWytRbMzS3+qbnJukRBEfd1j7l6gLo6rCIYt+nBPz9v
MyfEhzFNlkaAmjdXxqUJpB8wRLQHJK0s2g2iL5KOBGPp5wujmg1AMsK6Fv17MhmbSQCCJ93MSp9h
Oc2+bzM7ZAq1vHgkE2ELbr83c/+uaK1N+u9OzP+KxZmfz3fDk2hUlo5kGM1oGMazEJjm0ZOHciGl
sji8SfQpKj/t/HHVHr2g2FQXv6ruaCnrMtsE4ffzazdvC6V6BUoJXbemF169D83IGsYRyahXp/I6
871oFSUK7TjiiweKdRfowTrxFy6KcxFDPrE7OQzzslG7QcWurz2UgrsSlVfTW4jiM3cKTLyPbeIm
SlYFtR9iQ/G+m7G/Tv19yFhSuqyqm7T7eX4qZ33jxNrEN5BDh5YN+fpjHH8Pwp3XLszY0mgmXuHr
Rtu144wFJlrjoD9HtFm09bOFe+WnVNR4vJ9M2/QG22uF2PgFhtoSIP0dUgEWBNuJ/i018vs6fHTc
VbA7P3ezIeR97qZ50TRr2gr9IC7NsOYBPoYfYdN2t6lYksC0FlKJCws10suexnm9LuFCHV3eGr4H
0Asqf+OoOp2/STzswiiy/HEwdMNnV9lT+3J+sma3joLei0SaBCq0iSMkqujXqt+wPvAdA04Af2Jd
NP3CzXg+MiggukfWd0oak90Dk07r+gh5HstoB8Wblt6fH8bsUXjy+5P9EuhaBJhb9I5yv6mS+MV1
O8R9EFNa2Defigq//fnE0GS+BKkrmjzGkElvqG2VAjRlLWoYtaRGa2qp2zSFXdPSCh0m2h6qTpO2
N4tOovPjlWb97v07pte9LHW11uzwi6YI9h5cCasEEb61IJb1hsD8YlkA+0e7gwFZVtAK3cZRrEcz
auS1LALrr4QlIM68K/25xtPLYRipYlEVrLGsr6BcQLHo/JhnYxYd8JYiy5oIrujjVoMoHejn6EPG
OLHOOMUqZJ123np39MhldpFkl6nZfjlvdta1RjgJKRxuTtMSedrprkqHG6E4i1w48NFTbGqD1KEL
g5TeLZyhs4M8sTau+8m9Uc8VN+thBjwO7a9u1UAihKJMsUrQF0y6heA860MntiYTWrUCNL901R1Z
tXXRgcMcArf6O6t2YmRyNkt0IWrm7wF116avr42mQ06X27B22Xj+Kl+Ix0urNQk0xSB1giQxf6IA
y2CWrd08s0246h1oFc87xuw5czKycSlPlkrIuO9IUHkcNaM/WKSAWuPSkV+DWF/7YbQwjeNaTFJh
snxibBJ3Kr1Jmnxcq+/D6pgtRJO5kShg+Hnrm2S4xMmP02tMm3DRc8g0L4Yg3ebaK63Mjeus3WRh
0uZ87sTU74PiZNI6xQvDTGF9lPSxCxp3Q/lJWp9fmLm5OrUxeRe9Dyfz1I3YIlpIj57z47yRhTn7
ffE5GQjMvp3ajnNWaK9KNKzF/Dbr7ztYggJTPpy3NXt8no5ocguI4eNUvNHYEFTblPQr6cbkTUW3
wZcFCEgb9aDoxi2aPuu0Xzhal1Zs/PvJQDU9kwqL9rijUaq7QP2mKcnV+eHNW4B4lm4S0+A/Hy14
TSdkHtyJx5QUdgconeGctzDvEe8WJlu1IsclFCkWHMlZA4O69YAdQEH6182QxLJgx4D7VuRF+XEg
lmuh5kpj2TGPC6hvD5a8C/Olq/vc0f/BymQwARCtNHVHmKYI0L7f1LQqeJ0BM+KFe585Oz08NuV1
4zUHGYxnCs9CE+QL4WjmmPrwDZOIUcJcn2V17R4FEfY1YJa0FNZXOq2I6q5unv/y6p0YY3o/TmuC
fGjDrd49pi6mBm0NXgkpwqUM2owbfjAzCRtkz7zaTTADJQGyn7oEx3zjLoTamfPpgxH541h8vfZa
08CI9KUoD/nKvZWFhWP9/NpY4iRYBLrrQi+OFwJZh8BrbI29l/PrtLyDSHHDfX99fnnGtZ4cTR+G
NAkQvl+pUkxfzjFSBeS8zENsWXtNO8jhtYp0qmsOew3+vPNGlxZr3PEnUSmIzKpDesk9qmYJ739v
C0u1lyULk4vLuzsE6argolIubKHZ35d1yUTKEB3EKYhUF2hrhvzWPQLEf+nS+l7KFyL3rCOcWJgE
CleTaLmRsWDunGc52keJ/Vu38c/Wxds/lvmU92jWn2ULqJ2uKhLsVx/XAZVWq+x7Ft8NtQuBUCDC
OB+35l7rl7K28xP2bmqyIJFlZrogF+4RzWB55Xvr8x61NJJJ8HbF2mj7KnePV/BylxymcCn/jZOO
tX4fwmRF+r5VFaRMx61ih4/S8/kRSPML/v7z06icybmgVhknQ0ef8gqqE0m8RW6jru7B2ns9Tfl3
JUKMoveaGeuFN/640p/CwCjQhgQPub/pO0k11Fjz4UpEx7faK+6znLc35d/IQY+89n8aGX3kZNu3
laV3XYgRT17pD8bu/ATOzt/Jr0+cWYAttyiawEW+3W72zg8l28FIChuoni1YmnW2E0sTXx6oCgoa
nR9HIpeh2C0SMAKkItvz4/mdVjm3JhOf1tEzc6s8dI+jHkWxDZMdPsH/Gg/eug5WCLAo2Q+1Oi5N
5JIvTPy8EMGddSZ21TvrrdqES4Ruc2mYD34w8fShocs5Kpg/EKTlxupv0002smnu03J/fg4XVmqK
JAaK64dCjsdxDLjdepA3wX0lHc4bkWetwNRHHceQ+e9kPG5vxZ2bCO7REIYeDqxkD2/1ddg7cNTE
PxEBfRgKY5tTnhg1AteDCWV0k2+0ojuYUvczbvwV9N/fG6G4Vlr0gmox+qEnia026U2TC7AimFeB
10MPYF0Hycv5r1/4+N/kZiebUlEqoTYkjxwiVye73gk7LV4IzvOX3vcJUiaXs9wxpG7QmKAiupTb
dbmupXXy7N4Kx+YK/sOlUv6sA5+Ym1zTsr4RZCSOKN8FDylxTN/75sLpvDRr02taZPRKrTNrrvpQ
Reaqj280wB2Ns2Dnd97tUxA4GcskZvpWWlhSgCH2fiUcxeBlJd/6dnwpfhlJrb7p3gom22cVuVwk
797+mW9MQmon+UpVuS4vL2Odr5tNf7l03V2ax/HvJ96Xm2jTdGJAKQO+Eet7mNZ2z7XdQfvr/FDk
caLOTeQkmqZOEyPHIbFJ01HdTDce/a7fSynESXFpQNKUrjVJfFPpZ5b826oo/XWRafUqi427RnzJ
zOq7Eej6Wm9gFjPdH4NFaTMzSkTyJMuW+/wi8NsvbeQs9Sst7p5JPE5BIzamwSq4wO265yRfS/Dt
XwC1yyC6gmishGp8YbqWZmsS0gJLlUQ6CIgK6qNqNeuhWMKnzBWXdNTd/hM1p63ugqRJvu6x9MZN
Y+5LWLTNcmOSCo/H7LPxOrwSiJZS7/P+RgubIUkWPVMTj4YKvLQUj1yCl4hXGaJiKCt1q9IQL5tG
rBaei+MkfXa5d2MT567F0k+HaDRW21qxSXToY0z05JK7THlRh3BVmwvLtjS8iZMbnVMV3jg8mKl3
5E1ld5UySMn/fn43LdmZuGTl/ccOGnkNUmmMJVdeXC36hzM4ccN+QP3KChgPpHGweN+JJAQT585C
nQF2fMQUfKh6zg9t3vP/XDRjkq+IpRqGbReTeg6F0pigyzttKRqN83PGM6Z6k3RkyMT0jgJQLK0D
nZ3M1m6vALJCubAKEEE8P6hx3c/Zk/n7SZitfVRFYqNlr6VrejgTx/Z+xeoh+KvdTxTYDHizqUGN
rMoAwj7aUQMSO+lAQTITlE0/iDeDpV2i6bQKVGthSDPr9MHUZEiWAtAIBtOxlhejEv8aeeH2L0/a
BwuTM75QaUoNEyZN64xd9mbCxS9Wjl2Lw9EUlMfzxpaGM/79ZIVSKzK73seYJXq7OrE5eRfuwjM+
92E4k9AHzZgmxyVrk7wJaCU2hzjYCcOqbG4b9fb8YGbCA8y/sjJW3XQAtxM3kCsLYWUlHpFmB8FZ
a20LjmTYaM7CkH6zFk/8+oOhiROUXW7pcZdQtTQyFFciAEf9mqbO7SBL+jpKFUjwZfmnFDvbwNBQ
RWx3yNHYsKg9Zkb/FsWR7WgQnfhyIth1OfwCRruwsDNb78MnTrwoLL2e9yLQ42BrlA9wrJGazJ31
+QmfqzF8sDJxnyZOBFVImQhf/OqCVjecVZpde0Ww1QT0yKNNXHNL0NSFTbi00BOfiqo0o0OZhY6y
8EJJnkt4eCML5smlAS4ZGv9+sj0cX+li8hMsNIyMySpbhbfxP3TaydnZZDQ5FzVTGNux/dVOF3x1
3g802loA99JxNznKskEBWO1kXAa+AmtGHEJtdq2w4AfjfH/eD38amRboohZ94SBnj6O04SFx8LXA
r0s3WsLdzcYSaNn/PZjfL/yT5Rh6IXf0gOAbBN+UQu+RZ+lskHh2zg5TPJR+sLvg4qMLfx4bLVVj
nVP5VGiCTTdtoPUEiTvYZbkFiyL06yqw1Wv/ZpTRsIcrKbWHb9LmvOH5hXu3O87FyVj11g8zoHGA
tbX7wUFBjBe6CJlDIK58f8GWNO/n78YmXmJUghhnYUjkbHZufZ8M29hfIY4rw0uN5N0tRNrJdXbM
vp0f43+JH3/anSZKeHfVikQnyFGF5DU8SJdfBc+mgye81exmd97YwoRO+7s6CV0WsWGMTYak1sq/
bR+b6+Bvbbf3AU1OhrwtVaQcMWIoP9UH5BODV+uXLi/Ev5GR75xTmv9L2pUtR4pr2y8igkmAXoEk
E9uZnu0qvxBlVxXzJGZ9/V30idsmZU4SVSeiH7rD0ayUtLUl7WEtwbubRqWnNMa8gRcusjw9vmIq
4htgS5pi0K3bUEpG54KLe/jlOVzf6J/DE/x93EzggSznEzY8AR7U2KDSTX9dBlldqP9osoPLBOwf
55bPYrlTedvMdYxQqxqUj0SySmcos9u+hWH8KRvDP5fHBZw4JqlSq1ZBVZSKjnIdToRV6YaPX502
nVpgPEfS5kuPsqSxWk7BdXVlVQ79AQ7bDSe19X3hmLISjVaUy0gLmQoUGUOwpbR2vnWUbKHM67bw
SHzUsBjDFIIHFe0IujT6nZSA03TaMLK1QC1ub5/TJbi+AZrouppiOFDAdiAi/DwG0Oyj0A/l5Ekb
wSpusd4Djdy1Fd0U3ftl81s9ZBbogi/8TMgbcnRMs5kFrUiZk9B3Vr7pukNZG2wUXK+eMZ+QYjdy
1kadWqmzfRjjrWFcd+MWW8/6lZVos6iMrKia2EVljRBwKHMDOeSPwvTNzLNyN0DAyVGOg9+f8jtp
X5wgdOKPv42N9VzdzwtoYYPpiUEzvSDhVR/kLnh3nZ5zG+xoIJ5W7Wajlmt1KhdgsxEvjZRKSqhn
GOe3bkf2ly1jLSoKYY/PSRT2WVaoI9iSMRLzOr8q74tH5cDf+1fwhVyrtltlJ/YLzSGXQTdXTth2
hTwxFrcYkXkAybptXtfAGhTH3cCZIwxfLjqLwQm7DiXXTTkYEATL9W9D8VuVqocoYg80rx6s+r6E
BCnNWhwyG7DzdroEK2w3NO0MqhpgTkEcOWZeCDLTH7h8pDflNw0NAYndGXsErDY85lqb6HIp/2HE
XNjJoKhNDPkWZB4PHFUHNr2ubvPAdszQ3xjg6t0KrXDotEIHLBj5zi0y7+JiyM1559mZ1xzjK22X
hFurtzqLCxBh8cosLGjdAaRTvkdae2riexPpLe3Yxsjskhfj9fKoVs+CBZ6wakbVlMoUAE81R6SU
miJ2obBxp20RNaxu50+cL8tUsyKBbnZ4NVBVc5WU3Eum0m1ssY3BGELcIGc0GqGXHl4V4UthPZlZ
7Py+PF3zGotGjvouSL2Z8B6QAzu3gYpwKk1RL/ld/ArfK0dOBDnRyxhr59YCQ4wglkEKBqN+kvw+
hjIIiW4UFjlQiixYdkAB1O4vinTNJZ4wa1kbgu61GoBX6Ok+UfMDpE91PMrSYLxR9QS64khV/Y+D
VM8nMp/UgUMpUvLLQNvz4D1O+G4M+p0KudFCoR9ZLW81za5treU4tXPIHkoNrO655EcMOu/UQAKk
1eXpNgmlAXI23SshAbLV5inImZcMUFitIo3uoDTgy3r3EBD9rikKr5zVEKsyUK5GDjUqYjSvDej4
r3gRo/FyZNMda4bYNSwJUQYt8mOzLXYyl003HDM3MMbHotEQghgaKKOMTbvPrcJrJ+vabGKUsUsq
VElYfdM3IQQkeuhcIn8CFiNyEybJDtqHjxCEv0bSaFeU433GGXGploDJQsOKXTbEtT27nLD57wvX
Ci3WAZo9o+RDHhyXtw7SU5cBVp33EkE45HsuNw2NYep88gajcbIbAs0Qu7FuW+V7Uuwuw20ZgHDq
g3t76CuOzWuEvt7+mIgXnhBabh6nkRymaUtIbwtOOC+0kPA8pYDjueqZUHmHFmsf2gH7jgCn2466
GzePW3XpW6DC+ZEUGnptwk7yralDIGriEMp9IyEmuEWRQPvYgRdTgRTy5ZldOxqX6zj/qoWlZFbZ
VwHBUF9Yswteyhtj8v4GAXpsFOxhYGkXxtVmWhBBcVQCM40TmFDKjbNZXsWVePftf0MSxsKYJpcG
B5LWSV4oRbeQ6Xa0ooMUavE3SUz43n+HJSYxeZmxhJsAa1gNjpDYbVXdJ2h9LlPmMe3diG5GHPya
DlEzJI478ExcHu3qHqfQGVNAvIWpFZxiB97hRGlbCWQ53ZURTjutf7+MsHYog01GwaMZHbYgoz63
DQWazjExEsknavtGkPmuZundAXJOl3FWLZ8CBJ0MSB2IAdJAG9quUmLJl4q8sNs4Q26CDhCbMw7Q
d3pJ9H4C9b4O+q2tbOYGshg1TZrBAuVINh/YKpi+qtZBmTzETU6Bov4Yp+YUSeND8RdPTeVzuGII
NZR5GZmslPx60rwpgFbHVrvb+sL9O6FikwOdIF6nsUryq/aKfujqTe1fXrF1978Yg2B8RTvoQcRz
yc/a7qSW5EddnwoOgWmEau/GmpygBwh1Fxq4eL0rEOWds3UQnzc4SM0u/5b1ffA5WOGsQysn7zID
08kb7k8UKld8w0duWck83QsfKeEuEQc9phPaqobHEvDWh6y6q2h/hMSM7DRB34J9VTvxqt3Y5Gu3
VnS5q7O6LVIHYgMm5NRUOdApbq0JuvOM32UUuwU78R4tBOZWp96a2aCLH/lbkEhhIwrjbKc4ycdU
w62B2hGYVvr9lhbp2lotEYRzvGFx1aKnVfIhMi3fZX8Vtlp+Xzi4QcFZjRzS436aHyxwhxE7fwq+
teDvCDasbq1oFwnEz8kSjrVUAd0ajXQcNq0NAlYVTcT3Sn9immuiPNPJ3T57MTsXimNs2Nh986fF
p8wSerbXhT2acREkQYl1ajoXBYR2jtTb8+VNtXYtQLumAu1k6GzDIM4hJF5D8hLS8X6ZH9oXw1OO
uHNfhlgrA8IMfmII5taVEJA3Ywu3+sjNCJRyD1N/k7IfJX2DOl1RPsb82vx9GXTdAD8xBQMk1SiF
UUAkf3CgIUjJxpjWV+bz84L90RYKnlzB5yMIA2ve4KIrytd+TdrufxuGYHy8UVIlyUzYeWYXj3Rr
H80z/9XAPochGJg0KKwvNNh2ivvTzZQ77cPl3/9fds+/CGJQoTN7Fps9BkAVW0M03rI9tzO8Ljom
vcMm2/hgP0h5TTMw2m60ra3Gthd2J8YaKK1YSSTYHQ/d9vssRfw+FE4HRZLJjVKwg2009qgbVmGo
55vJGEvZkCYATto1ZM5w0YbYaPCTcps+m/fhU/KiXNVP/Zv+CsbmaX+4PNcbJm8IR3VKU2hOVThC
6uYd5UcQrI28v0HADdHU0BMDEe3z8Vlm0Q/DJGF80l2BJ7Ekbb0hVu8boDr/F0KYwlYrErAk4T7N
2UF+06XdP8m2qPpJJ4e+TVtJtv/imz7xhElTIc4+5lYg+Uphd9q+Mo6J1/9gD81tnTpuQh4vz+C6
hXzCCe42hGYgKTN0MMTBTlbvgzvlZL5BNHvYqrpd39mfQILP1cCHFycM4xp65kCiFjWs6C7KtnRK
1m3uE0Zws02Yp+MUILQyZY/gj7e7bNrwgP9lF39CCK42qpM60Y0IEMV+bo3IPIgr1m7bP7cvFtvy
GWtXQKRscC/SFH1mpz438RHKiRGNYeLsOywvivbmR6zafLLDn+F3lK6O+/R246ia5+iLEwYLCzYU
otZQMT+HlELeVXGKuxKFVGhXv09JbGc6VP8Mzb1sfaurZYAlZJafo0RsaZNjlst9hndegAsLqy0n
y/jGBG5BCAdWQEctr8ApgPba8tlooptQ3rK51T20GIVwaFUQfmKgjwW7b1O7aprcBKFqs464k1Xs
omC4J1m0vzxxG5BiDECRIsnKVDxcqfmMjWRX0ymU7ITFbtNuHCKrG/dzdOJbPIgNYzSB54edcbTi
dznMG5QwF5scvKuWPkvZK+iFNpArPzc7S54IbxIoMunQzjX6AFxx7Y1SV4cGAlClpFw3KHEoFJzY
jTI+pBl1KJiq7HgAUzpRs/3Y3wbW8zgRvPWgEpsh2nN50rd+4Gxqi9uvzmhIyj6AqlPY3PaNdSxf
jFuzr9yqZc6gNJ5VWc5lyJXJR4s7qC+1eUrAtXAOWVgxdFZikCvr07M+4iiIinHj5riyQaBLAjkN
GU2lJjbhOcTIW5mmJQiWh51iedaWsMLaCJD+gtKpaYJXWbzz1AaqKnQwrPokHQ9TejXqgZPDgi7P
08rSQMDtE0U4pWXeE4OhEcIP7VTxouDaiF8it9YPFf1lmBu3jhX/CFEQGbpe6M0EFdI85IUdjIXW
yAUHWzq2uJHsY+nNODSqubEuayjwjPD5czkEWGTPUdJ+UsxkJtEfUYgld/ezZDFa8y/PmzlPjODr
QTvwiSLYtClzK9U6UE+PEA4C8zuu9RCBewRx7Y/IlG7bUbqJWd/tQMzmpeVwlMf4RqOhl5ro3A/9
vita6LNEDWSUQ59YyZsOOVwW6oaNMOj3kI7Jvpfi1taH8T4ym3xvjnJuB132ENHiwRgh/JzjXmjj
X270sERahzF7kNXveUMeoiBO7AHaaehIR2jTlPdpYNojM3cBBMJAQwWB8/G2wf9qtRyuL4F6NUrl
PlQSxnslLq44svYoVqF3laUg5xG1tzRuTqQgstMWxaGrEmMXgILDabnlVoX0ZCRIuRB9V0BUKx0Q
cqnLET1w1Z7W7YOV16ajQzPZQfudoxpbZJkrTp2CmhFEydjuBnjQzle8BnEGhL7DwMexGNqh1tl1
38C3l0kJafBjaIIDtERl14YJfLUAbHwD8WRwbRlfeIqHTOuNgEWgPodguJU2u5Q+xPH3ko07Of92
GWut5m8JJrK7jWGeqHIJsDKIfUUOduEYQSryKaEPJqBnzXLI2TE8VC4Dr2ymM1zhocBgP0QtgJul
8r4ekJ9EJ6Rbyqkr98bGILewhGWMymFUuIplHPaSFTtte01jZ+D9xrqtOdblzhW8UDOYutYq8A8Q
hEvsMVIn19RVr2q33N3sAi65iHm8C3cHUW3K6gpArEp2NT6fb9XtzHfYSwjCHZe1mdx3FHpF4CdN
kOzSryOqeo02T9s7euieLhvDyj4783nz3xcD6hRNlaJy9qwWGhiTBpkhLcHzFEAlGiudqUHnWaeh
/OQy7uqKwZNDqWTmDhULAXpaK5KqQ38lTl3lxAe32mpOWB3ZJ4JYBqB0hKYWw0Sq2iueq8h7PUy2
inxwor1eHsuqUSyQxA2VaUQpCoyl7Mp9IX3DdXTDvrfGImyjqku1UkXA0a+M5K3V63s02qMQNHS7
bnhNcv4R1I+Xx7SycSFN/e/6iBfQT0RoHiMdE7+SLrcNvXVYaG4UFqxa/AJqnt6FCRKtkq0kxULF
MHR9IEfe3vFqn4D7t6/1X388LnDggKeLWDoq2ES6pLCIRySWcQWLItmR6scwnEwbLamHqd1Uulu5
iJ1hCXsLqn0WjTUoTYTVS2QER7VWnquhdYsR4QxUJxiReq9TeWPlVqzxDFW4JldaZLaBCdQ4S1+4
2UKJPvYuT+KKOS4hvlSrj1AkxpJBo0OiHsvKQ54/Fd0xrN8TNPqXGOJlvBVjPMMTNlgHosIoqHEx
C7XcKc0f8p0cHP6GXegMRdxk/06cNiWeFPZeIc8aLgGuOFi8yyNaXSRkDyCLC9VSkBac2zwDY1fe
y5jBIr4tdFv9i3MKhPCf3xdMj01SmFSzhksY7Kb2mAwbb4wV9332fcHIUCSmj1TB708C5ycuKs2f
P7SX3xcZOosxLqu4wBsGdeR2Vps2ie+nNtzwPKtXsMU0iTFTxUpo2HLA1Jn2aNBgp0rBXg4qTwl+
6vF9FFo2Hue2VNT7y+u/uoM+10cVbK3T81xSGNZnkJtoD9JXBFCT/p0F0yPTSubQAlx1lOUby7a2
kRS8DImmQHrTEFs/JKnJ00DF1S8EiyRITT46YyQOXjqyl0jDVqPJWrwYzVafcMIo9XosaDfBSqqx
eTQaxOqCpFf9lo7HymgbsACQG916lxTzTlLHmcWBnUISdD6Tki3ym9W1VmQLhO8yKN+/sOjmNaqv
UR0HXa/YayNi01O+Z79ogQzH8xZnwNr2XmIJ2081ChZB+wEO8nm63krZrdnO8uPC3mt0VYkgAwKJ
w7pw4/5o0tqlPpcOl010LbaL1ft3wsQ9OFQJzacROFwHZWzSoq6uu5dl1Q2UdqfUgxMV+jst+qdq
vOeSsuEhV24FZ+iCzy8LM7H6+SlG2Wuh+UWyFVNYyy6cPTEFhCiyzBj9bLNyp7LLasUpwS4xdDsj
HLyselWScMfr31YDMoSkPIV/rI6Nfpuzd5h2fgYEeq0HA5Wor3LpZGoyWkY7Y6sjcW3HL160YgoZ
9CFNC3JnDFJ6UmYm1xzlsKGLQnr7srn8E2YVHi5nw5l/yeIaN9YMJ05NqB/+Vo3uB+q/A2/QJN1u
R0bsRKuR5Tho2p2lHyLUFpmd7EkUMkDJPQvRN2gSn2eqGw7TPoDo3hUr4Y1DbbC5VXHHKlJrF1bG
a1GR1C269GdeagcDPeJPIyW9Dd1qaTfF42Os8R2uCtdp3z+1GoIpptSpT1EIn8JlOFqttCd5M9Oy
dhwuZ1k4zpWJa7k+4pmrMtS4mQ9tOx3rZvIvT/EqioU+1fnGoCliZYhOJKmO55gIHOY+jg8hVMbL
LcGVVaetzgoEBP8oX2SGEppB443ALDX6TB+fkmbf5ruO7ZLr9iRvHUjrQ/oEmx3pwmgMsCJIGbhy
fR69aUbljfGtmv1FRQ20pj9B5h+xACn6aaqVAiCRcdD7I15pdihvZevXXP4SRDB/VDyiISsCCJ3Q
qoHwjbK1wzZXRrAyObA0g8/jCMLYRu2BTZ12OMa34S1HXiWxi62X2SaicI6RqZJJ2wCxwRYtpcNM
qD2B8oOSuwgs1D8v2/d8cH3xIIt1Eg62gcWjkmmwPMWbXhoUtNnjRtHfGqfb0hTEioeCSwZp5i3U
xogfJnegHnDQUmxezeIAWukZORIqO9O9PLBVJ/w5MDHubxZBUTIJA8uiwo7Tl7B6etXz+8sgXw9M
iL0RhLVkE/rqX3TVP/2vXvFTm9fvBUQPWPuEeNIJVc0b7n7ldnAOJ5hGEk9RNjC4+7TUhqt+KhM3
R6zSrtDhZuuBqdu6JQdeVzY/yg+r94Zy44mwOl40oxOwykNYTiTPrEy1DSoFPyDH6dzAuaNs2x/U
1qYlercT6eMvpncBJ+xvMlCDqRHg+v7O0C0nGn1UBNo03Lh2bQ1L2OQjHVgdx8AZuxMjzOHpCTlN
peB2t4H01WNhBRcjElawrPsgykIgQZplp2Hi5KzdaEL86t4BYSm6+Q9XwZcOZpzTaFhFNMYPBlty
w9stK1wdwuL7898Xnp0mSc/IvChS72V1Q52Cokfk8sJvYQinRwTW4SnoMQa9fIDEN3rNL39/nuZz
r3c+R4Jh9Qb0J8t5jhrE88JMezfLH2HNDzl7ZVKxvwy2al2LCROsS2sgjzDNgxlRLyk/WLoP+Ydb
cyu6uzpnVDHhkGRtplQ9XxdJqvpeHQCjdvq93qfH1my3qvxWbWuBIZgvuKlyUx+BUVs7Q3fZm6Zs
WO/WKITzKCmmWu7nyUpD5hK5vUot6dvl9dgYhPjGUup6GjrkofypaQ6qQW0pMtyC/7kqHGwMsrxE
1RFr/9L0XFZhYE7zXKUNKiP4Q8hu0Vy+EVxYH8snyDydi80YaNFk0GpeEF6hGT6xM47LtrFVG/H1
MD0fi7AfoQ0PUitJpj5LuZ/po52Fige6TpvKf6xaeo4k7MzEolzRUIyEaoD0gWUyaga9gL6jIvuy
EaywWJwDCdvFHKpORtUP9U3L2g2onNilyMGmNCEuHm8/cAd7aCPQ1fAKTPFN96sr0v3cziK15NjX
NbeDKL1TteCRFHXppFNWOi0j3T7XeG+n0Cmxo/BV+fOmpfNfLWzAHNcoA/wbFNUM4MbkHxDwcVG/
GUVbDZ1bKy7sw7QPrZwWKlZ8aL+VbOjtHhOA2qVfg5xvua41K8YWAQUuJTr5ojtsmdXU9NqI509z
SKXHCIlnc4sIYM3lLzEEw6Itn6KYYL2HyGiR3G7RP2kU7iAn1q4n5k7tdqb858R6iPctBiYYWZBb
ccUlDGxs28QnnfSWtsGfqyqegwg2YcDWLIMDxGJ2/FCerN+GthG0nX+neF4qKJ9BABOh2y/y5Gki
JYNp9Tjz6VMAssqrND8q7S1qoi7vytVFWuAIwUuW1CWI8v/BqW/KrN7JHZQuUa8B2Bw55nbDC6w8
tjB3C0AhHlQUUk2l2SqQG3VDqXATdbyagAPuRTTKZ03qGTqk5rRxX+rPBocv0Dd+w6rxW+g3ALUU
KFLECAMnJbGmCMtXjtBeP3D06n+/PKtbCILpS7jdRlMIhGjqn8z+Z/EeEOXXZYxVC1mMYv774iBK
CQtzRR5gIfwninacfvrgZD9Zk6/WW/WOa3cEqBD8O2OCwdOuH1JIUuB2CPZ4Ww/jWzTlbgXxtgYk
OMAkhfJPP09aapWKY3UWd3mhfaTgK7QnyfgmRVsMgqvG/zkskYilabJY7aV5Cqn0kw23pkT2kn4q
Hyey76aNp9WGTVAhENsWZmvlHGBpqO2a8UouvwXDn5eIYHctRiRsZzmRdCIj3upXjyE5ocMxqv7G
MS0QhP2LFnW5y+bN0zblIdBq13pKgpdiMBwt+3NuzPPRCHctUvUkt4Z5yvLrqXOz/hTldj/uwP22
8dDfsoR58RabqRpQ3KDOmynrbP4K32sHvhXe9MUDT3aX9+1sxl88u6UT0LijJuRL5JEoel1K8xJZ
sLZmuE2T5FrOVbuO75IR8lB5jpYN3bsMupIGmKfyE1WYykxH32AZTziM0ZbBo/4pz4qDknKvbPYZ
bfZNDn6eYZ8T06nayqnijebCNeuf2b0M5EwRvxGDQ7oRGJE8wWwoUMC8BR0nB4yBG8u45qeWKIL5
jylefdp8+tcYQ4GxQNN948Bcu6YtIQT7byyFh3QeiHItPTTdgQz2ZlHP1mSJi9XoaLiygKEGL5p2
YNAACrZU1lbHoUNoRNMIlNXFRuihIFaTDMBoQtCLB/jPfTrFPpqmY98yCXMvG+Cac0d94//Did3P
DSgcSrMCHIq7ahRehpI3ppGvQ60M6ZIRtKEAvwy5OosopMVDELUwuOae7+lRV2qI1mOj1dR0K566
Uw8NDXWrz3QLRjjrxz7iQwKa9jnjGv/S/7xSzpgJMP8dhXDMDyALbcr52OB4l5GyA/UKSCgl+TRE
7NUqsl//26QJJ30Q9F2sWoAzLS8hRxS9WluWtzVhwjkvgWHD6v9Zl5Tswlx2hw8ejg+Xx7Fub/9O
m1h2WjaENd0MEu8epsPlb69vnc9vCyd52KaKMs3XBrNCGlXz+1LbN5anEecyztqhBAYhmK82twGJ
XTl5wIhslL3lG81Dk+U2M5jbhK1d6OYuMZEp7NqtzMHsIMXDaQkpeJ6yII0s153lJ5V1AJOGG1WN
Nw2pPRQgIjEOUQftWE2yeT76Cf3WjtaGe1XWrENH952M4D79WryhS01kooXA9CMcintQ8TwrbSk7
ESndhuu/uMVrm2ija1mla1bDaJu1ibw9HRVI7YYvLFCf+FRuKT+tHSzLXyUcLHqJ4qzYUiEWbcYQ
Dyja51rfovlcxQBvL+qkLJWC1frcX6ka7wboy1l+VO3y0u3+wpoQY/v/z4uX3SBOa+QYGssvY5+U
oaNwZkNzwUxe5YbYcbAR8F3bJEs4YZPkA9gEprG1/KG4i/fDeFKQHv+bmMkSRFiWsglQX4R7ta9Z
5SHNlWcyfZiVBMmirTDQqlmiHwdE0yZo+8X7ixr1mcRUCeLXdbqL0PEgabek3QjFrd7S9AWKMJ5e
VXkBxg7wmavSUZNK2R4N62FM2m4meYIEQlhlzzKZzW8MEONUB7pLjUF19V7bWL81B7r8KcI9JxtN
NkBO2fIVjR3oZO6RqZGMMUSZ9GtSFBvXg9VE2xJOcDwSmyqQ2QSmn0S5YxrydwOKGUOW2bx4KVX5
ZRpKt7We5PJAwi0ZkjU/i75k9EKpuAwZ/1AyLi7/Qz7Kkj5Ry5/ql7rL7LB4gQB9Zeg2q39edulr
ZoTwtImCc7DofKGG7RtaD1pK4NL5oR5+KOr3JN249sxuQnThSwjhPjLRLIiLFpz4SQOF4z05TfUb
SKWojSL+gW24a3XNaS3RhOtJo5Y5QmFA63nrZLnSXJEKNdSTLllPQRCNaIaQ4+tMY+ouMobay2t6
K5v5McktL1Yg9FxKY7CPZf0pD8ZfEkdZRJCi7WekU+k0Vn1VB8XvIc6pM1R5DpGyrdqMrekSLjxD
XRqgY5MtPwYFVliojZsx/dbK+K6UpPdySLU9YUPiGlpsbHjkNRe5nDvB4UMiRjZTplq+GRU/cu0x
QFQgVVC6v5VMWLc6JMQoYgNoLRb2ckMsro4jrC5Kns2stJv8MY2jjVvRuiV8ggg7uJUl0AMWhuWz
aTy2xS+Qte8vb55VBA1Ru7lgR0Z10PkBaeZNEzZ1jCiUfm3UdlDdX/7+6jQtvi943zqfdEuBWiWC
4lA4uG1RO2q+X4ZYHwKRVUVRLQr93/MhTHI7Ur3OcS09oTNtiylv1aC0f7/+5YjXw1SuwwxPEZU+
o0TeGdTI0drmmJMtn7l2PMyZAxV93JDeEO+mMvaEpaeICEaT5maV7Olj4igKahMaxW4l4v7FvC3g
BOMqWZkaaYyosYHeyzKS7mP952WElcpZaEsvIGbrWJwCiZnSoRwaBLYkw6uM9CbVgyOum6qTStW7
TItfKIyA6G8EJZjeSPzL8KtuaIEueO1Rq7tIS/Cm6CCKqpc/0lT1oJyKNsWj3DY3qWY9lYpmXwZd
tcYFqOC8Uz2Dxwgw5DRCzg0xoiNFL/tljNWBEaQwZEoRZRBlC42yNQM5KFEwGQ6/jf4Nwh1oODXT
Wz3gt00s/wa53LdM3uLhXR3aJ6woOKgGdRFlHcMbLfP472ZLXXJ1py0+L7giaJY1Y0lrjKrrHAv8
iQFpd7iruY2+FTlZvRSSBZbgltA5JGXjgKEw40Pnuhv8ZnJtl5rsob3RkcrWrsveluL+Oqt/mqW+
cUptzaRweFC5M7RRx1C5XJ3k6U6v8ofLJrKGYMgy+qsN1Ht+yXWB+67NM6JYfkqSq8FK7Qbkv5ch
VidxiSFMIrLnGujvOK6zWX/bpmg65WDPylHJxb5VEB8NaG1Hv3L1EGvPIa6el+H/o+su3sqW+MIs
1rVqxaTVA9/ok9TpxrS8UjuqO1nA+aHg7HosI5Rgp3lp56bCbQLKZS+z0AwMUcvWMSFlCk42heKC
MJlOo/RQqKFKZktW9JhlveSOqrrPovaV4O48TdqzrubhoZTk2qlhQfuUjx+MT4ZN8volr1t3rqKw
5c66G2oZdSVZ9ZbWU387tCkYJau9qbIXkNTzBJ3P2fjAzbp1kqB+5ebwWjfDoxKhiLA3ysrVo1E9
KYkBycAwAtHtHGjLtcoO6iZ4Q0H0O5QLOyiLDh9oAtFx6RvJPtTr7tBIxXTFc/LSGurgqS1PTmnX
5w4NcAcq5eCbjI4U2wAz2I7U07gnUX4IMtRlBnkHLQo1jHfMQPq1Sn9NVI+OWtX8SOT+yVD5e1uE
uR227Vxtbsm7DvUUtqEx4iiotYHGG+9vYzi960keMlCOZ6ULbo3ameTum2mlhWdqY3rIST4hVJne
IlYORtamsLyhaD4ms2r3RK3vGsbHN70FHW3Og7fRMks7LpuXqZV9DjH6fZFAUDdToURtGqipisPU
PFgabuIKDRO7ZaVx0GSq700jhc3nrbSD2pmxL+vRr/P0Ts+nQ9OX020HRQJntLTRVmuUmHF2Y+Xs
GqoMpg0RoB6mXIP520iRjJa6CQSIDfMggo0Hk1lRBzwl8BmDEtyMGYJtmKnYjtoQpHF1iQLbrtXs
Zmbo0ZrsB4iIajeVNLTH0wGyxozJdh2aymuUM9OJpslyUoVCMl6Lj2igxX28qU7KOP4eavR3RTRH
IgGNPXbJcv0YW1TdFQr4pxQGDtZYya1d1lqVjdcRd2n2NIagEO9ie2is/Zi26a7o+p+0iPyCDw8w
jjuL827POcXSQ8tbGtRxxxhItHjZHgNr3OtsOuYddksY52421Tpk3su7WMmkQ0baGAUUUbmjdXyP
gtJkP9DpVIfVqz6nd5IQxoQfAJb7XnU7SXrqRxAH1eYU2M3zgCLLThqvZZKPs8LGHSlyzTbkAKSd
vV7uiBRRJ80L2cWzda90yODEsp1Ykc15YIfWbx2imco02OnUMi/PUaGvvNHC2FNIuvWQdpN0mnlq
bPVQyeO/YsbfdJ5lh4KwNwtE0CTEVUcvwcw0RKGbQON3SooTg+avFJHhqGsMCsBqF0JSjJwyazpI
yUufpjvwPHt5ZWZ21Uf3tRrLOzZTMjfEOGW5eYRaWmjHPXLqUVHlP5ViuJpklDA1cgVRXo3m3jST
VSudolyxmGZOZ6h3ClitiZL7rY5gQ1+DmoKC+Vrm5KSDCVuqulu0Gz3rdXbTzDzZ1syYPfYcOU4k
cLs+Sw8JseiuMvlgNzOfJU2qbl9btYqsxlTthqm8oYy/h+XQ74YGDG0Zg9vpk/pW76nXDHg6Do38
HLbED+XyNiWjHXZTbXd553L8lKpV473EJMUbK77L8bBBS7enV5XdxO3vvmB2pxTPZTz6MvIMcGc3
vEgeKzP10qn0mjx5Yjl3CwXScVM2OXlaHWhS29zUmU0Cy9W0wuu14ahqxX2bqQ0oKBJP1pvXEM/p
Qhod9Djuw4DZfaY8Wmn9YIHHgcnmUdJ8Ug0OevWlmD2ouWFXXXVM9VyGugmqX6o6KUD44ETVo2al
gycn5CWNnv+PuytZkt3Wjr+i0B4yQZAE6bDeglPN1VP1dDeMvj2Q4AQOIEHw650lS36SQs+yt1bc
hTqqq9jFATgnM08mxIZhAbsJ9+o7EVwdKDJYUbiwpBiv3hQ1TCokzCpy38XIDiJzYWJRrEFMrq4W
89XfYoLRRQ1dSYQRk3MGC4z+6oWBYYfbmeOsd6vcs6tfRu+U77AM72JIdUTsrxXs95abGSYbKCoS
A9ONGuYbiC3dqFylDfHbw3odlJ9pOx6zbMJJW0oa1QOpgE2zPB2Ld1ladWTL+iXIMcwv8Gca+jQs
341r7yDQu238BsmrdRvb84nAjSpFn5eIQmHyCKNxQXbrrqHVDafB6rxISB7EPoTPsq2eC242pjMy
MWQ6SVgrRl5Z7idCkZ+5VfNwU47ephOvLkYS2uBu8V4ZwIRh9BO8Du4RdrE0Wqz7ZW6wCd4hAyjU
mMprEJsk4e+9Qtfl60nvF7kPAhsbUL3phfM22elavFYOX8JmLqpnynBJg6K/bdw5XWc3D1U7xMOK
+dnVgoF3/rzM+a6e6absWeou9XmmwMoHXM91NJuiKG9Ii4JDUmiRK7fYLtaciLk8YrNFTNU1BEOJ
D9jEV8lA3Wiwli6eO2TM+5OMGBbEyNV1GRVq1LHqsjrVPOdb6stbSoENNnO5b1EaqpWFE3zeQmvR
SC9TSPDFbrCnMGsJ/br5GK+wjDU7iSmpjDvfmFQp2Ua0GXB69Djul6I9Wj0W36B12Vb6LdxFbWBv
Q1ORBn8Xu9imPKwmewGwRqKu6bJnyVwZsgFT3y0uJ8b2BEvq1jPhmvkH46C1hqLodqj5+Am5hwg9
wd8RsbklFJHgMJ8N7ZU+oCo7SiWmCAqQY2kDBwpmf6M1kAVLYkgKxWG+Nvc66DYDUbtuZE9+USO3
DK5V0YA6byN6vwwh3LOOSo9JXq1O2IjKHOCfz6LJtjkM/Ds/JLO61YFOCwsZE+1auhu/cO84hV/I
6Mi9nOc29AybAT2NZSIWd05qHTwFuWVtC5jfWIwMYYHE9dCiRm2dbhxCIvsHu8PG2pQ6T6a8h7Ku
DiQWAf9SAw+EeGZMvXW2j8VYPfMWNUWHNfUFObBxPltB6BZDFrHOY5FpbBXn/kRT+NM0KVwCIJz1
SdKsvQw7SPURgkhSPuRBImuN6DZS+rAGJk/t4m1EOd+7Biek92REWvYw+l2+yZcczVeuHtchA6ez
DHPoLoDUrja9ce2MH35JN55mj3WVbxyF8eDVfSsk3OCK3IxxZnUYdFuB4sGTK6p9BHbD+n9M+9VD
vrxuN56bb+sF+7BwsMfynnkH1QP1p0rI7WQ7KdCBIOISPXWpQZitNTY2LNSkR2AF8RMMOHxkyHcN
aTfu/M6PXVHj08WN5SybHFUtBt6qkGKH1A6EW1jaKpvCC6xSZ1NZJ9wwm9kLoC6AYDYrnD3vvK3n
wkVizgQJR8OKeHUFuuq5nlNSc+QnONgteLn11qLb+LV1yYfCDttO4+4OyhPs5N+WDoHcfLTuDPOq
DpEMg5OWk8NCR8z1bak8GBTl2zHII+mKxIb9RqM+XErLlAICjrVj8STwqyOe77s5RwbDmCOWodFW
SBrrqVmKewe4aSyGadwg6fJgFWhLHNHXu5KretMQ4eIbLrgDoJ2PClvUWHLtC3fJ60A5Rfxy8wFP
9joVIx4pm+guJrR/9TBNGNaa3wxMtWG2TAT7SAUyL+tDptSLW1Up7jiBNaozO+CxNQaeAntrmayO
lp5/WNkgo56IDLkT7Z0Yu7jP5CviPyM+zB9Cyg2XsoqqQlWRbY2Jy+0sBUxjTh6krE8Ykxk3DHbF
1uzCXclExWBjRGYwoTZQZ1QsOFm+PCtYM4WeL5pnXvUyLh3T70bitLedB+kzVnKIRPKMfk0yeC7F
xGCzh6LOK0cnlT4k/Ubm9sZl5ZAEI4wS4aAVre5aJLNxzwRNRVQE0Lii4HWj0tFjPNrYdLOeHccB
e5fpAp6YrsmeF1/eY4AOpRPMEGOjGrppJoYyQ7g+jxSzadIPgdnOdOIRkBMrsgaUztXY8Qj3H0mW
vmQppU62qaaORAsgIi5XmbR+gZ/s2g7nfpk3CrxARFBhJcMSzEnp0SxE6dbgPnEOk0X3q9CPKwy5
2Cy+9T36vAz3zJaSZT8Jlx6yVfIES1uJsl8EiEbr8VbhsB1marC/ybFIHerOT0FLeaz9moW8wTrm
12gge4NIk1ki3MEuRnUoM1ZirLn3Q9rMWcr4+m2AqwueE+nHxPMNSC7rm/aG7VRaTlhl68mZ4Ee+
zA85cc/FVKH2t2/7HLGAucUErgB2l7ye5dZ3TJ3AdDm1tHmRCyyxZU+CZNKlHUvTvTZ82Jmqeeuz
xcayXu9EPozxxBQSSjBlGtqB/kDarhvZfQHZcN4/uX7dhayASpkzeh7L5ZsqqsdusFK9LD2m+9VH
0bcsacGuhLOrIC/q8sT3+XaRGs4KZWHSYXVfi5mxcBELihPA7drgivtwNBNV6YaakxdLNa857fdr
gI20nJZwndyvVbUwSzUYVHLKpQyFE5wcLfK/QQn+ClT6PUZwxUl+h0BOErLYIQBGMQTlQ9+1IN+X
kDpix9u/M0T6K1Tu94f6E9ipq9ltuQbrkSl+GbCiD7XeGNv/psvs3Kh4HqvTWv0dy/fXX5BTjO7x
AFj6n/DGOghUT68buSOrePJjy/ns7BOlf8NE/MWXCzwLAQ8+CjW4QPzpME3eFToD/wbJTNJloeuc
pAyd1OzMd/7xPwM79C+wqz8c60/0EZqmAOQVjgXYCgE4VYivFfhpa9995i9wcfufD/cLzfwnGOkP
h7t+9d/dIrKzgnzwV77znOAdFQl09e0skRdkOdvKWSDMuBZZfPVfAu1/FuX4KBeQcDbu1riDOURI
DIITMqu4heXVJmB29oysF/SRa3NDFR4wlHQzdy9w0ECR57koR8ElqND1pjathvZu4XV3CgifscpK
vS0tQ2LSMVzRbqOn7kFWFnCH3q8e9QpfEVq1U0L6NQosVYW+HD48v4JrWZ6HPOM6tAW9SC87UFfH
raX7EIX0Z+23sXUVfWD5eww6QpFoUi/HQcG7jZQ39mSOQ+ZvZy03WBUQiPJ3nOBf3Ke/P8u/mAD8
7iy3o7MucAvhO5K/FfqS17FAWLrRT79czX97X/49/5S3/3Xdxn/8B35+l50ZRI6q/I8//uMiG/z7
j+t7/vt3/vHHH/GWXz8yflNvf/ghaZVQ5m76HMz95zjV6pdPx8Gvv/m/ffGHz18+5WK6z59/fPto
BPw0RjWId/Xjry/tPn7+kUCtCicHOIoAOv233x/n1186vzV4//btB/zPv3zj59uofv6RWt5PyLNB
aLvlYKoVPi0//qA//+sV9yfuAT7FqCtYpeBqGYOpYVX8/KNt/cQt9ks6hQWQLriaqY1y+vUlBO5h
TcEgC34HfkM//vYH/uEq/POq/NBOza0EDz7+/CNG9/AU/fMp477nAIWDzYPLGKIw6J+NOAc2Z2ys
SrHvbDu0FZxqvCzfiEbt7aq+w04W1lDSApFDi8a/yRzO+1Q1GElangq3/JYN3SvoYvR41hKhEIwg
J680FPocHcsw+0AJYfZgtAATq290vtwNE5pPdLRWf9ANOtX2gvovqgO291Fuafdie2ILciWsIQPr
2Ka1AP96ibFnKPL1w1o733yeRysrQ7iXvwgw8IAZUnFtwQscBU+XmOHQ6bf8Ylt1uqz0Q/qfxD4z
DVBTtmErlBVWwU07SKwCNhyBJv9tqjB9ZfublQCm8WnkiMuANJBiwccXbzOeX7KkRQFrXCQ6hrbM
EyTEx4Q7+9HzMcNVhLIW8cA9JHjnNFx6K7XG+0KhRl44xuawTWPB6u9zL3hprXFXa3UKap2gWEGV
6PcJA8YAyYYM0b++OHPxTcn5Xjk01nk1hgU2LvzaPACobHQ4d/a744qbWg1rSJzlWVw7an81GDLG
rBgBSuOu7Ycoi9izRcz7Bj7D5sD6UycA0tkr8i2E8wSQT4dO+YDm2cJKVh+ZXR7YgjJvrNDYoHfx
PAjhevtlQWHOoUi3jdkCC4M4PStRbTWvCimy0kU2s2TiQa9kP3ltyIPFgrPA9AhtxFWY3DybMn/1
tbhFGX3Ix/XQWB3y4YZHMpTfWpEJ+K26EcbN0ewzxIB3A4xJiRYRV86T1/gHTIzRGPIcYMkVF09L
Z9+yKrdCswKY7B1gXtz+XrsOqqNCjzBGF6+6bx6YN2CMcLZ5JKbx1tX0rc+F3FW0vrFsXsejqmaA
IsKOxoLdrivOtNVZr6LEcCtsqCfcpXWT1ss07OuuHmJAxXtawWAzQLcdje76sVbVt3VYPmxDnvp1
LYCwjyiQAzPj3oE3CfEVi2jtPjRt2yUroJL6qVj8u3y6m4AIQl5XoTmXt756q6kEGD4dBznu2cjD
Jkd3PDsYChwebeEAuhrirBkT4/HYBPM9jB6nmDVebGfBo8thYQ6dIXbmDoYlBA+ca5U7ryviyldn
f67byPKKm7VoESkoHsyAUEhiCYBylgLDkN015XpeB3aEx7QJVeHQZJmzY62W0HFUiTEOkEjTp6r7
vYcwiZYC5keSalJxnsVeBWPJK4ODiKQqhinVkZQUqh/0b34LW5iy/6qsbsu94LnuKoI7ZnpAMXHe
WIReGFO7QaHBmJoFMBrApxo3XbargF3C8HiJV602mJYJ13KKMDZzu8IEwYXNjOFQiPKpDWFluMvh
F1P2iEgYg2Bv1uYxs3k8tN2TzEY4aLuAViwsEQuJq1rRkARZOjfjvkY+F2AcsR3GPG7y4dXw4bHW
8NBiTtKbJ2teNjPri6i224d85TEnYxV2RX3WQ7PVsjrNo0Y0A57iwSvjpbXh3cTsHDHAy64YCUHE
FnuXipxc/PVeRfpwrM3taOWHLHgd8bCFys0/VSU/u9W+LFgEw2HBdR0oZhcwnJbhbtKTiR1NTnCe
2yzFENUYj6ubBtGA7uBhCeXPdtc81xIIUUcPyE4CClX0TZo7eRDDdXSOQSrsdWtdPJHdsnY9clqj
LJkuAPfsZY5xJ4eWtxw7fz4WrQ/THnTO+aiiSnwnKniZjH/2CEChdSIhBHsPVUA/p8ndlDBOsAoS
a/Xl1HCC7UhwoPWYEEESMDch2vokyD6mDvAkOKDADAACsxbdFhZU9usw/P/3KgN5xf+6yojfqh8A
+uZ/XWfgrb/VGf5PsCFn2NApu5qGoJr4rc7gPyGhF/KV30qG/64zqP0TRFJwbOW2fx2QddEb/Vpn
UPoTd8Ba4TXuwM01sP8vdQbnf64zOJoTSLs92D8HMMEP/tyFDaZaGOvETmdBvR8llj34TW4qj7C9
0LwAGNjmievAJ7Q1aIabAoCd34wiZNKr77PeehBKnGBEEDGCAGzf37XKE/CfYyP2tStio1H9z1p8
8cW9TGNNTz68sBPNHC+BrPI48YCciGqe8mJ5GS3gR/OS92G16i61x3nPc2+NGzp8+f1cJHCAsqJy
aR/N3L+0AQFX3awnr8nRV2D4KCy8co28EQuDRnyeO4hL6blbXlZIbJ3ka+OwOfVHrC2ducq6OUw/
tBUkuUWfhaRPOamOUOG8ZRoaa25LFVsVQG8zNm907DcV/ov6yaV74Y2HGe7viWgDtA2OBsOjp9AF
imaRAQEBAX/VyhRgsnzrAEc+UBLeesXmoKvWTfnRZMHHOogqMjU55mM7hUU5i2tzVKRZX5+BgADz
kbAPs0XlxCsSWA+VrB8aX2LxvqLxFAAe/kanjUfqJFqPAD4m/q64JzeaIk9KEAQlsxLgUIOg906d
EcS3hV9lkrFDOS5+ymmJ9dXbNRTwjILVP5PqUFQ5qO1Z3/jBsOt6xNxiyhMJsFP5VFHvufGoF2XW
sF8Jv4UsI1mMeXNH+cQC6z4oZivNhnQyxamlxQ341g0gWp5CdYYbBGKtMAgQu+kNKvSFxUm4sNYD
LeF/jhSY3zA6aj+y9VQs83iPUD9A7RpYV4WqBKmJUUEASlt1+z41s7fvq2KLPnO70mGTmfZeqgDG
5Tn4Z1i9f8FnUcLvk2zGQO5BvBwzywvB7p8qAoc95GbGOjNHBbv3sL9apLFrerX4tqogD3uYoE0T
KmH/yoPbKOFwk5mWR3NRI7CgB+DJTVi63WGCJCquPKgEhiy7sQOELJd6/t57KuGSjyi/iq2xXeBe
1bZa0Sa2msYtGQ/2Kg/MRi3NpiLGCj7VA6jj0USObJuoQ6UIY06UcfWeaUyf+m2zaYr1plzoJavM
3mRqU4Fo60y18Z0JuPES177/cNWJjoGC5q5lcWbcGJTUh82GZ5t5gK/bDFF37k1l8vvGqzaEZXez
n9mh7013yDoANct5kxS9gkkn+SpodhEseC8X56A9pL2tayJ6Gxqq+YCiDyXcQm4ySZ4mt3ub0YuQ
qj11armULpIYW5+G0Ps/8BUaod6I77TC1ogyZjNY6rYu7VM2j+AYnDwpg3I7W92mNx7cRYLXfKRX
d37AaGRReQS94QwVBugyUWXRMrV23JHheR7BRxIQKB3bV24QtpUF7XZ+YlN1Yg2/awd6M7XYCSF8
+cSIe7uZQXEnPmq3nKqdtTprqAzSU3KysYfsQ3L2XRqQ9kT6p2Diu1yXcMJtcVjHxiOdLQAFyPDo
L+UbM8EFkADqur5QISHqG+kJnvZZ5qFlbLMB0tqGdoYqCJ/y1ZOq3NsanK7bgb5tja/3oOCgnljn
PixL1F49ZUWoOh1sPOneO15rYtb26N4m7PlrALLWFXLdDJjLjysdoSmjVlkd8g7lXcM4NCkUVY09
MwiMWp+ErT+OIeu7Oixo52xlgIz7XFeXwJE8tavlZnWveO5yz3NwRQWbvxTsGTEJdOjKdQXTyOuo
n80M9hP0kq1dcJ+lQkNUZnvLgN1qYSJqjVAYMGs6ji3GN4uRvaxu/ZjPqFQH8waCsEJqQncur+Eb
WQWKhYiVbchU01AYEDhEYRCTzRRJmpbz1Q9oJjVcE6U/T9EAwsWWwWNp6f1QwPs2wIqGwhpuFFTL
KFN59xCQ+cz7eYhpps8uMSwUPr8tAFBHys7y2HGIeBit5tV0mBvQAy03vdR5NAg0t7MibTj2yo/6
WoG8Mi5L7VYd5WCL1MuCb1XJ7HTq1mPteZ+TpRNtw/YDAzIMq6VLI0DHz10nwYdaKKCyJTtibNwL
s5Udu9x6LRYJWnTK2p02DvxB6jx/8AFGYQY2S10zy1R08xRWHNqMwC8w17B66K+cACtbq87B0iSm
ADmvlQW+0bfRImcgAmY2qJMhfJ+DVMnHADV9OYXO0OJSubna6akI4sEInEA5IBWcfBRj9+QNwbFS
K2gjAOTl2Fc3wqLkuer7GmIkJN85DchpTJV2QOpbebtSHaMOOeumn47VLMY9RhkfQVWS8hol2JsC
9bQVgozneAhR7nJIN1hzcmYptv3C3jLXWqBvEWsMo49kGBl87Czry1kRLb2stj7AufWWN2ADnYmU
qQwyG3nu6JRqPM8gSsYyRgDAnqkOmKZZYz58OqdBF7GziFuQTWeFB6ywrDeXZjPyOew85rapIlLo
r2nObtuMvQ2Q+MBR4qOx2UFNuI4LXCPr6qvO69SSZ9G3R6HsW7EMG0tjxKzKcx4xmp0DNXbRbLHv
AV4D3+g9dlWNl8QSeUu1GcHxhtxq1KFbRCxQYMNSSmJejWtrCm0YxUfZkG9qr5/iwtTPGcmdiC7+
a9PRJJgFidqJfJkA4iMHQU23mBVOhmtlINtrRVMgRpPb3oWvXRMr7d8gnh2UOF/PArCqnMBzSGbf
+dOaJz1zQKdn4jmfNMCZznn2VfaQNWC7i5LcZ2iAI68j3/Oe4izlaCJWiRWtGq2bfLTfaLWcRQls
YFHrpa7LGbHmk4p0CzCZYD+hmcvObkHw9cjkh1AnPCrJj3rJ3JT1bZnkDEB6e72p2JQ/ypl44VoH
1+8/itjqAztujXXFbQoRMV0Fx6Vv5WFuMcWX6xYCr2mAElKNh76WN2U7PXg1iKVAQdjTT04V5vlQ
RyCCVAwXlQonqFgSzSuEk9iVSbCG3Xor2CTqwSsE7nXgufp1s0oDzLdoDnnv33fX4Vtht2BY/WW7
uviL1HLMFzsxGo02BjvioegeibEPqDfTzAWPZ9q0nN20a1i6AGOJ1845Qoh91j4WP3dJaydP+5Ii
7l69IMjktoQ7jxVke0Kd9wkPOiY2CIWgubTooVwr675qF+gruYxQ+O+DLLifrd6EzUDHyHGnMqn9
FfgK3FVhPyJfrUGa26zEbj0giCCaFNo73g87URLwfeWw9aqihn6y2dlBvZ1Wg7726rbpy3aB4h7n
Q17FZ2KCnQkynjB2PG14hq3AR301Ff397CElFrNeDx6Zsf6Sp8CdGTQEAe4ly5x6sdwhUXnnCEjd
QOjhGQ30Cl5M7UytAMYs0IVXqikS7Cab1Q8QYAr16K0rxUfPWR2pYrkdZ36flzqRzoTwJZ62GX7d
5Y92j6e6VHvL1pEgemP1/caX/a2p5rRcIIbsOv/Q+ajrrjnmga9ZmBf160qLAkKGJW0cSCE5p8N1
BBTqkrwcDpDNRGSRJG6r4Ll1AhUjDgPbJm0lsMt5X78U2QJ7AThqQprWYLgjUpPsU4lOQltji22l
Rh0IUzggU4BLiNuEwro64ZaXvDBvFeuPVaXSMS+3AGMuZtEXqPpin5BTq5pbVjhb47rn3gGqB/n8
4hTfnIFj1Nxv8FDqFM8j9CDKi3Nr3YpmNjGXUwIAZ28oEJLF5WAfBB6F/8f4PpSisIK6tqj/uu3e
yrcfQtEWv2+7//m+33pu9ycMKzPP/yUry78mlP7Wczs/AfQHdgRCzEJHgmP9hu1T9Ol/BPB/67kB
+8P1EtHACEQExo/O+//Sc0NN/hfYPlKG0XI7Po7IAAn8nkFzgqwpM5vl+87V6xZtKeatGmCJVQHQ
ajii8ro3DKbOtRIiJT4iYdpCofkc+s0ozHuNmWsPYozQK/xqwxv7DNkRRGHVfpL82XHqHaMeALR1
XzYQqa7kEFTNx0LFKWMV6PN61wtznns82satT7DeaOJ8aS5dM3y3gfeGTDig26p1jliJuVkBD2nX
f2u07KKadDeqzDuEqrVY4yV/Ec7comYpGOBeqiJKymNFs9gZECXKbShCDGGxMNOHniGZ5jKL7MXa
dMq1zkwgRM8p5u9ji2rC1m2NbHH1TM3ipqjIvpuOX/gC/nsGvHBpXbfcWk2GRjmfz7U7HLN5GBCl
PAGlbqHp4MDQbEvSb2TWTbpe0bYesJvrDjsGGC4rQFc0V3TOccf3pZRNqOoO6up83UL/v0NuItYX
YH0TMD+3yD606IovRztFmldqflNBMN84woCRmdDkr+irMdbo5F2AujIborGtH1oP34/01sksJukK
e4T+c5hwIbOXLicidGvgB1dVW+dkYBYwW4q8+FRJNocQf36VORyoqqbbNWAiukbfL4JcqtG/MFc1
sc/4uZy7V2pPVTSjIQwzdBvwSmm2IgebmQXFGS3hzm6Az45ltx1qqIFZ7++srOfhVLX7fijuJ9Em
EKaBrGCQ3c09DgmC7+RASvS1MnIns4dp5efB+KfakVihW1Cc62Wi2d51AP5emL51RnkoOr7J2inq
HLprPPtYaXpYB++gsaPAljIcaij5TTyM6zdvsuLGy2OG2QO13BjMifS0e3SYTvpiTDg5+E9wknon
kMj7M0oQF7Oc5RVj2Yz1LTrRA6adGzTpsKJLna+AlqEFpfxyM6g9LxJvevc+3RZCAh+IeWKxdF2f
eXmEzXw5PBQKAHvqBo/GfvHyL67PgAua9moBmkB8akFg13+sY+xAKGjn+xGtWA72ZshCesVLMZfR
j0Cjtj1JFApWFlVdtNJE1mPUWRdngWx9rqKiwu7L4wz1HokGdZsXD0uRqv7ZfppaNF5gfEwJ7+gD
hv822o+od3I80MvjOeDHxUYP6BcQfG5VdTPUx8Fqo66P5yal9jsfHlYIRmwa9x+1dXL5NzXPcWC/
wZTjjGn6aOwPffFRwRPYRzU6s+rOm19o7p0KCEgRCpGxNXU9bLTKCVlFUn9pkwpjBDBohzPJbG1p
7e0xr4vKDZUZBB92cyNgUmLbX2VA7qmAHZG7RLDviQZAUTDuQ1Cbc4PoE9D4LtpnPEmsPrNZA0yI
pYMxJPfQawqdVB3lqGVhLgL4vwH905xEfdGAtcJFYzMmOeIhiP/auR3knFWq6F27HMfgyXduXZGF
i72FUVskx+EQMJ32ursZAVO2SPGFBhuV7Bp7mIWry+DQZMYglnN6tpSfuq1JbAJKxsL5gBKrrMkO
JQKQRRV1HHO25tKqAm4O6HXA3rS2ikYoFjWmCcAm2es3n8hXTK+E5RKEVwa2LcfnHk+8RbdEvQxg
Kz0UIZM+eQzyfRm28O7azKaLW/+snO1UtGBdgVYc9PqNcsQc1EMR6szb1Sv0aQhMm/LEHuazmQZ0
+WSM4LGXm8si4x4VnpH0PvMelG5T7RIdEeeI6QJGHy3ztugHVUIc8dQ5477MPNyb+bzT3itIvo0Z
roAliQBjptBMRqA2Zv9p9TEz4fQJFPnRhI4sxLwNmAdgVrqV7xCJIZEkHb2D6SPlQCWOuOkBcwPL
hV1Jny5yUHO6cQ8og54xNWIQw1jncZ/3UQ4hM2LNI5vYR24dCVRMSw0BJGPPAnFWOeC/ygGmRYP5
jAILnpXdGKBK9dF7oCanwSPzuu/WWF46wdzQUga1fXYxuTyXHSSzVd5ksRlrDWmydqJZ0HQal/cq
R5aLk+FM5Q6M0tuurc+iqMtkDhzsLf1VfAybGszTY10dO4iLF7eBndt8mmyJtPquyKNr3tDGrRs/
cmA3E6JLx2JddsnSIahcMXdCN16HiAPbwW3sQWflKa95WlQenhoD8SsQ4qh20W/aQTV952M1fxkH
DXlZOmVMCzem7bCxF0pxIvsPRKKvYeHrclthMBdZN1WF+ZBMJY2bPyO24Z3m7bGx8u/BWqxxyfk9
JP9bLniMrOKnFat6DVvztJVVupjaC6FdeLVacRfw9jNgaAyudJx0PloLQvis42nvOmAaKe5DVAov
KqcmNOP0fZKdTPMrbzaM2sXEEaTWZmawpA6a8j+ZO4/luJF0bd/KfwOYgE0Ay798FT1FUhQ3CFl4
j4S7+vNAZ7q7CNVUhTSbE927ljorE2k+85qdiR72ZjS8a0tJ9bWvVI+WNh6EGYslmkz5SsiJYRtX
ESje4C7QaabLjOefSwiTrbo3H4NKHETvTFf8JvJSdLby/KteZuG26nm5vZGInj9jbDuVXCgYG7nK
ewGhAIi5BfBrUziAbsYg/6YNbbvzAZovhor/Xw1rIE3qb34IQUHywOkJvQWoa/z9kC9X0nnrCv6X
JGpg++8MW9SrqK+RkIQW0RjupzGD62boNLo1W35BBrZalRXohk6Pb6VfAD2AaLzodM9a9UEwrNp4
/DJQz15A6Kk2Nb6krtEoe8DRIIyKeJGPGRkk2FtISbC6sK66I/B80gQlNiu07gbND7iF7e61wMN3
NY4+3YvE7u+lpgYrCFWcQyyv92GfqAezS7+hgSIOQaNcVYMvp3r7sKR8zQscBtdZYu5cQ0DjyIgg
3NLeWXFxp1sTEa9w9ENHSJKlpbVR6oGieiSLpeN03/EIJj821Ce9hBzUxOI5VLt7B+TdnmrXku7C
SgmBcmuNe+2q7qvncmP0lHp31Nc/GIWhbiMHhDm6zHRdC5gzgSU/hkDR89oulhSaPreKS2WyU/W1
mNDh2Il+zCGjrZo+SHiz2melUOCkevo3GRAlWbTAdyxATZMmMtZlrn/ViAwXjtJ3yzzICNEUh7K/
0fSAQrqCqlxxFY8KMsq5TgV00B4QsIi2alSHW1mPNTXNQDn0hKvYV/moOVV1+oj/b3tjFmaKmJ6L
GrpEjbnOgi9O4wAezSN66Lm1TmAHKg32ZqbePtmu2wMeB/05xi4MqDgAwJE+Z9h4X0cZjZsgMLbU
5iauXrMritRdqB2PPu7e47ISaPF6UCGIJrVntKW4hqnHkDC7YiMUrhvFaCkjc36AvOfDEpAb0dCb
3ygJgVK+rZISHpg0LN4xGt42j9aiddQRpgzSQprlfa49iBajieQP8BSVGouiLl3D4Oz0YCfVxvgx
hnm/H9vhWZUdMWeY0ypuRLtqcvM+kxVFobE2F9Crn6lJNte6nz3kbtPvMjV6y+MOaE4K4VMNQX3C
eiMoD5wvpprt3M7orlvMEBYq7J+F3nqrCVmu6N0ne8BnIe7zD4CVekjqVLlap/JvMZcu9hAbs2UZ
aMQAceg+pwl/mYoWGO+uSL6oWDRcaW4wLIp+iksSg2fa1bCFqBGyqiKCtyzQXQr62vASKa13U6XR
c5wQGDdVcm8FI12nNqYKbsp/6xT9Vr/6JvwKoCP/0bxHws2wc//xT71D0/3fgM/9b5osgKL+5/T6
mo72//v/2a/Z9fTX/squBS1o3cAiXJikr5O32V/ZtfUvHL1tUmukKjG1gWH87+yatjXAOZBzLmm0
CeTun4Y2ybUL63oS2nJsILG/k1uDjZvl1s4kawH8WjMECD1rrimYpUVZW3pl7mzf2uYBlasRqlJI
6yhGV97sHEpQhGIKi0Vgr20Ma3gd9PIJJPejFwDnjPxomwwJvD7X3KsRfSjN1/dlEGyqVLyUdR0v
6wEOStlZyb4bKdx2Y7wx7eQFuo22sJsKCy2ShzLQd5Y1wJtwSc5Tcj6ahPFOR1lmQRb7YCTE+IEb
h7d6CL9ILzx3VSKecifLfFwgkzUuXCMla5BV9pQTNCybmEYkUU+9KprQW3qKXT+Go0Lc1DQw9OpB
93h0TOOudD0aYUqabIVuv1odQmZW9Grp8VUjous+C29i6MZYYOe8J7X7KbP1D0GZf9DT8snRr9Ie
UL3X7i2RPlAwfol1LinXkg+9En3I7PoN46QFRnr0GOvmMOjxS+Z6u8JxP6UyB2pS03xqev2qdAeD
x0R+1aYqYk0Ku7DK4rOl1/2q7PUvpUPASQT1MYmBM2ZNdKVX6trKeRjBEWNJWr/lQ/foOgVR8CAX
RUMjLE9lukKVKphqp49DEV/1XJhLLaBVOHbf+6R768YcwWPdW0CkjZciqR9kaabrpOi9ZaRR+zZJ
w4TUrqWXXGeq3q4qkTypdMtCT6xdvXgWVn0Tgd9eRGXwkEr/S9YW+74O7wFkvloDe0LIRqxHx9/A
qntLgrghnoa5juPzKvJl/xQmbbkkzEyXejB+4Eq1NyioG5ssNSenS5g/Y7MNrVg+jsJaqgUa0IpX
DMlq9LtuRT5TrWIISMbS6qOIcnhJaQPFW8iDLc9U4OdBscp1QUvPwdXiG+5y4Pl68A9dCT/OgwbT
LwZYZ1u70SCHti8qAUJaULxpDULy+IrKgVyOSVjRf0WhBeOc/sYthg2q4vWitEgwkcezp23Zbirk
OXLPv8kdMwQ70Lf3ZWVBJFbHm5a0iwSmo+9OArsaPOMV+69rS1NGmmLgBl3ElehwJXKXZybJg0Av
Dw4h9COlH4NVqwb6faIG1k4vkLBIQXZco7CjfM6r0f0BWRz6Ge1KAhFkBYquWEsbdOmKF6R/gNeN
XSTaEGQNYKDEj1gE360OJi70a+oPuo/wG7w3jMwG8KTjNwjC+mqUGS9iCh19eC2Lat/EFUDYuBj4
vc1WdsgG9CqHz+otQC4SBQ/ipCi7a7OOy8TL7AB2sC4A8yWcqDfk47F00dXXlpIWFWTcJYTSpR80
FBUXpaog++m29jZoB3FnmYm/swf2btylzUNgaGAf8jGRLcdapjdpALw3lrL8FIECWYDBoxMSYLim
r4g8A7qIWUeYBXx3Q9OFzLSxFDlqk76A+1QWXUvFJwGY0bu0mMdqGMeNr9n+usC85aOvNm7wofH7
7nqAhfbQZrDIVx6/6bmvQM6sUVXGU9ZurWSVOjRj6DkTf3SWuncS+6pQ6q02Vskq6TlowRW6etGy
6ANYmfWaxky1zgNp0gTMIcUCy0GkJjYXVhNFy95sIRoTrqQhkWAaWQ+NnbjL3Eweeh1Ikd+r3TbT
1TdjQs1pmvtaU6QJO23C7hdLSyjeAoZBsUhw8lsHbrgnJ37TZQvQx28PLlkLmaEKMMeLNoZuByut
Gg+GTlrQN93rYEuDMpd3U7veTdhan+2I/qJM/Oser6hlwoWZFbLalEYvuAFickG3+5oE5Zo+wlNS
ASv8+aL+VnQB4J5/z4YW2+/5hGev53/o/2Bk8TcwX/Cu/+fg4kF+JrrAReld9f7dX/4rxHD+pU7h
gGqZpmngEPFPiCH+ZRrOBL13bXUC2v8dYujavwSUE/6BcagRmVB2/wecj8wu2DPXJs7AzcD4nSBj
gsS9g+ZbYPmwBeR/ZNGtc2bl+8gIpd9mfnWwyge3+ZBpqMSZ4/poZf7NCDhmAJwahHhJs8ClqC5M
ovc9AoJzaTt+WB4GC/Kjax2cJL9OO/n828MwG4YATIig2ZynBPAvRL2iaA8BZWxqUUF6W7tP/90Y
UzvkiMqSRCWSFphg0emqoRyoPFT3ehFvz49CPDr/KrA7TQgdNtrQjjmTQ2pkVviutACKuQUAA6V/
HET1oLT+Ngow/rXUS/JjMxsJKBoWHLKjEWf7IA+r0KtruzxQS3jxcaW37N6hO65skCjYVT313yHC
psAW104zKssccPh1W1qf0L9rV+dnr03Tm21KgbwV2jHgRTkeU1x8tMhKVSt56ynFwfPjtTIiCu77
r05ooyVhLh2rAK1W6SDS2/s49XJMZosLvLCpqfbLL9BMW3cx/cXPUp8+0NEvSHG0sOgkF4dK5Dtq
Zcs0IYksxk3Rqy+uZz5Qs9r10r1VPbEyQWzrMeGT7bxoI8XZIn5qSv9a9SLA2Mlezbxt1/qrQVcP
jVJf+3lJ4E5ZIgNoM5r5fhjEOoAzcX4ZzRO7SHDmSCAs7h3TmS2jXkal3tYd3xQoBA+KvUo6uYNf
jVAH5NKyvdXybF+Y+MZATBgECtXAH6wqR6xaW1lee1cPKJ5E/rc0dpA0shem3l2nrvXMXUZjwNM2
oSx3aQ/qX2vpcsefYkujcFree2P7BSb5Vi+hzFC6uFUKTUcmItgPEeJFPihcZbz1okZuSpunqokA
GdjuXcKGG0SzTSL5OD35bZhfkGSeJj3fW1Q2hCCpAy/88yAcfVkv6cqosnMIqVa0sXT1wY3d1/ML
/54v+fMs0VlEaogDNflnze4IFOA6F4hGecghQzeurDcdMJvGt7dFIn64sj9QwtxR4bwwrnZq15oW
ySepFcaR6uyDRzBEy9GMy4M5OgepZ/uoUW8kBp9haIMfEC28car8unllshGkQAS/qMsPpRPcVpr6
YA/GFYWQLXWlreqrl9iqJ7ej0OhUm1gdirncJJXlQS/KtDw0/bAM6fjZIqHOZ8Ol9om4X85/hBNv
jmAV0OLXgZwjrPj+BPe0jIKu4iN0sDjT7EsD49pEsP78KNPLNd9NPGkkonxoEPFA5Y/viT4KbAJk
6CpKG6x6C3JW1y1T9RZY7u78SKf2LdtJFcJB1U21ZvNhy/YJHVSeBK98KH2dnE6/IFFsnpqNYVNo
IBTgOZiYicez0YUIh0ETIFq06jET2ZXpJIe2TJMN/YhkEWXVx2SovlhVeUij4q1t7Qets5/RN/s2
uOlnSlmbIR3XLSIcuFwqC1NFsQgosKoHK1udSqhWvPcGf+ODOh7C+M2L8AiPEVTpRzNZEOm+WQXV
Td/2lcUgB7QUSvcTgK+PmTSMO6P1PxpeYN3KLr3Cm+PVxufzYLWkZx78KyRH5B2EwmhRVeYlb/ZT
m5d6pO24xEoma/R+afq+zuzB5dowgDe38Jsi+yqAHi/ZUvRWLrw/pzbv8WjThzq6pESfqoajSZbZ
9d8M6FoRnCm3vPRCnB7mn7twFmbUuRZTAmf3WuGzqwc0Qu6HNLswl1Mb9/jCnW2qtHBkWOXMJa/L
XdaOV13cb37/bFio8Zp8GCiw0EjeLVcOjhlmR1DSP7dutEI52JRTzg9xaqksExCoaanEY/OjkTTl
mCWNz/eX2Q09prc+CDVK0uXz+XFOHUGL0N8xOYhC/am7ePTlx2wQoHvRS1CCYgm9/z5Js23fx5vM
9S9M6dRrYQEgImQm0uSmfL9qtinBHrQuQ8nqa2PW/gbs5yPt1Mc6QLZLn8jtziVf1F/PEUVNuGlU
8x3bgJb8ftAET0lXajBhENVDQtuj+8hzc2dWztJw0csBYHJ+QX/9cO8HnL2JRdQrgPoz3tzIHhdh
qSEn5lyX0rgUM14aaHZmmxo5QEjO3SE2hk2iScqFeXrnxhddnH4NL6YZCYJTBCon65z3S+iHQdQ4
RtoeLNoOCzkAIAn19CrT0h1MV7EEOKVuCsX+OJpesDi/mr/uGYf8ymBjGqrjAPh6P/bgDaHwRiEx
NS14GWzKGJ+0CAGg/DGpXmzYJufH+/XyeD/ebFF9vXU6v+3lYfCbpSKaJ1QBXs8PcXpKRKzw03Rg
bLNjUMTSsYjW5CG13ZuuC8GjUtus8vHGsyEPeRbs3Rq2+flRT04Mrhy5mo0bqDo7B6YEkZvldnWI
ssBedK1HyxbxufOD/Pwc78MTls80Hc4btQRIeO8/V0iqJvzOaA7tWBQb6ZbNVm+L+kOidNa+cgHt
owyE+lS/awXGXKqSeovObtpFao1byuZXStlGVFDHH1CUAdIqn4pq4qaYwLVqkkSIQ4QG9X2r5PvO
D74Vcf94fgq/3ofvZjDXHe4ELRDHLORBRQUu6IMfXhKtYhNmZ6nbFzbbybHwESNo15AsELPNptKX
r52IWogJ3EAaQF4wo4pFs8z84sKXOXVZEJf+PdR0TR5d8zWpYRPoyPELd23Kt1qtFlV7c37pLo0x
bfyjMQxbVcq6Yjr56K+c9iY0yMD6/X83yGyHDWyFXtWs6tCiUm/V+pvhhFdprf3RMETYaFlAmqfm
9W4ujunbCHjhwGAP+raxtfXQI54IqPP3Z4MkhoPaDXEeGdT7YXqvbFORJd0hdIpHaRcrI46/2m13
f36YmXrylCFOHlSAEKZQe/LmeT8OgqBkZSA3wDAO9ccwHIqN4SSfdDPgLm/VlzCHrdgPT7iWxqsi
dJHirJF10/Tw+/lfcuoaOv4hsy2fN7UowMbLgyjCq1rVF715URrp1JN/PMZsr3dx2Paw/FqUIHFk
AEDugphKm2UKsaIKgFnYTfpkh/F9kKFY6gKwr1sRQ91I9lbkNBsHEd6lqNTP9mCDUKAIT2M03PVg
cECAOTQ87GYj3G6pl/RxgGXqYfOsmdArEnsLBeqr4WdXoYmNDUaee6VInjIxdUJFYL8o/mB+R7a2
/dhIM9v3Zdis89K97ezqIQpNawVqaeFbQDFGl4pHEYC7pwtT5k6OvhdihIlol16flMvUSK+jljao
Qme1V6pNo7s/dA1xN9v6CN7jmwDnU7rxd/K7HVUkTAmNx84u6T4mztdAsb5Hjvm5y3qeHJwSrWig
T1m3t1Koew2pUyUIdkY1vkoEcmOXxg42vJsAPU9RxCutAHExgGFC+XI4UJIw16kXvqQW8B+9+SKB
YRGu3uCTtIVsuxN9cp840QfUfwD8u3d2D36pHlED+P3dZZn0yoXNI+Rqs+PUDY7X1Sqt6qxGdFZG
NmjYUn49P8ipW5v6lk37V6PnPr8aMIbxDa/Wq0OZXhnI9EUv9QQ89p0/uBssnGZYPZere+43WoWU
sZsOyknidFdY0TyVhv2trS5pJZ26tSleCxjjROaqNp3Yo1tbxNzaTj5Wh7Bti0WqiqcGeWzTiS6E
PZfGmV1BVlDEAya6fJt0uE6DcNfFwzVihxdqCqcOP2V/JImmbeDMCyQlypZDYgfyEEI6Dtpip4rK
WICfJrnJy63Rd5esR83pyZkHPVypRMhUS5C5n91pup4WSZ0a8oA8HaohNlzP3IUUZEYH0ZaPstQ3
AO9WfQoVPvZeHAiekMohT8HXQTAi8L9KL/pedfouioSk/9ZPidjSJkoKu/HGjexd1AY7p4LM3Uuz
X8c10jSZP972qgN/2nMewkyBTNZCxEsBQnMh2FCGUNPcOxGSmTa9WChP9TqgUboMusx4dt1o6/nw
4lrZIL9DiryQfujCKKtx0sn0ZQ86/WMUD9vzh+fU/W9Ra586TCgY27PdNiBZGkkUxg/42SSLJpXf
Pe2S4YFxKsKmMWOQYwqNlG+WsAA60/rCZqvVpv4CoOJNn+BkCM7TEPYlwaMlAJJlK5QnDkqDdmE9
3NUldD0/vkNeAZ0z1BR7N9gKP7kRDjSHzpKPRtdftQgPUW6y75uOjxJB/FQBHiwMAwF63URzxBuw
ekdDoFqTdH406wARXVrOi7x1472DoG3mI2bQlhi3Zb1BNb4qfpxfYePkQXN4AE2gQtQnZkustobq
i74jdGm1rzmSoetWM14prxb7Usv6Bz8Q3+tBfi9qTUe9NSuXVT9ot4Fwbl1kHz5oqjrAajBj3jb0
7BdGARcsyYPXhI7brpZKsg50E/Myg5oj5McvdoBnhRM4+bUCwa9qsn6NJRPSj3H/o+r9TWcP91oY
7bpqDLc9OHdIrBe21c+w/NczCDhKx6TEoGD5/hYL7M4VBcpPhxYUJqoW6JKmfr03Eg0FGcXc8jTH
gNlRtZJGmj4WqngVBYrIuBNA4+6MiVezhGV7G5vmrTSDT23iXPmK8b1Qjdsc/oEak7xkMClMq3uK
ffNaxnLSmW1zDNx6cwUxWi6QlLwwsZMfk+Py17xmyWIsarPPKuZFe/Ymw7Ou1aG7BL9pxPe/ASLm
vvokEccCzh811GenWnDQHci9bl0tiUFG2uvMUj5GyAid36Enen8k8keDzXYoIJkkRzGtOzSSUuw4
4YHtpr/vZbn2BvOHOTigbAHExwZo2GEp3XGdIGNiKsbz+V9y8ik3VJW6vW4Y9ly/xbESADCSeMEr
AbVYfo+pbV4ZK+HRYVWU9MLELw03eyj8xGwCVcnlQdfFDizamzkZj2Zwe4BiP5yf2s9Y55cTYUzp
C1w5PJ5miVKtUAiQZSkPwLOjR6yRgIBr1bWk4dUp412aN0+k8TFQu5resm1dCMV+7pgz489jsaIY
kZ7xGT+SsXYfxEhPmoNx8GxrpeopsiRSuVOcUNm0XXCjq9hKmEm+xygnO8QBjnJ5+SGpBcoLCF9p
zaah8ZfgOa16PcrV0fAlSsJrcqr48/l1O3ngjt6O2YHDv0PnpdTAJ1h0A7t0JZz6DhDSxz8ZhrYm
fTuLhvssv2zcNgoJBhr0SSJs3q3vnVtB6KWTeX6ck7EJxda/xpltOSrL0M9NkIZ57j44hffFtvsP
XeFCj/G+DWm967ruq1Yj73B+3JMZp2XDCZ22nol71PxCdvOWu7M5+G70UkY6NHfU/GE9+wtFwmUG
gn5AQ+9F+GgHdSaqHqPtLZFEvlCU+Bm//rIPbZMsZypLWZb9/ockimvHErEBACdRfN2FioFWMDA/
NYAuY5A/kZ5/1kL/toJQsArcbKtpvVz6jvdQYJxT9vGX80tzcofxRSiUWTaVn+m/HwXcqktiViG0
c4gFWNW8Ke7ytryxKrRAzg908ro5Gmj27eEcJuDM/PpQgEfLQeuLkOOz0dH8Pj/QtIS/LDEWFNM+
VqeWxfsZtXCIqzSLq4NU/UcNIIwncJPxkKgStvLNtccf58c7uYJH481WsGtCRUQUTg999Woh+5wb
X63uUgPu5Or9HUaJnxqjR58pUuIALW2lQigEH4AQJrrlt2tFr++zwYourOC0Qr+u4F8xm3Bnm9TQ
/LxSBTklNu5vwZA/NGm6Pr9oJ0AuvLpHE5qi5qMJ+WqrOL3mlYcYNCrsjFsS8JsKXd4CpWDP3iBr
iMDFPkVrNLejD+dHP7+aFL/fD+76MV2mmjNfF2JYuAVCP8ip3SUifwyr+IKp6en98ddqgoN7PxhS
CEEUBll1GLLqTc37FZ6NODuo44VJnR5n2vSkGoIQ7f04ji+tMoVQcahq7aueBuUCiP7rOMgL45zM
Z5y/x5nXpJ1QVtYAT+rglx6a4niZxng+iWpS5l8E8rmPLhywkwOC6RDCsHST2sL7iaW16sDko1M3
lhFODy968Nmq5NKAZo8kZItWxh/sjr/HI9B8P56oCw0IB+jbvFPv20q86m74ipvJ1vTFhfrAyWPw
kzCBneGUHc4+mkg8LRm8ScmjHNwVNiro4yXZrtP0e6NSP/SW8WSkzqeoTXatlaLV0qzOT/bk04jy
tq0ZDpcY4dn72Rb4qyq5X3B9BRjB4yNDbSzACgWoU9IfCJu+YtGyGmykvhQYQqpVXum++XL+V5y6
cY5/xOwTj3YTIyTFHarFyILSdwIpfmGiF4ZwZl/VjTPR2blD7DF215Ha7t2q2p6fxakTeDSLiU1z
fKeFruqNGvoFB9/OP7ta8zi08ba1zLfzw5y6vY6HmWZ6dHUOos7twuYAhtHkDrQbG5gxI9Ls8YUl
uzTQ7ObC8sHQg4xHxyrrranoC1HAqu7D59zRLizdyaEE7QBaAz/JPu/nhK4QxYOSy8tWy9tRBcRa
wt9Fa2GM4qc/WL6joWZfaRia1kTtqzp4Zrcq43yNWsKedAwnqGH/J0PZRFagGYAYTLM++lKNiQZF
69DnsssdgjAQgPaR9tZcdGSezuj8wRZUmf8aZ3aGxz51lZJ/D7Y3SXClCB49x+UOLUOkxS+kcqe/
1D9jzY4qYQfl2YHbOHPoiZrxznDQZYT826fhhf138jwdTWt2ObbhEDpIwyEMPWz6CFFlZ1eJPyls
UysF2QTyS1BCf/+N4B32TWsziAvL3fO/MySVk835jXDyAxFkqxrABWrosw+E7IAIyp77Teqf9NDA
huO7Tek3QXhF4if2+4NNuAFbAIa0dG2262ikN1zzhFYG1FwdKbS+DTf4pWwqbWem44XRfuLK55vv
eLjZhrB7WLO+JKUxw35N8e2qAZ2BgmG8k3WJan1DabWMo10QV5Cb4M6nFaAxt0YzhsonWl5fDUe9
TTzlwVZAKQoV4bLECpotfa54YdWmhcxn+WW0A2eNDN5zm7fNrjRGC+8ZdAwFwVQzQAy3QrggEO7K
9diasEeE86npQgRbFcQYyTwhOufdH+zQ47nPdqg/6kNhReCVfONBsYu9SFChaC+BeE7tnqNR9NnT
FVtKY0J5Lw+wo7v6DX8h5M5vKFBsUAi68DlPnbnjsWa3Yyk1RVROyFUSNhsr1hYQiPZ42F+IsU6A
dcnD/tmk8xKfE6fSjnw658iIIa3qdteqyUapRaY++olm7E0fCILlmh81Bd3aIkSxpLDxJqzrBzyD
N4kfUz834PZbJefWHn7iqv/g/j7+kbMHEDmvKlIL7u+sVFZ5i0qM/6a5t0NaXFgO88QFfjzQ/Mi2
ZSP7pC4PpdYvSy4IV8oLQ5y6t4+HmF1BsexQhIZSiweE7y61ol/p8ES0Iv6MXO72/A10aRPNroQe
dqGQNdNRpPThivnfYi98bAzvQvj8EzR95u6Zw5zDCKfYSBgASTKSj8KxdghxXDcW30hP1xnwEiMA
rx+IfeM26GUhNOzQxK608M5GXaLsMXrFPzUsBKo9UHdj4ijL1Q9aoad/tP6AXiaZsAnz9P6d8WQR
+XjAlQevN7ZtcuNVe0i1Cwqj6/OLf7LWSnHJAAOsa7RQZyMlYFLsqLHBfiNn6ugfdOS79Aw8shsu
qqjbQuRYyaxZVf6lB/vkHkOCXAeFatLuml2H6MZaSVE1vDxV9jEdoRqCciyT4FOV5vcXZnkS3eX8
M5g9m2ZgIGzuFVV1aNJGXTuag1+yLLASUjzkblFbVrEBHq8biaiudJudh4n7tR/WK11pNkmKylfX
rKLczxf+WH9Io+iLogvoRoF0ccdIcQGAomFiPiLbJ+yNNjgv7zTeuq0hUc+MkJxxOm1nwPBAAtf7
IhprY0ncG8YaxSkt/aAG2lvWqwNASOiPBfTHLEXMUK+0TR2NL16u7qWJrk+vfqns5JtVGfdqU12P
Rf2D03kLNGNXyep6SCYJU2uVFV6OCVl95aT52s/159rRJ72c/B55UXXVVra6dCiwLUItlOvejL4r
RSRvR4SRnQLHKtj/K3700s3SZ7tGpMkcsk+RO/YwM8cvap3E6yifVDzsCm1aLB8HDwMWFZBKYiAd
hLC71Zr3+E2i0YWuFNjfnd6PXxMYEyGGyqsIIdZtm2Hn3IUlIjRljXkawl3lQCFCTqJg6SF0va0T
1TtX69zJauQxjIqbAu6dZTqHwg3vTJraS2QicJQrI3wgUJehT4rO7whdWEUeK4Ovailimzp2u0Fs
99asYtQcOUSRJcIVbbAWrZEoQ9UI7R+spK5UiN4XjvLJ29pEFQFwoW7p7vTfj8L6avQCdGsmKofA
O8asv3gaKdj5/f2z5v7L1XY0yOztIWSMdXCL1cEQfn6nGlWNYL/63atalIZS7bXrW3WpOcNHV7pb
OYipfSVX4OpqflIPXF5bDapyY2goHpg8XbYkRiIOi6/NEH8PsyiBV2DjpaLuUY0fcrf+7g7adqww
rTeVYF0q3k2jqB3oWnMb6s1VmSvbALdwWcW3mY5CmQcffoWNnbbI7XaXj8islHm0z2q5H/yovhBq
nbhbKJhr0+VJhqj+EgSNtVJkLoEJu2tVx/oqLNRlmN74xYX788TjNVXm1al2zLedX9QIuxRQ2Sxi
OvcV+NCiRLUrNC7k8CcGwQ/i75vSnoVZyDxXTfsTtoOpDLSgeJkV2j4YzUtlj5/R/i/76Ggk/f1m
Rfa6T9uC3DBAb7l0sGGUdQDsqkIMMDT8T1mnbtwI/kmAFLs6YD7lZPtaNR7HunuladAeTGSQuDf9
5fkdfmkJZkVYE3EZJXUJSPJU20mn+Ki1XLqh9/X8MCeD56NzNAutSt1C+OJnvqriTtB8L8pxM3bI
EoUcAOXp/GAn+zvO0WizKCusTBVnbDhotBu/FQgfKeh9mWMHQq99iAQiQwqwhwXVrhtPItcslJUz
RPfSE88xXh3nf83JFT76MbMwzMe41MB3nJCvCO4tPJO0yn7q9fxPomQTMD79O4Fz2uwhRiWeKn3E
yURzehmFGAqZ9c5zqkWf/UlBxbHInwF3QA2fU6mzNkwMBZ+ug0Dr0epeyuyTEh5080Kb7nRsgeos
sACY6UjZvj80lpWXaYRIK1Pqr/zAulPoKqKS378abQG2pt2O6YgIfdrtRqPVkVDB5z5vv1Zq+ubk
/QtiehqSefWN6SLrlUzCmFmyMyXqFSOWUW2ZPdUyvo5kdwvk58JNeToAPPr1sy1vJubQWDVENoUf
rbSvo+4uI5Dsbo2zQIwGtcBDeSgWAeS08ztuevl+uWyORp5t/7QQYyMBrR+Egd5rETyKJtn8d0PM
NjWIBV/rDAhVhmI+B6Z6rVXBhc9/ehZ8d11D8Rca9vuvnzhVK0rHKw5u473offSot8bj+VmcLPw7
OAJhgagD7J7TQdMo1Jxi5NAYQfh5yNtbvco2ZZ19QeBjo8j6KnSDtZX0a0O0EwwfFbjzv+Dk5QAc
A2tKwKPGHNDp99i0mSEk+77VPwyOf1c3yVZ22ev5YU4827rD4QCIOulJTfIPx7HS4PsFCrKcJC9w
UPrr5c5RwnWmiUfFcS9s/FNX/TQjRjGtSQnh/Vim5gmzNdh9nsRuJCwRDxXWd9U3d2PnP0k3unDx
nVpCLGEnUKxJRe3nLXIcB6LJ3uASUx4iU/kc9OV1hNWoaOH0nl/DUxAlcEHgE7n3XPgEswNtDFIx
SsGeL2HAWmUISgDxRlU++Fq1J9p9QLv8vhvCq0C1NpEjHlFBea47W7+wZ07/EOTCTKQBgAzMNSZ8
WOXCkty/eEe9Ea3d63iAYzGB9pP9mCTumkO1rs3iLe+MxxZvt9xCxx0c9/kF+clFmd0ztDn//h3z
FLeDQJKMaAZMBocvsdODqMu/WrWPnx6dFxGkOzRrqOOiDV9n7RtSA/aiUPOtF7Zr8HWHDr3tRdOG
29I0arwyx8OA4yr5gn9XWdZTROpTavkrdoxgUlXzUe392yArn2KgrUuzjCfBQWXnueGwwEL3zqkQ
FmzrN8sOrz232spYvTJDh3LkCKYJa6udR6SFv8ZtPyLjj6DpA22IaNGmcUVy5G99JMzQefoRV8Zr
MMT3fOcMVq+T/A9pX9YkJ850/YuIQEhst0BtVFfvbXf3DeFx2+wgEPuv/w79PjOukvmKGM+NL9wR
ZKWUSqVyOWeXVeTYTdoebSN39lgxr68CNIg1dNN300cfBF6a09dYn56NrMEM+5Q4PKMrhr5wiCmG
PnVM11MVs+vSdRgUVI0BZYAYsrb2kZLt1QkKgizbRA39+tYunKkLUZKp8yYqiF3i7oLuSoLHoHiy
SLG5LmTBwUMI4ghio640Y8hcOCURGRywG9AnUVOU/tPKVcBZuXJqlxftl5D5R5x5B7Q1DqUqEAoW
5h6249lGCKIS0yOluuL3lqLOC32k/RkUAoQsNa/9XheZO6RjtAGzqP1YVPnodhwJA6MjN4muvJWD
BnYPPLJtEDmFdeJGenjsB3ul52G+hOXziTklgssT/2qfACNnuoNYioCfZ77d6sLtUgGiQmVncPOW
zBRMIJDJHNTCVxZ8yXRmml9MqaPRC7Hb5YKPBsA62xZXDU/Q486Sl76mD8jVrBjP0tU9D0IzgqEO
NDSqkpwYkyainZO1AAvbaXq21zXlrlGGe1qN9w3Q8/XWflXK8ZArwcYItJW1XbjlQGGAkAH5c1Af
fMImnq1tBAZOvahsjK3nyhOgzWa+EHFk03QEOIA7NGuz38tOHxMfc488hqXloezQAG4h5yP0pdZj
gsJMqUWnWu+8OAcQXdQCZ9ScOWLuCku/LYA2jvbkEg5rWNnfpQMFAAgVfAvYZaz+5f4y3QAzWslw
A1JAcoPOyRy756oWO32Ib647iMU1xoixiqENG6pLcWyZNMSecuSVlepQZIC0xSQ4bTSg35k71fyD
qBnPGZBKYkhAB4SvFLdMdQC1DFztnWU8dQA1L+rh5bpCc5glH8hzD65drl0aIA0HBEZMOnTlWzBa
wAvXtUdOrGfAxr0FDKxaGlp5orhaOS1Lm3YuWHK1CQ6qKCMUI7kGKsL8jgmQGQPvrgM5xXUVlzId
F1eH5HAL1velAK+xT+D/OBrTwRLoBWqOzkn6Qyny+7YKP3qaCqcDVk+oVqCkZ9lGAE4jJt1faai4
o0WrlZ+15JWQ78cYgKkSYsk4AyXTgmaokY3HEMSOZUi6VHdBteaUPknEf9/gX7eN5JTUrjVgQ7gC
whZJ6bqdwFilto92pQKFOd5mdX2f9eGjaiQ2cuXDy9TwpxHEt2hjJw4DD/DGbjDVNw1Fu+0axdoO
YQ86riS5RR9fsmENuPgSYFQmU3/X1dxjJHkOVIBmgJf4lrQm6PRmxA4Db41Dr+jVKe+AlcrMYcWe
/j+7/EtR6WiilS7Rg2zkwNGZGrcbtTcO8rlKK8GblnanUkmQnC/rH1oAxPswBRGIMbX7Icd/h2V4
0uPqneLNdWindq2VYDGsQFlTR2SK2Fhu9wBkOMIkFe8B9D1+N5T6FiiW44o5LZ6nMxmS+mENKEtM
SqG4w/WjNqp7syS3SQKsa/Chr4T7a/pIDjft0lxVok+Kp+p7UgMCfbDFij5LkQJa+/BGtNDMjgmx
S8eEcQCaAQ8Pad2++olGO7+KO5CIDdmrqLttVdXfynzaXfcUy3oBn0q38KpicnZH8DBLUhMZ3ljV
X7UOgGBZu3JJL516RD//iJC2yW6LbFJIj23C6xNz3czJU2U/gvxnZf2u64In9uX6pSnO3qBHczsO
uM91dUsD5f76cs2/9TfX8o8uuirlqhloPk2QyOHRN703lN1W1aEfvgzJ4AT92qT75xm5Jky71AdR
LCumOV2L+eab+b1TdHPfB69LDGdPTmonMzYo2Y+06XdjFwYb9CFte9ye4PhTj41CvNbs3iaQQaRo
G3FKKwfSLnjnuqB74NW4S/N431CAYoXF1pzBG0C8d329ru89kBgvVbBF3Gu8VufAP9nHaG8Gzu4p
nvp/n6Wiv0wMnZuXYgLBMU1XoNg6iui+C/hbpNK1ovWaKpIHMKKiNIwSp1PL8wN4NV5Sk4PQ11xx
NGtipCQRSURQgmMV+Q0OsOTAeAzCDoBY4Rqw1KKzmaENiGmi3VWey1PHUSk1jAH5tQr+G2AwxwCD
jlASiZjt1rrlG6gcXjeGxfN5JlIyhrFQuwgwx1DNJndTHhxEqP7BkxmoNCBIm3HakR+6NIQhxsQG
N2BvNcgcFEz+8yC9D/Aeua7J0iadi5k1PXt3gKIV0ZEKlwbuW7DTKI1DrXEbZvHzdTmL7ytNNQDJ
aqDECjLjS0EZE6LsAK3otyLw+oH5dth5NARNTRy9KPHw1Ji2HyKYCdoKML9E/ev6D1jydxiHAXoa
LnI8d6T1TAAcXKcM752wBqFLGm31wb4XOprb7GxTJOX+urilG13TMLsKOMZ5Cmde97N1VfqR9k2A
28hqk5ugFV/KdngNQ9Udg3hzXdTiFp6JklY2ISj7qnwO05TObdQcqMoZ29FsDeFjcQUxhYDyKQYZ
Uby/VClVASsUDEji2OG4YeVXs3igpN1YqeqabMUsF5cPu2QAagEpHfnVP6BxoaMtzFLv6g/cuzeq
qDd1Z981mbHyKlw6yxqzCDUxJYdMp3SWLSMgSV3PF6Fe7YfeRt7P/INM27kI6ZD19sjyBEgWfh+F
L+BR2aDn97kt0JIyVN2K4S15Q5S4MFPBMO2AQsDlLvG8mXhfI48Bfr3JASQTaJmZcd+15kYY8QPQ
y10ajt+vm+CSaVBkTeakEDqh5MytnWQlbUrAZ42helPVgWsK0CEQv+bVxurX3oSL0mwArqFfAAda
zpXYcanAQeFsjWjB6RKAI46djuoDO2im8WTHypfr2i0dMMwsz5CYtjkPOl4uacGSijUMEwBdrSmg
xRbAkdWAsj7qK5f/0t4BWAIQ2HMqBNM4kiDR6iIIcZITXd+XVXSI4+zdBGVd2E+vtjKB4IWudXct
mT/MHmzY8MkqKO0uZQLd2wzqKal98FvfgEnpsQmUt+vr94m4IId/KPDCLgw8CJAQuZShZdXI+9AU
ALxCn143YTo55O2uMpsD1ZP7KRXPcQn0XkA3Onph+WIKd5o5bYN+eK6S6IjS5t1UZqiCxIBH6hPr
rbbbN8DEe0TnDTgAMNY5AecCpxyTQ5uc1tsSlOiirl+mWgcq8LQrC/se/JCPkQHgSTtGQ1WqJQ5A
CVNnNM3GLbk9oksMEMxKEGpOmYI9zsbEQga6kb0R0daFFTxFRbMDFN59NoIDYsjADEI9xQYx2QCs
+whkd1ah32SxumlG/XXqCh85r3cLhXNzUB7HtrorGXAKGvXdiAjS7NUN2Kn/ykPlweqsFtz0wQ48
5bsUvQOZjeaRtN8Lm/9BzyjS4zN60fw2A37J5W7UKDMoWYbDOpQUbEfgW9PQJqamKcD3QRh8fe8/
7Ufae2DE490MChnsvjy4CfzYDMMmaOhLFbRIqAkNvueD1oHFjB0TxPuOXoJ/vQERwQlQygC2UMMM
dGH92Lx1dgQEIFN/rYAR0ubWnmp4nqS1Uu4wy/1sKOFjbYG1GmNF39Eke0CLuvaKJrhbkvHETyob
lSsbDRu5DYQJA7RhmIoatwrn90VtIM842W7VWwe7hdlNdcJBDErf7F4TjqmYpRMYJH/u9UiAs8MA
czeeYBRW6NQRyFvA0gpSruGYDflLxacvvAGxKG+ZH9cDuYvA2xi3yGQYtPA6cBI2qgHqUvMbBXBF
qq9hDCw4qBkO2DB1kGABW106w2ijVpuiR0CfRRmiALJNmr/0eOXxu9SAgAT1HEABrxc5Y0kKOvuQ
8UL/hD8MSBGLCmBO4QQfj+qso9TxLRvEj6LkIagMC3Bu1ODGuW5LSznrGaQIgEU6WCaQXri0XBqm
vQoaHu6jBIOYo/7K9fCmjuvjlGjvgtfPVCWOsMe7qORH4OWe8JWbkFjb679jwWXiZ7AZWgZFfkBT
X/6MmuLEojkUt53WbzJQG46FuXITzJ+QT42BohywvC0kkeWJcjssqkEdTCAjJwF1WFN+U0BxZpvl
AaR/a0d0SRayJmgaxLNWkweDzR4McUGD3Jtpl3uq5jt0YSLbqp16m/+JWijj412rmcj6SxsIFPE2
KOHSfCFqrynGewCG70I2PbNcWTGWpU0yzkRJr0+ziVtQECP93rTxz6KjLw0eGitpmk/I/F/bhMhj
7hDA8M+M/WqiX0CKDGyA0PeIxfAOjMhOjfNXMKC8gJ5Yd/oRrZhcWN/CanwcQOHUJYcpb5+ZCtoj
BdViRfuiVO2W82+UcK9WwwPJvoDi5QCW5E2jqk5ZFLucaFsi8vcR/PFGNL1ct+NLI/v89Ri/xdAX
+mFQ1ZKNLDUTM9VaPDEBElDvet49VVX4OAVl5NmAt1pZrAVpgAacgxvkz1DVkdZqSgGr2LCe+1E3
gEWx3LdgyQv1H5FWr1jZ5dbPeiGWAaIiSHGA0gVc18vzOfQVadE6MPiKKDHj+q207N31lbt0uP+T
gKFlZOYASq/KlaTCbhpSgwHRR0fshgAqO3aDKl7ph1gUAmRmtLyg/86cydrOn5DIdoCRGn7An0ay
NeJ7XqEPBcRH11W5DKb/p8qZlHkxzx6qgmti0vJ68LX4a2WE7+kAhgNa3kxl/RQWK5Hg7zaAnTkT
Nqt8JgxtwB1LQ+yMYd6iE90FZn6I2SqyBg2yJmf++5mcDPau1BWWTmCMLH7X2REAhX+wbiZA8sFm
YsNpSruT0iqx0TE++K+Uhog83QDtd82NuTZDK41y/2+DzgRJGwSUBsPIgHPl8/A4t/wb9hN9n8iO
mq+M3IMT+rpei0t3Jk7aIq5j4NkCZIMPDk3w8iVeHG5s68d1IVIs8btS0gZZPE7jKcyhVFcdaNie
bOSfdRZ4cD5bpC/cfmSo+oi7QLX/VWrhb9FIas21CXAUSXcQ0gBBLsZk8AHceGyP3hrtjIRK9LsA
6eZpQgSzBcYm/UkDiQh9ZjVIeG+nmck+OQr7i6b1IAS8TaZDW5165QTgCvf68i46QPMfFeVmd9AY
lmjyDwd/ZOH7hBGRTovvrotYdBtnIiQfS8C/2qc1RLDuoCkh+LfvuHZkjYH+4P+ojSYdZtQLkjGI
cNKY8+W6FmsLJR1ipNoVy1KxVf1G/YJRo//2denkJrQXPRj8YOSv/aap//3XkbDC820mBLHRsXi5
LFHf1PrUwo6zLUbcVrZ3YWEuPi6teaeNKUghsOaaCir1xCy/Dgi5ry/Pgqe5kCEtfiQUofQVlkd9
MeqXhjXAbNla7Roq+cI1CsIlRAIzkCoxDWmdglbFGGkAMTm/QQ+aW4yorfxXIdJ6RZXKUbLFZojS
7cstIDNp8AeX2oUi8nr1I0iAZ0XqqD4F4c9WT04xCAhpaHl/sDNnSyYZrt3lIgsoJGV1swnSHaHg
RHnDa3zFAhat7EyOdNeMvSkwnwIryyZPcam5ua7Ggo+6WDDpkuGAP+vAXjD4LXkbopdAeAqaQoan
P5Ay0/+gVUnHq1R29zxLSM8AMjtgUApUngemu3riaeTlupz5O5dvDQKevX/kyJORhRVNRZtjsYAE
PNE9KhaBZ6Oonrh2dyjXUpFr0qRTg1lBLSEKtDLyYw8u0TZEVmFqvT6sXVDqAr/b7bm64nWWYp0L
HaVjRNGi3KP8Cx35pky+z7iY6lHNb8zsW9zFjhKvFdoXfRCyUpY619hQ1rh0orlmJYExwdIF2yKM
M7Md8zhbOU7La/lLiBRxFOj9nqwBWiEoBS7r68hec0clH+j+xsNvN7xdN5Qlh4dMLkAiwEgFtj3J
TwTGkBBzvprbB4BfNF9D/XBdwNKxnV+NQPIkQHOWPaplirbtkIrz6VeNeRZdiazXPi8ZQY42TRw0
fH6m/XDrNfybpeU5//XS8gwEMDufrnoAoO7opBgGFGIlV7a046j9gQNznjZCl8WlWYWW1VH0qg/I
/+7y9kQMj3A3LoEGfIiblXh2UZ8zWZJ1TXyY4hxss74g26p3gw0i5z/Y7zMJs7Znrynb5HnRggbD
B2nsvfJx/ePXfz4aby8/niA/8n9OOgfxy1jtxVrxbekWQAMmnCd4SqHF/APOfn3FzE4V02xOFd1a
RuvgeYMcbr8zypMZ/cFmIJGGLjFULbH5knFZaSNYMz8uxhel2xbDx9SvjfgsHY9zEfPfz/TJMeAE
9m2IqJztWky5tFbn35bWqmnQSAr6cbyNtkwDw7drjhs9fE2bzfVNX9bhE58XPhctuZc62OizqyY7
6P3ccBl1mnCleUICIvl8g1FM4s4AwLMAGc4O5N54oMS4vohASQj06B3QuZMp80EG54Uk9BKbfYmM
dB9n+gFQrE4YaRuVRFv0vwMRvXKJfazprWn8N8XlXpW6R19HPysuTuGm/nF9VZe8joUuRUxSYvoL
VI3SqqpBi9klfHwMhTMh/Z6/AE4v0O/YdKMNK8KWbs5zYZLb6dLSKLsSwijdgJU9jr8YidsV/6o4
/799BDYHUuAzf4AMs9gaodrSxoBK00lUnkbd60u2aIhn35dCRNIp6ZgQfH/I7/qTqT78t89LO1KY
IgzIYIE/q3I6INM6/+3z0h7wiYHjKcbnw40ben/wbfTlA9PWRiZBTm1XWaaQHE0svuberiQ2P0ct
5VB25vL8+9vSDW+pvNPrEN+eUNH1hLqJ0xQMIRvNy7+DqR4M5rR3FdC6R87wI0jdVUiThW2fZyxQ
L0PbBxhEpX3pOj5ULcqr/tA6euqsHPKFc3jxdWlbIsEwHy7y3sc4y11bWWD1HUInsTOnVwCqWec/
wHyDvqdu5fKR6mOfp+VCsORWk0RrLCqgVtVmz1Z2imck5OR70Z1SrTz1SXkTCN01G+aionrbt4cm
WQl8gC0JJyPtLdLvaFwDUoyGDijpBrTNoU7HCc8UuzVz1+rA9KL3rl7VH7mgX3tqIyOLdgBHE+kL
sYMvnBEsUJt8EJG8og+68SxujRvB2aulNAj9uzZ1bIXGTqvqLz2nP8wwIcirFV+qoeKxY468AC22
9VIHluHlOT0B2GqX2SNQRGlub4yp/qsk0Qca5++atMgcZAR+Igf4MIIEI+iNfWSn96Ee+03QPVss
wxep6gvgdY74eSqjtVOGLvgEegwNfmsV6xsGAn+2jfhC6uKu0Ir7qM5BQjAeBVXuRYQBxazc9SUA
GDrjHWwOOUazoxcyWU9A9HtjerSdNENxkSI8gRMJEPTGxwSI7m0X1FvkMFAUCcanIrJ3UcAPFBm8
IDArV6uzt3S09iyl8T4fsxu7t6AcKi5IOIAcLyOp4jZGrByHJOvBBKS9cIUyFKnRR1p0lqsP3HJY
qwVebOc4b00Yx9uk0G8rjHI5mF4MEAsDQkHlinrAeBlK8ZiUdoy0jnd6WVuekvVgJgB/h1mlz8C2
eqJDjUHtks1EG5tybvkJlf4+JuYL5jSAoTJWj4gaD6Qj5AiABr/iBDPJ5D6xtUPR1a9A+Dk1JHoW
GkCzLRXdUdUhb5Xco0zZpUTvANe+E/GGBxFASNrYDyzebjDh8VrEoGXNWPU9rwNQItT5bVSyB5Aw
dY7RZtv5lWx0cf4ltHPdrczRXjnhC3HShZHP/uU8BkuhH8gl4RyBuVFuTZfcArZnatbewwuX7IUc
/VLOGAjwzypW50+IX0AZAPyqtM6PY6oJV6+Te1QlmTMk+ksViq86TShMNfYzTR1RJiiO1pQXwAMo
NbS7jKP2+K9vCPw4JNVm+HUE7pK3aSMMoY+53eGsAIYAxranjbISyC250jMZcibbaFH8KOug8wGJ
dFfaQ+wMJQqsJ7P62rcPlTnlDlpoV4KORaGgC57ZatG6ImdWcbTtnOcjGNOo5QRwCGXVO6Xw83TL
7WM6rIhbuowwhvePOOk2bFJg5lnj1IPQkN5p0S3XsxWvPJvJbz75TILkk03BEdhXkFCpu6Z8jlni
6O/XjWEpdQOgEOihIu0wD9hdmmqlaxl62tTet8f7QDza0WOq2HvTYm5s0m029bvcfDFos6nAOyQm
tr0uf1FFeDv4NWR5VbmWHdtGXySg4PFF7k3BnRKeVh8t87X92yqeiZCudQxcaREDD7pf3IwxkCnB
ZRu5OXODyCtWIqQ1baTFDEY9B5Zmg+zbKcYbBVhO++vLtWhzv3SRu/4CmiiK1nU9QGRc8mCuhL1S
s/f/BSJg2/57N+QMkTAL9M4w7AZN34VI4ZRr160i0EftFLEttF2cYkxvLZhfqirCBn+JlU7SOBpt
POZ97ytK9TLUykNqts7UPefTKy5YTCiCXC6+s/W1OczF6wDxDjpSkZn6LcXQohIT1mqN16aKPg20
lVevdnBDx4MYvev79snc8JsRnomSHiwNmcIuqKrej25o+zqwm9IG1JTYV9k2Ue+C7J1HD5T6ab6d
Vp5KizZ5JlmKmWN0ald6yBG0A3IK+SZvUC0vp2RFzKJlnomRTpnG0pwRFM78wT5VpkfzH9dXcE0N
6WhlsdHpNMNeaZk3+sEezDj/SYCcp6/RJxS1JRRoM6/QblTzYK+OS84OW7ICdAeDbxMLBUpP+XGm
N3TqKmMC4/Qbsmb2Xz0CVO5n9tYAyjoVLpsChw+WU1PnunILPvBCsHTC4jYQdWZDcLWz21umHfPI
56rTAP53LUe0dJovZEm3VqaZCeZaIQtIVE5HAqcw7rLsnuffLTt2ub6yb2uqzYZ5FtMV7ahPTBCE
GmAp9EBwNjqRIMK1UlE6fRM126LHeIxRrE6KL5jkhaLz388ko4MpLzAaAsmvyjfr2fy4vmcLQSRK
xPBLc5w2Z8MuP29kiqqzasA6qs4UbWPFKcjW7nfXpczL85tJnkmRzm0mQiWIcjCijt/4rbZidksZ
gwsdpFMbof2VZwV0QG5Sb7cT36ntfgQOTHvqwGmY72jiN6rL6V1LD93UO0X7wNCXNcLt/yc95V5b
m/VdW4xd56eT+Zwwe0c4WXnHz8r8tpRoKlRnzg9MEEkbNk19nfVW1fn8ENMHOhyJj9IrKY9msbJp
85euSZI2jWqFlZEIksL0Q6DRHD/JQ0vvJDRwhq0heSza4Zla0h6apa01POCdXyvHECR3e0KfzJVD
vHiUfsn4rUc5Yx0DCwDgDStEZxuRu81acXxlzeTXQVwUjQG4js5HFqLRT8FNejC7Z96v3INrmkie
FiBFUWQY0CSP3VpTj4aynbJm5Xm1JkRysXYWYbA9gy7TXeOw52jFvFZ2XJNcaqblQAoj+DyJQDnq
UR2MFpvrx3H5rKBxcKaRASDmrOGZ76Q1KQCG3+IROjrowwe9kOGwKb8Zgt6LitGJAZsbYLTjutSl
TJtlIX34t1gpDMPOAKSYCVzAAfo/b/v0kJJ3cVsKD1PMWu0BvS4qNiOwOQ/XJS/vGLBL0HNsgL5I
2rHG0Gb24bLz6ZNCHNvwVsxuect+fV/aMgJs5KkBupYPoBcUdwfrObMApvFxXYuFxmmMN5m/xEjb
phHwW1chfAHmPaPXQd0qzU5Ebh06AWhibohfPCb7dFvvxoNpuWbsNuG23Iav13/G8lH+9SukXQR3
95BEJRYzIh59ZIfK03fFiqkshhVnms6/4cxABwHi+IZCBgdaMxjQxZ49BXclvWn+HVDF56MLsDbM
BAojaiVoALiUBGL2xjAqbB0y77qrAh8dSRkAOl9fsyUDOZPymf890yfVDGEqdTpHgBr9ajTekLgG
KVfMcDYz+WI6lyK1nwQt04hCE5jhqXD/5JI4/7jkWpsSQxcA6Oz8IN/BbUQgCV7t2l1bJumcct2s
9QRDrL7S81MQ1VsWax7lA7D0vJh9hMFzDqjaRqhOgew4tZ0mrTaUoUh56gN9xUl+TkReW07pVHfR
336+715UG+ERSBCBPB20GHwK0nQDAIBpJhXxehpMbjyNBWDNRb8Zpn6jK3lwBM3JsVLH8ACY4WIb
izj9Weu888w5Gg6TCrmQPgX2aEpuaBocgM9wb6cj0KQxj+w2gciPXRuXuzhOnbIEmCy4WZ5Fi9E/
MymdPFG+UM703aR3hRPgkekYzdg5RQmaEzsqiWukrdhgIjl37VJ/EzxduQfXzE1yR4DSTiOtxW4B
Aqdwy7U63WfE9vv6A5gOsw/zeILkBMCj0tpjkuOe3erfM32TZvuiczOOrCJGBx16A/x+d0KhQ7N3
5R+MQ8Av/BIuBXlguYgKQH3Ay93F3ho65+Ir7fzrktcZY1GRBBg9fo55fpXzIw9DV6i5I9rXqbqp
kJ8H2e4+Hdbg/pac95lgOQ4TddL1fQ/BpoNSj35XvyY1RkG96+5uKZV1vnqa5CzSLGPRUEJMETvB
SxM7Wwo0C+HQ7eBZ5n6cVlJ/qwIlz2FUwf/ceDLc29wTuhfphyR1K/bNNG7Tf4dp8/et8Y91yDFa
0GMSiU+wjvglTzz9vlnjolu86883SjpcXaoHVmXA+FXAxYL01KOa1xpbYMmDprHRnORtPKU/usYJ
31Hn4YXzbKjf1WmbhpMDIt7r+7kUL9rImVDwWKCBTY4XWyQ+UTLCxeLAcRnaLctvvk/3ov1ga0zM
yyfjTJQUXdChNYMmgqgy88pNZ+ypuA0BtPIC5NEVo1k8C2eiJP+SzmgTKP/g2YMbpMVNAnZCzDCX
nqJ2bkXXskDzjv3mzpBnNT+Jr4gchBaouyBpEeOtX9ReFDwLNm2rdKXrbEGITQCjDHQ1jCvbctpi
AsEJLTUETqXe3QqTuHF2arN/Nyb4af4XUiTn2KZ2bREO8w+11kvJ1wml6esWt3SgL0RIHrKqTA13
GjbH6hI0fCInCBpi1aliO0RD8rDtbHGfDIR5ucAFlxYAGW9WM4ZzwCRt2fmPkNMWplJSNZtXc+uF
zuoc5ELR/+LrUrgmqNXHYn41NJ1rhU9Owg5vwlprF19Kfl+IkXwxM0AUEqgQY6WYAa/JwDasDnI3
b2zVq2cSMjDCVF32NOrDz3xKn0qCAjiqQtt+ir7WVnsfYL2vb++KmcpQZ/aIIcO2xW/iVeVmphW6
XcNCp230eMWQliUZM2AvsCgom/9+FnlTmzc5ivjInwRbkFapG/PtuioLURCW95cAyWFxDDUPeQEB
OcCUwpA5ScRXVmvBUV2IkByV1YekCQ2I6KxDXIPLpT82WbHJDYLemPz5uj5Lwigoo8H28QmkJFll
ZLOSZ9nY+lnH3khreXX2FVfdQWHRPgLByXVp8+rIJ4whAwHwOctEw6l0zKMy7Ggcma0vwmmXZMO4
iWhIvSmOXCOOd9eFLW3VmTC5yCDI2ACUMGh9k35RGzBRrlyTa9+Xls40msLEIcPSVXrhwNsDukNh
K0LgzOcTKy/auclJ7nfk2pgA7rz07V5R97wN5/4cqhj3qpLlm1gTvTNV2Rs1wN4eBeBZoDVabqId
0MEPPBYPZhIcExWl2IigPTkntquNbQ5OueGkWe1BJ/xOtM2LHqb3mUlu0h5VH5M3Cvpd8hHMSUgP
13iBjFkDNBLy0yagbgRPe8eB7TdZVbzXMMC1UYbh2xCKbwXnpgOwLOEaygjgP2F88CR7mtL4jYXT
5KoJ23YlECq1CIDNrEgcg5V+RpJDyy3VAbxWCM4uYCULAOueEkIf+4Qf+wpDnLrC92phH5SuBFhF
F/80xSDcFu8St1D6N/iYF72aHqpUm7yyFrYLbhWXMI5Gzzjix7GLcRPX/cHoqi3t2VcVM9COYoDj
t9H/ArrRRiuBZg9MMbcM9W/o6riLW/s9BHmkmtaeNhA8wwbyQBh6nMYm2CKXdsopSx2laRsnUzjA
p0ekLwK0YNSZeJxs+yhy5qH70MKKIgYIlZsxUD2twlBKaKo/NZRLHdXoPTqiEawyghQ4GqCNAiLc
NqxTN6E6cs2tZ9T1e2Karg4jNri6bQT8dsnirUK55kYNXkmF1dyGRfTTGvmRtGCuJTY/8D7R3EK3
3aIYqJMW5UeqqDsrqn80fXVHQGHlsnKexCfiW9tnz6nGHyzkYpywHg71WMOI7OqnUNOfTWf7k6Xe
ae34Neq62ski0GUpRnTPmzHclHnebOs629hxU7ttqN6PmIvydGCHoeGlOdE4A/WeXVgA5daeFS3y
i1KNNgpyeJ4e6Wh4KL+rrNxbtPdCNGnR2PbBVnbfEdXRQ4CXcv3F7kPfiO1vSFXmXlGYbszG9zqK
b0DuByzE+MFumJ+FgTsAs7hvDC+rlW3VAYafWV/COr/pOsUlFd0XIfB+w+l27NOTGONbo28btAo1
bgDWQ1dv6Ucwa6GITvXakJ1gOH+pNNwCI+WWs/YYNMSrGtV04rLc6JZ4JKWyt+PiUc+Hp7Y1vDQz
/bzNj/VAH/Bm345hv9cqmu8M9CSxqAQdXc4BHtAnAgASSnzshbkBe5mHVrser/nAa0S8i1SyAYp6
54RJjfRH5RkARkkA+0O7+i8kK1yg6/jKyI5FArDVtsTku445ZFXxmqh0rSx/t3vyTVOGjRKqjlYi
bxJj8+vpLR/BlptVg5sURo5KV+z1aCkdWhSHiv4xiC2UBqwjngHoyEVKxi7jtx6pSBctLWALNC11
WzRIQVanIdYKUI9FmTeVmOMtIxd0al+tCQ8VQqq7quGg4gteBkUFaJGRY8sAmK3lyn1Ydm91Vn6M
ZXXMbWOLuQTomebvjWL4UZJ+UORRzLY89AGAbhLmjSw4lmEOGTdV3nuqkgDoPcS0sLkvo9EFF8Fx
jMrKBW6qFyX0FBnNDZivtwnH4Hw/tE9oDLvRSPQNWHODkyX1XW0Yt2HbHOxJc1hg70se3DY1MpBc
GNsmmPZwHBv0P8IECt9Kwlc2AYusnfYhgIRL0HCZw7CNSdMDkwidl1bCf1RZ0oAHiOgeDwGaN1eX
yy7ZpWI4ZHp6UCe+B2kafAaazktzy0ZQtjX8MR7L40CCfJNF3R6Ubr0zRv13Wg2PhoFhFRtPziK7
D9vppLLxB5r+tjEGpcOeg2gmvdO0zAftJFIItX6cArKpibIpi+RGR2tklNObSozbnorHsNBLt6qV
ljtxNg6YtiU+sl7hrlHS177QKhcks681T4Hjw5BQAhvMvd0DC9lkTqQPINOz0XUY7HMFN/b/4+7L
mhvHsXT/SkW9I4f7cmO6H0iKkixZltdM5wvD6QUgQJAgQRIkfv39VF01nZVd03nnPk5ER0dk2dZC
gsA559uWELum3ZKqLarey4NW5FU3HmCivhtdJAsiba1WNyG9tpwjnRDXx6k3IRgRk/cW0PEwo/Il
xL+BhvIUKFsyn+xl0NyJTu5XRrNeU1gZIcSH02IkrHCmowFjT0R4Nhi4WQKbDg1h+xBmq7SZhcFe
F0fFNLxLubJcqA8tx61kDW7DLcwJdjB2wYs9hoRidzPfnHTNB71ec/rNuj3yVDeRg1k6Xd6mcYJS
OwmxTuVmUVMRd13ZMuT5+s5egrq6WlrMDcmQPYC4Q7D6XLeAoVAhxBt8vW68ar2ZIj/rubvpMcmU
yEkU2uJMtHlaJaXXInvu8jDNX53mQ6VNXjm3MzSqMCksxPAEykJG5LxBvXbTU0hXQ5tzXhVu9bVP
5l1Aq2ON1MEEJNUKmdBBR0g2uX2edLeRkojcStts9ryTv0S5Bow4RG9d6D4i6/vA59nNudvdNRr2
IljqbJJQeWxjVm8GOm8qREFM4Uvr8cJMovAQ5bi+Ynr52VlQGIp5u3j2oQWLIW1TfK/nNE0yhHEU
KQjLQ70CdW43uDKbdUyvkTp/qPQ5sXGWwtKxZZd6oluR0ZHuI8xUdaNKhLtsaeucuynarqlznN30
AVloO0T0wBhmbfYo764u0Y0dv17xWvTGBSmX8mDnUDJng3ENFs7dhIpkVT5OE36qhmPcfnP1F7gS
weboJFeVUwcpj3FGkrtFf02qM4Lcr2swrpboWkT4s/BODz74u8lOJv5GESyzdDoYH/GNY58NDka0
UI8iHVtWPmqKpFgRRJM4X2ety8XK92AYy7X9lrI3n/VbaZJNB4veyavxOLTwf3K2AY8LHbG8Np8X
cjG3eVZOW3aY+7r93kuGAxtBaZ77XaTf7MqzqtYZbki2wvEMVrS5XJws6ZdsgnRaeXPGrIYODKZH
Zi0aw3cN7csBInS3VohZu+X8uYmCneegYpjNxkNGLAI4onzRY764spBpurdEb6pgvfLaCOk98mWt
+Va1w5pHy7zt4SLZQBIK4uiwqS3/UE50K7r2SrdsF06Rzf2lKYEpbhtDQDtevqp2BHeZiQxucXu0
L2htZ5Yzbm8F725Hov3MqcabwDi5p+Ndn5o998h17KtX+CqdfKa2rK23q1gFvuGEux7eStd+iWny
3Fckc2aDtrnRt1UTI3ohepwD2mdTPOxcY95g8r5ZGvle+Q4ck9uDdOY3SeZthKl67o19v3MD+YgN
Dy+B8zmMK1ompn8ZA4lpQxNvmAkeiMV74wqf8CHO8HEEj0WPT4mZnkEbQb2JNMR2XDN/SNq8nnTJ
vOWapsst9cn1pMXe75OT8sg7wajeNM5B2qYc1hRcfRegZ701FTRWDnO2aqqwu7AGCaPIm8x9p8Zd
5SwFlBBdBWR5MXj3zDjifg4p2VJEr6LcatYiilfMb8WcnjxO3kid4I7P7h2K8DsejYgMp16+Bmve
TWQXRci9DSJk0RFnA1T8xVncZxDjXxxXIiQWqTpIZ1vv657vDyJqgJNCAlasc+AVaM7yCaUdDN8e
Oic5xAG4y7NIHujoz7kvhze2WJFxHj+nVfoweB8+SQ+IPoEn47BBfgQ6jUvIJhzmMhV0G0+DI+8l
4FlP8J+cVjePUVk1Kdu3jO6HqYNbGmgqKdb9IoIs0YHMGifcHlCwbVB+dcHZhOpzKNKzb7oDKPAI
URg2zIaHi9fPSL19N5hzo+1xMuNd0DTAYeovdSuR+zfvSKK8LKnjzSiW0oeLYDal/Uuv+JH4cLXr
an0yVZCZFp7bI9wocri4vmvkKRUtN3vbNI8qGDTEGC4kIbfYRzcoza9GSBjh1t7dKEaHDP0O7AxS
1DCmhggABordbMlrZwjmcqlgJzIhdGFsXKQQjkXlUnMTVE2DnZeXMOYcM9V5+2RRH3gEIX9uNgGc
HL1VIsTV2/Kgva7TDufkxerKbx+nMXkMrHfVtNibrIVoJuzFTXWJnGuIf+0msMP0k27cEB7zYh38
h941973wr2Cx2sDRsZnyKhh4QebplqdTjlPxyxTQNxecmsKDpKNJIVKwMGFBHY1a3/Oe4d71QBG8
PsR8P6hU5cNFMsDn5DGJ6Mn0qFo8Cl6nh8cyhr7A1v6UrYKlWXvRHzDevXYXRYKT8i+4I9NmrfhV
f1EtiG7T1dvmomXgnO3ai7phgcyhm7yrBGW7ivlDCxmETcYvArIIC3nEAJkEfGsQ6gHdRA8BxQIh
BSI13aLW4SOl81ldtBY+RBcexBfBRYURN8N9AlkGfOsUghLmYvSapIgaUW9noio00ShVNPGcvRj0
kLO+r1AowdrQh8oRg17QwlKX4ym76EOii1KkraNNR1Dc+J2pci+NZFk7Pd3DtukwQg9wAGMdrRFA
Qn6BC5cLcOgDQUyIWvEMJEFZJWuEnWuKMo2PqULvOQXSl/Hl2Jh1j8sBB7gAdvMXgM+2eMT9OoLX
YoRtWsMhzRsRCAyoNq9W2uZJtPjXaYRPHbfiqm0Hvl1kvI0onjx/Tf07FHvmNCF0pQxnUfp6tptm
DcsgSFA9KYzAQWt4TnR/rTAnz9OeovbHeMavY7VxSLBRRl+NKXmEQx22QCSkFrOoCvjIo623/KVe
mhBaAAgCZtrfpjRGqvEirpyFJQXY9X1WAUPJxCirbJiAYdBA3yUGFRxiUsJirjGCZD7LTRRMu0bQ
EKkp7PMSzh+6tx9ThzCOqK5WcOS9B9nHbS6oU6P+UFfUpt9iox/jqDlN3gzsaXDuGovtSbX9gfbe
N4csXpZahj75IrXq5fAiJEws68o9z529rxoDFmOFS18P7EXK4LmTCeqqiF9bVWOxL7zPwTZhedNy
XlQBJMvjEHxTUfiC/mPr9FYVJu1IwUaEz0mdbueUbuog6hDmBQQ7wbikWKsWsxG7HgOiv4R1WJ+Z
HEmpIN7c6Cr9KhJzRGM5XoKkReYsOJ4FYkZyuH8CA8XOvknDWW+TFNaRFi+aenG9pVaBUI1hW5Zi
9oLoF/deVxCFRWpyc0CeHtDi6jz0Ji7YHOQSm0NOWH1OlvqzouJegKu30yyooeXyboZULWhR51c7
8jKOGOKQURjljjvfXI6gTCn7Eo7sQYb6vrIM6rWoCa7guQ4SuRbvZvxMGAJuBhfhKp5okBLaRndm
Gp6Q7PMxp653EyR8LuTUe5shQhOAKdUXzAN00WF0NY7Rl3ZdL1soakYRjy3KL7vk8MlPSpxAEQ4/
kFpjxITvRWfllgVxDAVULLPY4iI2Mm5uu0WcfUiCQPAOTQljOwBqZPksCQ6YBcYP5WrG+3bB9Eo5
g9oaf3wJFSrfeHLZjo8+RH9U4xztoUd05U1bI747YO8JrXFeVfcxmZqrKZrvZse8aBZxMCME3XYx
ih8x1s90qYaC+n207WS61wPun4+JLmbv6pb5DopA399FSJE6O5bAj7f3jsu0THnMfR8Dnrop4ymI
UafpK9fD84aZQVn5FgbiMzg+fQwKwWIDJ59ct8H398+A+pdMTezcd+bFYdO1hyaQCQP+qniKI/Lg
jnMWa35U2utLBLzexj4CE2Ny8geS6TZS+RSQ19HvPzCzWXOQyNrc9grpgB6FY2+Kp1djfOQt4eeA
VEumw2UbJA0/cmPSnGH5Hse4OxLTNiUYqDd0CU6yQqvBenKD3uJbiIa7e0DO55iLaEY4jY3gAoMz
Gq0zPJ8qhMOhgMcDPyIP9BVJ3fiKOkEHzcbXilcQQvZ0KV2l5jxE2BukEhSpBcY800Aip9DieN4u
YJPcuWZZt7NG9g4bpz5Lgqi6ToV90WixzwzphciMxJwnXEOvFByew+4o4w28Jumegkp2NWHEeiZU
t4h57OC4axeERidoDP79ZPovANY/Tfh/GIPr1bC5spjwE5mXmUTtEf1/zL4REgyRO9h3KXxv/4yD
wJzezBfx+dUEmaifrz+BKP4Kt02/f/3LbPw7nCVa6ezFHMxL8TRDW934VQJ9qTlZOLHCMOwYT8NR
cy0zSpKf8FD+EuL57qv9APEMfZxMssbFS2pRCO8dY5B/f3d+9gY/QDxeNHldDTno1XjRBA5dvqyI
ESQ/u4SXW/AvY/0A4sNLovMlBuiHS0iYL4Rl85VmMWIlA5MnCEV202DPhLXZGiw3Q5vetBYPjKDD
lb9UR9TIsKbvw59c0r+8nciWR6wfEoki9zcq53e3swJDtBs9eI4nGEMvFlOHCVtTtHjoxZYyiPvD
aP1TIuJvzfiT6/BXKArSEhBc6IKPB/fxP18GHSWt8mAVfeHwGi/7yTf72av/gIZS23R1gJntFYmC
Rwu0o/N+Jsa5LIcf7+P3X+CHR21QgbFDj5bVds4GYPoZY7aT4QEcc34Gk//Vyvz+rX546vwp4YCa
wulqgUa+dUQe6rt5FJt/v/7/anf6DhL8cWESjZ11oFgMnaGbmZ6aWJRSTm3O0Rsp1WxhNnhkKbn/
92/7WzbGjxfyu/dNLwD694vQ96F1rwBFhkpvh3Y2sNWEzblo9PUQYRzp1ncBjSHf1czNJepWPrsW
+Z6irGizlu7YmxM3KrirGxSXcyiccrXtPYxod804PY6X7YgE6jhgf7J8gph8ivMO3KEGzvQ4QP29
cKZTwh2DajYsvPCuC7jZKR0/N2GgSz2tJ9jxd3mrnHe2aNTsoXfGI1XlrcWB1Kwok3nlnGyqb6c2
uJure8285h9S2P94Xf4Pfe/O/7gi+u//iX+/dsjeRajZ+MM///7QSfzvPy9/81+/8/c//xN/8vtL
Fi/jy5/+sWnHelxvp/dhvXtHYOf425vhzS+/+f/6w1/ef3uVh1W9/+3XlzdZt2itxqF+HX/9/Uf7
t7/9SpBJjWcbikOssv/4/n1+/6XTi8TfZ3XLfinwf//t376/6PFvv7pO+gkHWgSjk4sTGSwUfv3F
vP/jJ8knmAx7kNa6SLDBoPXXX9puGBn+KPiEAEIvBKXJh1oEr/HrL8ACf/uR/ymETzpOSHxOWOyA
D/zHZ/zTjfjnjfkF/nHnrm5H/bdf/7wTwOMWOZZIb8D2CRKj4/xmuPPdAvamOW5E1zh763RwASAZ
82xOOlEEdv7JM/rnneAfbxXBYz5CMDauxY+52HCdq3i3Juu+QsOeMowZbZ1+Dtuf8SL/6n3S4OIK
CcUoMnp+4CJMsCTQCCGye6ntpmLpm7eQYmbrz9iff/E+4GODhhDi9Ln4Qv352U/U4lB/oA58bvmd
8poHk9aYP4/5d6vq9zv2/R0KLsvgu936twt3iX3xLhQOONv/iz1+uzQ8pLFBmoJ8rMSKoXjVWHSa
c5QjsleAiMu/JJVsoI5iB/BWwpwq2eexiFpMKiyHmhmRkWOFhgfgP3rUvoHLhhPcAoVEeeubNh9n
+PBh2wLyGyASfRzt3iEYRE6RVnlfOydR9/rCw3lGjxGXbBA3ydrPOUVM8YDwrqKKlYu5UouB7+KT
HHitLSrsijkxZMr71QFiBQZtZrz+MwwiGOy6AgyEERK7mU0XlHgcWJ5S8oSnZS2ryDlSrw0zZUO+
oz5cnvoVBoxykPc+C6+HVu5VOD06GGkc0Yq/x3U8HBrBp0K6nGyED7trjpH8rm/RNJHV15nibTk7
5KMLGSlEV2Om7VjovS0CwsFzAj96Db4hWfzKRe3Q1FPOnBmNGpN803N7sHroL4MrHJKWTijlld2M
s4aDRTNhKzaVyeI5DXKRdp/HdLhzROPuphhwvV7GK3+WCYZY3gFRqsAwDUd7EwwHLtr7MFgrgIye
OEcyRGregpnM3klVCssOBm8MMJchus49Uu24Df193E0yW2R0Ut16mqr+frX6W+vOb0s6NkWVdLIg
rfcez/LAQwt7VyQCBg8JC7rXYYYxV1+l6L1WoOxhMKITgWx78qP9PPKdN87PmtUkzVzmAoRk3NRb
DGHXYomc50H111UQfjNkoEXYAUpTAZI8lL8Od0bQ5tKX3QmfXEXowxlb3HbXVQOErHGMwfQKKT9A
iuHUh+Coh5g+ZAKq7n3Q+WDDqgr+MQ4sMIH/HmGAi46triZVMNeH7jVhOC4zhd68SBakCsBAsons
eRKLzbu+tYj7rbC+RDoXfTeULeb4Wb/Yk9LuvvEmuCXGiBxcMVrBeK9PMj+OeAFDnRIhozRfqmhL
43bfCHNAjNcBe7SzAVcLtBL6FaKwGeNF731k0S0IIzZLwqrKZ6BMiTN9UKSrtlGzXq/pEmW+ajdD
2D/0MDhx1lGB/Q/SuUN72LS0NQwn3PEjlZ571MF0Iuk6wOil+zpVQu5aBHD1Htm7E1kAY04v+Njf
QlciM43ESE7l74iaP7BFKsTDcpZJbwbRZcZQM+35AWo/Xno+g1dNcN376bsw/K5FLwvixDRggIlE
gil5jrBjOJhB5E7S1seK1k1OFtAVae0+dWv3dVmdbjPI6FhHQOCjYd+M8SO0NHrrDONnpHO0+TSE
1+EYYkdVplz7GHPtId4iqQQEG2ARte/KrE9CuEaraz+JjmoCtocojG+iuQmX8NbVA8RUgcSttT3g
Hbf+hoVR5bpatr0OwIdeMNz0/PiMcbbO4btH83RgaQ62iSkGN3iDiPyxd1pVwtDuhoDry1qCqPII
SjedrJlRF2o6Npe87W2eEIPItMbZODFEB04A35gloKQYPHcphONdphMIfjJ4UHMV0CnzYmkLE/Ox
8EajtqqZIZ+sU1Da4BiUd374BLvewzqF95wEMTg7hJdELecEuFsJ+PxRcGdHo0EfmhY/t0lIrru+
utJTC7CEYGjkatFkfQsDO09j3K/9i0CKVAcJU+mNiGqGtCHw5hARCoZEOjwOw/iA6diUrzX+M9Y8
JonVXVuH2C8bEDN5K+pCXNzGBcNJR5DSksUYV5QDN9eYeCIEyY0pQNcAvu+JUJuZJNilL0wM3dqv
ZMVMMRVwSW1SXGEjcQ1B15rfbds+6wncExKa4ca6cZSnJNXg6wosg9mdD+gAc6BQgINQEV63tvY2
KU3jcgHkVqTKfU/WEBg7x9EytDS68vuYZ9bMa9kzs15pTngGvwpxXqMKpC7L3pD1vEfI2bQTcbJL
Zh/QWTfmK65xXXkpWEkEU1nR52uHJK0oCb9iqoS+s9VluCqZRY5zmgXcdJaxXwuzxmQrU4DnIKqj
6ubplQB4V8aLFoUMAlGa9XI2EegvOUKONql2TgSSAGKsLCdJHPCcQD7LxiRgZT8kI447qGRM2OAC
L3QL25QQewn01wTb+1VMvZeoxR5M3ZbnWgx3hCf1cR4xjxdMwxJRjudQQXHexN5xNWl87Andmmi8
Eq14tPNg9z+pHf61cogwA7rEgCEQChFdfy5RkM+kcPGVs1980Eyg6EL61k+quh9o0L9VJ7Dbv1Qm
CFIDQPBDGSTkMNteMrvHsQG/eFstu5TxI3oMYCWj+ho1AIZ7t3aOgTfeimjat7r+Xfr1v7zBCFHp
/fcNRvEifjm+iL9sLy5/+Ud7kXxKMS1Dy4JbgGwUUC3/aC/iT9jnAg9xKQgtBi3tn+2F/+liqAID
WyxrxGbGqJH/aC+8TxhqxAiCwk+DyEmD/0l7AROMf1mC6FXwTojmQKRS+KNz6gq7C+OCcrX3Kwb8
onpN8CgUHU1mMCRcUywC4xvmuxjTM8j/aT18KK+GsWdtj/3atdsqYZ8d/yXFlHfqkJmLigeIIuxz
IgYdLni/R+lGaovoL5FLy19n5ppsUOzdTefP0Sqe1AAiDELSj4Z6t11tVInInTqrHez2bmzAahSq
1MskruSIGLu+U88xcUBfG6cv4VR99PMskYsJJhVgkr0TVogBC25qkAuNSq5cCXxk8d0TFeKqsrBp
c6sbamHZVc3BfT/33wZ/OjurKSvVthtw+Zasln7JksYrIuPeCUTGVRjSZ1S6L4tX86yZPJZ3XvRR
TeOJVP037mK6LOC0tsKHbYzAY+sPwQy/t+DstfLk01DsqlB2GaX9WzdEWwCpQEQ6JB80beduaphI
FLTnUDXbc43lkkMfcQPmaJQNMj57gOCAvpzYHH4MPgHkjfJxpesd66O9ANmLB3y/1qgrPW8E8d63
Wx+MyETgKs5qPfZpVxXOCJ2FURFAWjD51pUDHU8WsJoCCowB0cQn0rF30Tlkp39D9ycQ7ww91/hw
WQ/+7iaOk8e4Jv02xP4/drIpOF2/ig7Qeeq0d154IYFZHBkyFnGu+vEQTBWwfQZ3uGWoDzVw5AKw
Bsl7kCC2uudhoadhPRg1zEWLSO8jVa5+CMgAZShT96ZGUKHwUKsIIGV68iUgBBbnFjD5ddinLzAX
enNaDcyyiR+MC0fJzupgO1N74LL9Jmv3FLeg4sGho+gXAwpo477CpQKlqm2Bpo3Ns538uzgFkdnn
IzLMmMYB3XD2aEkN3fPEwUft2xpeWuN5WUGinIFPXLtcITqqdwF7d1Jspsg9RFze1w7WDkLKDmq0
56EJ7jtAlaXbkOoYSjgUpVTqsgHX4dA67ElYBaawhEY+adPpevCaZ0rgeAgndgBzHpYNsMNjJemT
dLt1JxBjmDdkuOF+Wh911ai8GgK55xG9n7UbbRKrga+O8qnqnCMhyCm41AwAP1/6AbQo6e9BD203
FZnTnRTxkkuf2CJc4je0Me4GDLd0A0UpK2IDt/5u3COeaMf88a6R3q2p+U3jqhOqe3B+Y3E3UnOY
RtAT/fAwxSnKEkhMWeCAapqSsaSVvR1YVWdBnQ6342A/C6FuKJbRDrX3srOzCrIAHK8C49u1FBZl
+ioJiEA0RPOB0nPTI3g5A2fyOmgA+MNL771JOaKLpEQdql/5iHtjtN51I2aiSFnbJeG49xjZNS0l
ZerV3ab3aZUtCzh+bU3nfesBDbM1vJUjxV9sKEi2oD8uKlJBI47VkDkDD7NQ4rkBY3fbNKYrDIDm
oafHxi6PEcTRYMji/ZCjFuGj4Ou0HafZEkxPzEGDP3oOODQVQ53VXge9+kChinrDhODQwUQftjrX
w+KWiDdywBIw56pz0cdqkASGAX0TyNB0Ng8Ej1QQt81u9u0p7km8Tz0aFIZX8GdsZ+CKve79I1JK
buDo9gpf6pfB94Mr2MBcUwNrtAitAMj3K1S1uoXSA4xc16P+ZmaeyCEwg9q3AT0HSmJdOmal6DKi
VyQYI1BQ6HuAstt2Qp/GEggHkYGEnTXEZKJut/iydmO06u77drybNEw3Uye3jbccWwrRj17btUiQ
n9nFwXmivtpWBuUgaUmd6Qiqwoo7cgcAGbebrUdg4Wk2a3qAhU6eqCrKyOU14a2PWnGELFo3ANYT
8Idd/US79WWpwHbmU7K3ESgMq98hdvFdN+SLFF6pQg7mceUyNBr6NaFDW06YBOATrk8RC314CNFC
+GA4pAxsj/hjZSItmn58rlidgCDhH7s40QXk42EWLBwDNwvJAr4G6ukAQKHs5RPpQpp1cgJlNH2C
1mobtesOLJuhwBmrwOuwD6CztwLTFbQRBlDigkxLjqfPO01Rgv/UeBsN+ixUVdfUjYvAadcNsN1n
1ZB531tnBu86JdtqHU5CwHqGOgdvugnlcKxqWPS6BH7P+szcKi6AE2BAIGXZNehudSWvVGy2q1pE
sajx4g414Vk/sgnM4nCvlH+HKr3ExX5yRwgKasbwHZ1hycAQw6Hlim3vOxZrOn7iav4WLwhTcfv4
0Uj6LirnAFnlq1DzSZr4LYhxhFsz5mpd9mlFvioEYUZIaUWfEiYgG8kJmodF7vFkVaUzgscRYJZT
BDVLb2VI0808O5/DYYW7/epinm4snu6KooJYwX6CJdQKjBY9euAyLA6TgEkV06uK87s4xHC9XZZj
Z+NHR/oo5nWCjNf4VsbRueohxiRefQLwjHZTrqDRNv1X0iefpWceDJwU8n5sKGYcAsMBo/aIDbgV
JjXgWfvPIoCgbGzrCU81qnFhmudGdf4mrtNbxN+KLPA7P+PDQnM/dt4vZrR9UnVFukw3M0q3zIQQ
EpTTUoE4CS6WbUEgJe2zcdjQ5AGBJ4ul6uCpacmj1j8jWuYjmKFcq5EgTnsFOYNJX+J5jAtgFzIn
UoQg+QrspVV0ZmHzAdB7G1TTE6QFcLfo7waO351Y93W03jFY/QNmIndjVx/9of8KJr7MjOFo8WC6
ncUKXh8k7lN8g/44mvUFYCLqtYCt5YwmYeSIOpsjkD5IAkLOKFZMw2iUZCuI7lkLng0aYrOf4tWA
ZuE9dwlCQxJ7TiK4daUJ/WKD5ujOiFGu56cgwM4VOstOLf6LoQZ0kLm7nmk5kAHLNZjj7YI2mymf
FRVfuiwxpYrdR7Rm+mqW/XQEy/rkoAqN2+68LJf5kA9uUh5oTN943zcZBA3k80xdceODRJE1I5T+
Q3pM3eHJAZ+xhWxlMyNQzTDQizVVSD4GDIR34zh88Yu2xdqEV40N2HgtqwTojW+B9IyOfyGMgRyw
thsl2vGEScLVaKMFdaeTST3lKkkPPEaxVycD3pmrDtR9ryrjdtrwhtJ7KtwZLDrU1nTpoCmgzrNM
MVua8KxC9nAMEDoMvs3lparlsxIuICg2wan6sghEFL2Pyh7t6IZojZ/nTmYh+DwdmevSW4YjCVe/
rKlqUKaBTTN0YG76AeZNcOB/rYbqyjZzWy4KFtiDI5/h7Vvfw+0X3TXmEkPAN5ccbZbE58b3LkRa
c4p60JzCaDmlI1X3s2s68NWH96SuoXeRI4Br2IxWC3mcZ7PFDA/ZzFbSIkrGPcC0D/DmsL76XmYQ
0eADIWsZglSwoInoQ+iwmc49BLIpp0fJNKwvwjkNGE+tYfPYVM4XHUL2UBu5G4ELZWkwfWZJBEI1
psK+nvbDiCWDQOudmxJRgFoErr8AF3Re56IBSJI3On5KfUzedOJuUrN+RLSrkUK43MHP4soVyw2r
WFySWaDCxONAXRXsuMKhLROtM6cFNwuqi2SfAgnJGz+GSwS/iL5IcAaLGpWB3CSLP4FV7k0blLaQ
rQR4hn0cAJi2gvCtTLrtV3Bca47SgmH+nkmBEbVcQWcIFE6uqgOTUeFzX5GZf7jVhIwv6wTF1Ey0
cOYO7CAVg61WM3+rI/B8W3dJz93stnuoeMrVnV+jKMWD5kPOoAW5HN6P0NTskLPzjYMMnXvO9NpP
ek80unoxtQcXvhbaaPRx6wklyNaw+AN0rYMXkqnwUDYtMTq3mJgbf06SHGOrshuDJ3eZ3AyxsfIf
JJL/nYMA+Nmic79Eo/z3U4Ds5fWXbf3S0u/nAP/8wz+GAPEnYIsI3g3dBPm7ARgJfwwBwk8Jooax
DUYIzkCz/19DAM/9hOFQipYdfglIMboAWL8PAfAj13MRQhfhp4Dq4v/JDAAQ3w8zAHweN4GFMPyL
8LLpZUTxPUrOQZtaqe3bK8QONVipEUJPIW8snJVFO5jjUJyCSMaFPuLekgS1xQqQKlWgcZulQnx3
mvTbNvK/aLAo1Thv5nQ8EEzFIfZ6bVPoVDBXb0qwBZ8W4r4GA3lzJvm1kmBsDbFdt0Ql74MC7gLG
6ZeIEQgnhd4gaPZ2WtIb67OoFGLimMzGfINCFkjN0FQ5X5e3Wfiv0YXl9n/JO5PlypEr2/6KfgAy
9IBPL3BbXpKXfZATGLtA6+gBB/D1byElZaSkKpnloMxeWQ1ykBHGYAe4n3P22vv0PpW0Bfi2LGAm
zsrCJUBx8UrHNWBybUVmUrsOIUoQOpXN7l5TUHUZeF3lRZwkSxvv25W9G4DwBoFTaqXycOc8kJhz
hAn4rsD2RvDsaeX4xpXoGyvnxl0Zv2IsuDfB/nprrvdyJQEbY3xQKxsoNVpsILeXijozyFaCkFR5
7VQCFeYrXTiyM3JrrcShWDQPjhgK0V95xE4bnFCtjKK+0ooaC2gCrpy1fIdllCvVOGTFc8Xizlaw
HNyv9R/NSkAOszK3qiApaFj5SAkoqeweYNK/N/1OHZj0GpsFOzWT2JcxL79ljxCmGyxSj5xC4u/s
Howle8SO+g6qNKMQjLfpQnaWv/KbY53uHIBOVkpPwQLi2c1aetAZI3HLgX+K/IVv9TI0IL8xgGjJ
LgjUxviuWByTGgSKdGJmuUsHpo5a4pOu3pwX17ibu9nDcsA4JS7jN7/ueYi6+S7V4rtZZ+UaahOr
EXOd0st66uZKBGLw9uVc5qEnurekga7vEOm20tMesEvmJG+CaNo9I+Ri1rOjYeY/+TYfeMYH7lgW
3y+F154q+stwQG/DTmDap0T0l8UV835ynVOb8S+AOOHUbcyRES3OpDrWs9By+Pm3GnaPxlJvMSOs
g7I8XFkyiXes8LrCeIZquZLkNg61wUPiiuuvPm1TuAUPt+PsPcPWHqt+eF5aFgE4o3cpI/JgOgun
yzR73dbNbW3DZiP/eoA52toJDOJUYGkQWXppM51UUZOjBv35aGb6T7Kysau0tRmWOd9R2Z6AFo74
BxlveXsgnK1mR6c+zc7c+me9gro09W1XN6/CUXVoJOVVbOdlqPTWDbPOwsJpeYq6nMKHnPGADBex
MWeHK8Mq/QPGs7OTDt7GJ4c5HHo5Bcpnq2yL9bZbrNDTXC+EB9eCyC/5PiTFaGH0z6ZRy20S3djK
wkiIqyWA7NsSIXHKmlxuR9+5wmsm0G6996iH0saoAY8wMrHIlHeYUrcN5saswjWpH3stHttozhEE
saDoifUuI8M5VSySCHy7cs+UBdVeVEsVJKDkbJ/gGbUt+sQY/AhSLdokrjq7hfw0C+z2i9kmgedr
T2ZT5HjzsDiJPH/20/J5Ib4bIcp0No2zYqYJ01Hakauhyruw98dL5TCPsmpENKKCv1l59G2ns7lp
lmI42JmLUsTjToYAMzETR1rqLLepnG6NqLgzG140zS4OVY5inTraudCGp9hj6mcqBHYbBaWoFogA
PX+nEQc8Sz7jRbsRQ3mOVkcc1d6WnisNhOubqC3azgWWF2WPAVoidM/En5ju1iii63zxb5fSaTed
GdMJFmvcZZFdt5aL6Blrj1M+4s1L1BNO+8vMPDK03FRw8FQvvqk+Bo2zI21tb+OhkeWRdijr4oSs
9tQWPsr1ZI9bQ6uPkY8qI+P5qzTnF83u9HC07ei6WLT3udT6M9si3qXq7dBRQx8mNZM6Q1k/y9JQ
QVXmH2Yb3cSjPPtV9dW2hHWl1Lp9GxU7EL+7XqeqkWZVbFib2oe9gx1YsxDeug4CmSk6NiXRP7qe
90C/ZVybjdTWwIv3iv2um5kNB1D48oiarZfrdhYju5qF6LaSl/VUZswhmdTe6BGDLM8CjbNR3iMU
pE0JRNCI+kkOCZbttmU9dBL1BBfTXNnG6oOwjqJKLoZIDqPj8Bmmemeqygl7xuN79O8iSJboXjCf
DPXVLjnmLvWWurcMNptXOh2L0d0axnCEdn1rIL4KPWIyAMa9carS2eGbumBA91fryFMi9Z42hHUi
8fAeecsxGipSAUx7007ilNhLUDTNd7JY1QbHixvqS3RjFfYrEipW6Na4xvmZMD7XBRz1eO5mZ7hK
5/SYp+iDrA5/nKe16zCGcWtbmOIH6yKtLrS9HINn8ZpM37Y1bn3v3qnqR/aafHZx2W1z9pqHMYrj
Lsss8AGnbfl5skfbzJiFD7N3T9BcB+BR3pmx0BhMDRlvtZBBZAmGdMVsb/06/8zH6sOK5SkaLXM/
DrINcEjTjRjYqURM5HbRzifPnJrQH+1z3Xol4L/R7w0W87yla/8dQ2TERSLDrihwU3vaMWtTKoEO
T1yhmy+OwsmlsSWSU/jAPJGnuvYrVIz5uhJVjzmgeBgEeF8ic7WxtLoJY9LgT42WLrtZH0UwegY5
GrhFT5W2fNez6QZxKx5QhI1TJTpCZCd/DhHKZ+zSg74ZPTqV3Cyex3lpfwBb7MeC9M0pOSuzxFBi
iE2+Lt/RiSTemIPOwhdNpYFbdxrhfmq6LE43Y6339xCVISlHADsMbIOYZuaYLPG3iKx3sjzSuyW3
93Bq2c5Z5FNdqPpKmywZ5nPzOK/L5jQd0ZfIAx4NUc9HUeANyIqZHs1L9NCX498Xdf+pFuA6/Wyr
rvrZ/zNg+M+E4v9CJHGF4v/7XuHwXlbpH/uE31HG9eP+0Sq4f9VNXddtwkD+pu/9oVUwhU7OKMlc
lP0rOPd3HJF+gD80wa0N3TM8Fu/9ahX0vzqurfuoywZlPgXSn+kVvN/WNv4iaj1Wh5n0KlCSjslf
in9d66jba0El2/RE9U3oSn5N8q+91adBHLN5sDdluTTBRDVOXIl4lq1jBkZt4jlLFSbJ1nA3ZSwX
phASL6iH9q9caW1bvdkAIePYm0Iz1lxWkPFotnV39Hr3kXbrJk9o66UGAw0K+7OkOgt1RxqHNCFm
QhRYn905LcLabE+xHds7IePr2i6qOzZ6+BjnJ6bvyZyCOHMJytiEehqLEpKnv9Er9TCLBC/elNgY
E7muxaDZe59pJKtp6ydnsi71gKrgMEIIqgEbZWTu8H6bKTt5VTv0u9xd5MavsPB73fK66MQLJJ2T
Hv0Is1Ra1t9eQyry7Pca3E6hh1bhdGEjChZpOXbeMS0ZoFzS5V0fjfiKbVakUxoq2g6Nakk9IDze
YYgY9pB5lM5EYGd1ngamodyHfJiehCQ2fCiq4kofhLnKRxruO6V2vZPc2Swiqw3Mgm3PwudsyfFJ
9xlscXVSOeIIp+eItApGQ3YE4s6miLUt3vtD1ycaQxASMxF5N7o+bpXXbFtnCHFgdcH6GGPIEu9Q
KI+lzgoER6rvqlRvk1BPxuifF5P1z6ZRBGUkaIFIQNm0LvW6624Gu7tyUyts/SQs3J+Vx3cYz1zE
PekFY5XdNYN4xHZ7V87Owzg7z7Rsr7pBhZtmzOfGnvQqTHSpEbFMK8GSnHOqzumwqyIRIijuzFhd
VG0+qLYmyyEusP9hqmOAWQQLv8eLX3HhJ9TkVdJ5O12nPBB+ei/cbmctKED5qak2UYWmUZrXUTt8
9UUOrTVucenSqCUlq8aLfusl1c9lsiG22u2iNz+UapCW9TkF4CbXwkeDYyJwu2T9g+fkt2RmvWm6
2NNUNYwxzSJwh+Yqipg0uiY1qj7sk0w+mQshELORIFnm7YvZo6rqfkzJkvT7gcCUqeJuX/TpOqkx
36pY3I199TMfZbWrtPg7jqoXpuinKW5YWqUTLQMbwiqzNsgM/UTSx0tvJy5NjXnFhB3nNxelnYl+
3w8xdyq3qDWx9lHyZEyaSTzF1FQrb0XsyXr9DgSf7G1uZCUJ1CtTWztFrf5UlLKEHFrnzmDxbDe8
8haNYpNOS47JJc/dp9qUlDeJf4eRKMPVoy4uZBdpLOmDD5TF6THfa3hqq37knRIUJbj2XqqEsTMv
4h20L4t8yyBuynrL0s0rP28vHWkOIdGIvNsLd+xkdjd4tvBh9sggjp2Wt3ouE9YFzfKAOvuSp8mu
7srbDk6sVPyYiUld6gKbbbrvUR/TOdpyTtE5Tz+428EmPeRjkyeJ0kiL5isH1QTilyWJBuWLaFWC
UubxxIipCJxI3ZOh+GWM+g5li7hhZ99QhaPO4E0b2I66X1r7UeSTsXGz+tyNmLiLuHyzGDJETvLQ
64wgWLCXhYtdfzA9uddice8Y1U3FONlm+eeGldo3TdM/iMrWAPMgrGrGCETSVMciUdflkJ3oKxJ8
rKm7cWfzonRmC3WXWhQllFitfJ9afplFpd2JemwJUylOS29pu2LtfOo1w10QceXr8rrL07M7TO/G
7B95SV/rKYlDY8i/SKG5NJZ130XdNYzTviRnKqt/SL04ODooQN0pxq+xeKiNhWQmZIWhAkBUTCgP
c+0WDzaO1gdbTFowLs608+PJRe3oze6xcTMPb1J8Oyzgw1HCb2tD7YlS284f/dRVW69kpsqB4frb
tgQKEQpkg6GLgc24aukF4WJbP4qhinWXL0bz2hl+1e6ObpsyBwfWOaaGn/wgQ0R7KuJpOXYQ+Fdq
GLNgGWfWnVhlchVx/F7HEd3GTNY2nSvL0MzietGHh8yqWHiBANGYwyp8sIwlq7cRGWEbhQ0YA6lk
iC+lsy9qtCazmLSjN4zX1eQQnIiCGk7r2jwGfvsK0W03CFvfJ0mRbWVdFjeaxVdtRXhyMrIa9n03
fS6VuROdYRO5UahzFks2CrKKdOP36b3ynAtYxFZwZ2/0uXg03fqDjIsnJPAn/OWMOOK644rQpQKw
nG4ym/JxQI42vCP7Xl6mOr/3E4pM8+yOYpfMJBtgmQfkIMMn2mbVB6wzbm4+d5BNjxbRSiLNvuJp
3DUDnXTsaSZK6W8kITgssQ9OdDeTaATQyDuBj5UspH1Rokjf6VN/TCM85309nHL33etuSzYmKkJn
+ul9dAjF6BQcn1iFq+jWGInQwGDcRPV1VlgfrJ9kq8F40w/JNnPNXTL157xo6V/cJkRp2ozGLp1J
mJ2ZWPykC2ewc07QvEv9RyoJOtF+2AVG3cwLmtq7i7U7joYbOeiPJepJZlvb0oiP4yrWYXPsGINa
X2rGecpWz8gYLw6wa4Zo0/u4ibiL6oHGr1oeTWxtLg3EBiAJSCITV1rDbycut4MArSjbjeGnp3a0
T301bNYLz4qQQ/xntbBIiDxetGJl307mg194N16VfOncnB7e54CZJi7TL1VVV6aGvvth9vNthX5R
m0DN/Pjr+laYpM7KSy+ym9koN1J3Ge8Pm0jVN6Wjv3a5HWaE51mD8UJ6273JdzMbwz1rTkTpuav/
9zRGwyEt8yvdxUvg41CszPrKle2BFeomEeqMHiJsG3lMrMR0b7Iqs7Aj0AwFWvKlLemOl+PZtWlT
ENvr6DqNeUW3U4ry3j5E6a4kP28BT0gwc+dcDiTVqN2if9juwdWNoBxviSEslz4sdTItnrR4J6bv
on4Z52MykFD0KspdIs5x80JMnTD3Ar2STCHZUiW2gVLfIn6yiPbJ7uriMBm32kxIwiFbl6o8RumI
3o0MBdCDNwMUieH6Zlzea47PnF9j+hlV3c43Ptv6XdaHgdWe8Z1h7is9jJd7agAseIX/EptbkwCv
9FNgkDF+1ng2sGH4XNfxlyhiHsJx01x4DfdURMeyZ9t1t2eT5pFnonOO83wusr0r4hcCabfedOdq
DVxrdT345VUpFVSM2we2PW1bYNe+qII0Uvs1WGdWN1z6gZKCt1AwJjUHeRnGcUvB+q5FVAgi5XcE
PqcT1VdHM5qdx/Q+HX8m/Xw9NMD73gLR4qyBcGNaQtjw6LObe4kahs6ee2yKtcwbmoNZNGRHZe76
u75J4phvKy0OAoGK2imXG53Q9iAdaxJ5nBvPgjwrOv9xTrXHPhvuSRA55nZ5TGM+Zeupn4nFDyVP
7V2rGNVUdrRFjj2LuiKGIIYMmbz4tU3bYdebK/tEhGfU6NfIA1Ggt+VDbGFIsOKaqLTmbVl4byuT
atkiHaoTYrxdcI0A8ZAk8Ftz9j/QqO6/q9V01v1rN7t+qt/NdP9/uOd+k6ZsDy3pP/Wp6V/Cofov
NK3fPvBXo+oCKkG0svvCwfv0S9Nykaf4A1ZH6SRIr3rTr0bVBGn1CeS3hec4Pn/1D01L/ytDNxS3
FX5CItPdP9OoWv9Fo8oE27NQiczVASZW0esPzjloRLjnoShOU4tvEcwcKDKn5oLaOnR+fknsLtnq
GXHBTG0UOpB7qn/L8aM2oQ4tbyTDGgggk9TGkbqyAbB/iXPoHZgVRlQEpW0ZHX/LzoEjo1XeJZrH
EEuz3TejyV7mBcVqcIuE5hbViRua1Uh6cpUyINyWSn5J3bkYg/M2CHgSfVJQbJr72WaMyBuAlf2a
aJnmDGequnvzEOOunSl6LbEwbhug1tDOtW93mtpd7CwXN47uB3tt1aZ+grGp+5thNokOmRD389m1
WR1oN0evMb9TMd4xuRsOmmCuSbePXofpFejG2lA4ZzADGoZcwSw1XqyHMasPfkd1zWyPdjjy0ZRa
99NTzZVfkDKVNN5XTadOP80dDLrBgST7TY9sUVtgsRyqrqw4Y13d2rm9UwFKuUyogT9qM88CyyRK
ZrFFMCzej15515SuqyMOXilvb8jgORtyOuhGGRPzbMAxufxPFCpnfliwZoDjOLt8kj9jlzPYT5ev
pqAA7NoH1yqeLGNVwL23bo5fLHN41SGWt1otP0i/YO8xRxmNeL+3BZFy1UQmVpP5mF4m9xKnzMbr
qHuKHbvcCoJCN4ZuXebU9u/yFjFCDb4VaIWfhSmZCNYkjCtHJ5/IUHMVtn3zNauGxwoKlwgc0gu1
0gJZ0XMmhwhMBgKASsjib5zsuwOm2wDvmIQrkUyRElExr1kVxZpaMaz5FS7400ZbMy0wDtImrTkX
Cv0DC1oHc7qmYCSieEz8+qPoxK2cuU4TIjOMpL7FjVTsBsI0eChcJBLyNaoR30OXLntnzd6wCOFo
1jQOfi9MVRI3DnSiOojDJiUOiIp/qf85EufRrrkeyLdrtXdjNfmVXTV3PeovVp/ijDmNayV9oox/
RrzcWUSGEM1x3RIh0nfZpV8zRVLCRQbTL/ZCAg62a/KIhXbI51mp5zWXxCkHoG1iA9bEkh5vODMJ
6xMO6WteRV9Eca6+VQiG3sqozRCHzcUD/zHutChqaci1jwUd2bJ1xNLJ+S6Xbt4PEbtyuih7Y4zy
Jerlcy4YKZSki5BKgnmorj4jzQu8urui99yy6+mx7YwfmWs0+2kVuaNV7ubbQIpdJXDU5AeidZh/
rPL4sgrl1SqZV82YXibZFSREwyv3sng3u6phD4cjDjVv8nZYmKimoycgzbLH3NDI6Kz1My45nXk4
UsTgaXlgSEBbolMsGgy8ThomGIr4iS6uzTMSufQjBqElbIfijZUyMc6pyqNH8purUbeeonpYHex0
6nNMGHKb4PDwGhJilah3miTxr1XRKuO/A0jxc0ftC/PSPM2TEpvWmV7NprwamwRlunmIRX7Cizfj
k8sIae1XbybEit2H6RppayuPpCdTNltO4n1qyRuBqqjFBIO6k8Duw9tc++NejXwkJC1QIkSAK/VH
z0ufTVd9xx129w5ENODxMejY4pbOo6OSjHEktvIzHuqHuda9YypniGHJMGKSNiljM+bJxKb7gOgk
lLNVm9pRqJUlg6ZyLWAJXaTnFj8nesitjTMokJW89cf+FcvjVUvoXziL/LDY+X3b9edFa216/+kA
rHdvpKj5JLhRci5IyFqswkajeQPsywNPFgVtnxxvaCDjHbLCN07w5UqZEflC8QCxXLpftgBk/Z8q
Sv7XGPr/XpJQP/yHkmQo47+8fpd/nJ7/+rhfFQnADMtZ7XVBHCssflUkUDYC+7ILLaP7TK//WJHo
lBvCd3HACN9eAZw/VCS6SeAoryp2Ukf3/0xFwpz83zAbS9fxevGF6Pa/YzZEGROdPfrZKSeTTRPk
b/mxc5GGNIPcBNXgsW3CUY7WNq+js058nOJewFi3bXogVh47IpD9ZB+lDTFJIhRusauq4XvGa4mT
j63E9Bh1Vb57RXXSSv018uRx4AvaGO1SHihWjq2yWOdeMzHMKIVsrn4SqIgIvtFq9yZJCY0dF+8G
FD7sKFECXj5OldjhbCd4Ww5aOJUm+1QeI8BYksrZpdmH1VSHXFTkkRnFvQe9F5h++mBpOaHRc1au
Q9YDB3II/CRJcSuPTWXtPb6IobVP+jCzD2varrB0N/FeZWKnOcZ28omHkyUiuhZkfR/tJW9Y14Jp
m0v3qg0Me/MixzlDWdCL9HokfVZgMWiM5LEr8xdXprdjPuBGMm/UWELd2cYdNtFsUxb5Oe7MRwi/
gyMf68THjS/CRcPS0eZbLId3xNFuSo9fQ0LMaGFvS51BT1nJgOlt6GbxkcH1xs31bTQ86iknktJI
o027K5jzV2cmylc0B2c9bVoTsdiDztj0lbNaH44FJ1JMWh5q5F3vLCirrxojCpJW0YDHnVstwZLJ
nYQKnIV2IsGLjHTzFlDtNEvY3WHW98V8FRfuLinS45Crs3Ssz5nzULj5UWrFD3coDqRpHguP5wFX
mgqw5O6Wbj215u3SARPO7YONIo3X6OSXzlZbxpeZE3dICb2T431NH0ieN+Fy/p4q+ohXh0Jthltd
PdHVfFTGyMBPbkBs1rHeDtJ6b3Ax85LxSfTHRjoXXz7rCRtisftOvfyaOP8JG96b3Rhq1odRi93E
6NFIpkPj2cwpHlXr71oJBoyOuiVWcJ9xmbTFd6fPAYzEqTPaG31xr9gvsRngNmNbbBQZsxtF9dky
bbfWTOTRbsCECLMdCCRX0bNN6rbvEJiNBkWFqJODZHCRieGr6L5ktFSb1twX+HvMqAuHyTjY0v4i
Mnw/5NVNL5tNYa+Z3TjxxWS/inEsgtzh83VaMFHHTigIE7/lAFNp0I7ONm01fivlxzjmX+uQFYbi
ynPwAPgd9+RQhqNfX4n22BGpDbnGJRIFWAAvysrPUwmPD1YjLffBxEIdRGn2CHHGC5th8ZLxyW8w
SAO4dYAMLdOTSCcM0Wbs1kTFsREiiGcsuMyWajL2kVY8JBarISIbAV76AkzcAkpAWEHqsfOHwR2u
XTXuY79j1nLWMpOtSQWW9nw/LMkJZ9Bhst2z6Y/nslzdo59qLkn9fpNVc2mGfU68ktU5m9x4aGpM
LsOjs9In5gvS0atNgFfaxwGJ07BhxA07c/G0lD8179UeWZgOql2u781t5dZbNiRX6RKyfJVpFn1M
N4hoYyzPXg6I7WPNXoWpeGbRQ9qumzHOa9SiNn5MWb0DjlrLbOgAOx+2U1KecvQtm5j3weE37n23
lL8Bc4xDb1Zb2Nkl7CfKoXSy9xbiWLeKZDp++U7rL22E6kDQ4rHG+GANhNLG5IhsFoOBlCIt06zr
Q1OBCrrO9QRLlSwV6Rpm0q4pHuNVtyp02WLf6bl/r1J/H8/ZY1rBnpigffbqkB4q71NM0YLqjsxH
m/pQ5+76jS3vjctgo7Ly1zGebiMLQ8yYsfMY3huDuJPjtGvUZWEXQqha7XXin9uwenKmnpTf2QxF
VYsbuPC15TzgkMHWNBEgq9jPEbORAOcWryj6ZLIkVyQhv+sCL3buExTe4poK9MJ5iPwelWCCFFFi
xpfpdtq2XhATjJltgfrwNerJW5dOXwmbhwI9x/3UCXXK64IScmLyxN4QuUP/xNeUYRv6P1/9eGBz
EL7/qfh5TL/Lf4eMf//AX9WP59smCj1JQYQVYUH+A2NsOBwynmPYLp7j36sfAzqAQD9cxNQ5loFA
8nv1w1/xlfFvQa5QGvHfn6l+KG/+pfqBP2AcgwMB4FTo1lqc/XEeQ1YrOnduM7PW/aOqi3cj6d+J
pKjvC6YRoaR6IWAryu/zwYyfbAv7F6qHvhmWVLtJF7wMFPjEhWj5q2i0mhmKRQo+UwrsePYQ5889
uiUMbm0vYZPhS+SOUN19AdAV2JbL2Q5uQ3Nhkno7tAyELcnx6BH2HFkcHmnc+rfStDkiXfK4hOEm
N200lnRi0d2gLE6vsskPE13d2RXTSx9jEmsT80DcXoQG0x7lgJfF8cBxx2wXk/KwbUkiOHaEma5b
PfKgk+5zC2aAI/Ho47ckDghbWMNO7jzO9oNWVftaS1APm8eU1lDD1RtTljLtrRK0Qth9bTo4q25Q
sD6Vb39fExMKFygeZdJso3n5TCI2LbgTlEVVkyvCXOwWyk2jw4uu/Ky2MNOZ772IrjMGu4s3WGHh
zT9sE7NALXRWa8dpCEaBpE7SB2xjGjgx+1pjfcG5pN5SkR5lZDdbVEiWhbrkzlc+IYMEpUKPqRvg
8h+20/LZTf0tmXS1Zw+EAy9Z3CUJsomZWHdlqvmQegZpqOOAUYMoBieBZ50lSpEv2fehoAe5vZkk
2cCIzZQclonzPGZ4Ropm4dKnNxqRJy78eUMOkmCCX/rNCmAPehHqus5qoR6S2CaH3y6eshqjYDh1
s3XXxZNCC6JdfHBGHoBN34g2u18iZ43/kWRAIEPSzvnFzeik7r3TsoDCVun14vmUL6bi9Eb79liI
sDeqAhcJsSN3oODtjtUN6TPWY/7N2Kg/XE06x3H0h1ejnABbNNPY0XOiQyvkjywG7Aq7mdlIgO9t
ZiFEGx81x/NZuBMdCOjYRuBBwBrmCFa/knO1Z5KBWTrGnS91vK9sxJDQisVlWeRYbIcRX4/kGTq4
WmK022Hm/53a049ZHNevCjvpD7LNrpfK79kH6SMEtBrB0UHK7bfVHWwiGMDjA4tXpresqBnMeK65
zZSRhf/nz/C/daIuAQ7/fQd7SYa/PCbVvzew64f94wh3/mqTFOFZHkt1/X9qYO2/+oYFxfU39GuN
vvs1UucmsGkAMJhwYDM3/0MDyzkF/OXwkcZqL/kzRzjLvf7lCOd68Ly1e2UBu+0b3Aj/dIS3bWkD
aDUJOQfUs6byd4tBFISmuV8Z4FYt+2Pkld9Gmd5VpfVqdDUnQZXvHE/iskNOGqLp2SVcxEvrQ+p5
9/6SLEDq2UdtVmfVOp9yiJ7ZW9pv56rLDxmH9Sb2WUahSsqlYmq+jMnAMKh4+xMn1FL22Ew2fgi/
y8eflsiHD+kAGTQRrGSy6vZk5CsCl9DyS8W7Es9Mo3SSUK6c2gGgXtX/bOUAppUImLshfXDcGO97
P+Jj9boRdICscSrNlSgo1nkXkJB5jbvW2o0WA017ZRCwgIEjdCuZIEAU/Ki9zspZ7lNJNBchkVhQ
KtIdzPoONe8yKtqUaHUOeuwPvbc4UQxeZwBygnKSXc4w7Tya0RpXFF8bbCdj8lxWp07v9VMzTvKi
x/R0jm0hEaxRsjEGXpHhpSfDFstZ6zi3YE70NcpZkZLeZN8Pa0VwucaBIt/BL6tyRxPFgjWXvYmd
6ZSBI5s7GF7/wCWR7qRjPDGUHHa4R7lHDTL6ydnJTjWBmPtEi5+tWKdVU0fXzp/oyj9hYF7MOtpO
xuByERX90UsstZnUqO2Xbqr3A4196LnaPegdc74BAl2M066xSFlwoh1uNNBjKCCLJdyOhKbIJgTb
uTDuWYww77s5CypNwJ5B+yfmizsyfO8157H07JeMSIPtsi4hSUsMxn154wtgbEbH7LIWxb4VKlm7
uCkwS6feFBE0Dhf/2c58HDYzyq30MYP4kFRzjQcvKeuvDrqFQd+BVPpj3HZoEGNgxOYPT1nXszkU
zApae1O5cRPmPuRb5zovaBuYWzLv2lg3hg16aYQyL3EIlv027rvQU+YbzuUHd3ZfhEzTozP5NCFt
e3HXnUPYt5/sSFqBZ+dvaBR0Vbn1nZEE4tW4pQhfIbuByGxd7oXKzkVa8nOEaU4Ec06TuLCFP/Dc
d7MF3lCpvfGkvGdTTBlQvdwPeqtYCzKzXSfWi71iYcPOYUfYzitSsAkNV6FEVt1iRycS1fggUeFB
yAiLt9ed0oG0h5xFQ30sf1Y12gW84VlNhF5ZQv4YXHLY81wGad2UxynjticTYjMqhjpC6SR5x/nF
trKbNjMwfNbNFUEk/ottVg/4VVK6a5YdKi7LrVWym1g2PPJlLDaO0T7AjXLUzNhq8CLD0k3qvZzM
cO0/B+L8kFtqqrI+v5/G2GHLK/mOhZ33oKmthu4+ErhY0/U4GdqJoZoMhNprdmlSXitLWdxxGl8M
Cn4yYxZHMiigYgDWWpqiUyLR7oeR34uyDDbjLNUYsEnT2zYeD3fuJcmZaufTV4RimVBI5ILNwaQI
iUgSi4WKkXOVioSV3L3dXKQuiY7xDahtG2SVhVRM0jQGBPmks6vFyHYZDvFNMlkfHqmoWwXcja/T
PEq7yfZjXt3qQn2bJgzIXJJj2FniNfJh5qymeSSdEfdXVdzGtX2ubQrYtulvy4m6ztHm0Cg6ZnQc
tNjqveeCwQekJJgoJa9mE4eiz+N4KG3CafxKZ6KfRbtcMdarulUDJDkm7qyKJIjEhrn4f+ydx3Lc
yNptX+XEnUOBTCTc4E6qCmXpPTlBUKQI7z2e/i6oW7dluvtED/7BH9FjiaximczP7L12Dn5iZKgj
AKPsRrd6i/xs2FV5ddTD/obwYM9sRnUjG8fy2pwKOpCVvkUahA6P+Aizg3MlDCQl1oKjUajDMDXd
KC1j/dUF54NTmFsHcd/esmHGJbJmH9oM5kaJRcWn4LJYqv7cBPABkiR5Ag+Qr/+tUBYrq1pk5n9d
ody9Tv+5+AmY+1tls/zctxLF+qQQoQuTSbYDXJXG9bsuk1JDMic3FYBeyprfSxQhPtmONCWSTwJ0
EQPyQ7/P2OkyXVyujmssjaYrGb//A1quWry5P7BYme0zwtdNidfW1qW9lDDfbf0tvcHrl83mXoQE
mrFpwmE9YeM2WwFrL7B3GdfgVe6oyMPjeDPm7lZwSmzTzqerwFLCsAllml9OCInz8byyyOeY0qhe
2wJvWaySU9eDhkFwlTQtyjIKmhY3Y5DMOxyNbFP7CrfnUJE8QEuNVIWIhU0ADfcarB5fzILgBfQy
JQKZRWeNZx/r/Wru7AiDbBRsMmzZ8FomfEbAdLQwfA2H7igz62aiA+yDzjhHnOPcWG777k9KbfQO
w4jMnVvpIsgczcU5VNF79hzwbZGjrlxCn9L6zkjJfRRw6DcGxxyTXMzrIYaWNRvFg03fvMIxf625
A/RRt0JmaNXvbm0mO+C0iWfwfd5MVn5lEzgWNQiNtblTnj/Is9ZB2jAaoEZHCMbokrR7B3Eiqp5L
J5d3KjfPyqHqeJGwGPdjfZkQEFU309UknRs8kkfLrK+drv6c+ybxsczobQ056zSWJyIoJMl57s4K
q7ek0WnxmuHeCQ3/hgVF9AJRlRmA0gmTinJhn/rCRs0a+oxtM1HVmFkj+QZFUmyrLLO2RhGxaxn8
c6AD/npiWbhuKkg+VUTcTO/DyYz5TW2KmLfzQUzIwgg2VYCiVLfrnWb0VylBgLELybuOke76hyYx
vEA1xJg7rBZcrMm+yLdNY3oIwTycSwfWgne+PmwrXd+go0ZB1UBbHcf0TVvWCrEfmGBvi8uai6LL
bzuRob1HFJUmLTCz5rFP0wNoMti2tn9dLgPXJopvBZlHCP6xX1hMdgl08ZHtWrelhn7X0cVL6ndv
c67vQxmd2yRS8nk7F+64MUuc2E2bXjJLWNbjMCdkiomXHQkuACJTr2CeueeZ5CIEIuSSOhJ9QZxi
nYugSXfIye6sGKjdqqonDe9shVCtNAg0dEttFxoyQC83GJuhA7tV2R08NiPL8f+S+5a6xRXGSbBh
JZRW09Wvs6rML4oCZWBtuvZBIyV0Xec5NVEgzHWXIWM08uCVe1dDWdDOF3k6WCR4NC8msIyNPbVv
qBJcTT9z7fJaFOVIBU2WB6KXatWKxtgBtz+P+xnnBb/jGM1sqaK4OJNdp13YAzhh274aZV+fEh9c
sCFCKsa6JAaw4V1rY/8VSxxqT9N/9dHU38ymVjJDYvnA7mZ8jiNkFn2W3Dul6dwEooi3tQ/1Iko6
hMEDako9ZasdpkQKOtN9I/E9WwrualV/1AbyoTB6QPd3qQvFtUeKC3md80gpOkKyRGRuydqLq+Ea
JdzlmPpfkjDhvkRVOYGZ4ICINtXcEs1SrRnlfBiXrr13kDxjTMkDeahkLVaJ379QrIOMIM+kjKM9
wsAPLIDHrGyfE2kfmjh5qAicpvZft9GMKNg396aln8dDcz7i7FgRpXBtEjyYQ7/3FKEE5mJJnpPy
oqrF68iHgQBOcr5m57pT4aWwe7HKjNYL9ZhDVrEP8Ltuz1TYmwH1EWMIv6Unz43xhaFFXPWUFr7e
XpS18QR68s0S1qWZdkeIWGjEHeYQvnblONqdbtvXyMcPgKKrNWw2lMwGFcTUirsUR6wxBPdiAidE
IriARVi/5pk5e5w6GVMN/SERSbiLnQ6E4FxSonVWfSVEDfxGG7INZ1+8DrFdexheb7TOYeNntgAM
HZltyE+KqD8GdAvNiGqUEeVaQcbz9AIIlGXwvTKn7jNi9uY8oLF8gfrIdNC0xY5sapKSsDe+ljJA
/BMqY53r2bK1IqPm1k/cbO9S5K4tPXiIyPg7diEDtM5H+xDl0Ys5Bu6j7ObhtFDOVwa9wJpUAwDd
fV/IBdcas5ixwBxue0sT2CjGky8jte6nKmMtygoBwhMyDaHNa+hSZ6NvPP1bLn0tlxSjlL8ulx6W
gIGzP1VJLj/4R71EDosFo8P4jdf5fb2EC5tKCSXSIklgIP6tXtI/8RZSYulMe36cyrvQQrD6MbH/
XXP5D6olZv+/VEtCtwzdXBCgko8PZd731VJRZVHbx5m+b5EJb+q4xmKkZ3RKPsD7yzYJSvCF4KiR
DV2BUTNuE6Oi6g4rg++yQfQyqsq+dRlZN9tKQR1XqTF5ioO+mNorra+phGR9UODFdmagD7yaDUxG
cI4Ht/UzCgZkYIe2aN21tSRRdb24HrVGHhJnao+Z2ZPQ1xMprNrk2WTHvDE6oESVXTy4tbs20Q9w
q2ucNt1nK0pciMM2bUPHWDrt6fSjaib5sxnuaBE8TaPJ9JkUjHP93sby0AUt8TOUd/ijzYve0TFb
hJJv5crvrDyHPVji/hq1Xid00LWJnWJR7xVzQMQUDmha0MDe14PQ0RYMR2xMUPX74KVRmv0R8LW9
JmcUNwbLfkA7NXesYUfXUrCEJfyaoO5epQTWM9Vnjs4qgNQ7wueYCmvLgLhn9boe80HgOWTPavdd
9zzNvjqMeVZiF2DMzNMujnmvP0lwHASTZ3uBZDxhMuVhiAOBnsfAqpSR7lpmjsfOhBCYEpA42yNP
QbPZ6JdExdu1fYHGhPdcpPmKrjQ7uE73gjyY2GcIlEM0eExReE8UPufZl9VRhKzXtWyEn64343ZM
af7XdtCTBFAuSCPZSwiUAMATf760SVf1Mt2vbY8u/miaDepzO5aGF6a5c2YQRnZiIjZ8rruYpL6O
2KBjxbxnG5cwuEi0IwmVzJVz2YXqwe8CG11c6mvMa3CRb0qULJhJsL78e6b9dqYxtP3rM+2ufv3P
cq79OqVeonX+ONIs3bSYU7M3M9k0fn+koSchtxIVJtPm72BG9Hk6mCM4RywBTYNgpv/fArqf6Ax5
bohnQBnhUv5HLSCO5l8ONUTf9JLMPMAauTZP/PtDTRVFFBOwDOVdNtqNrEDTR8zKBJzHsiMy7qvB
bkLeoNatFPj7bAREpHdCir2u/KB4c9tcvA8L868tR+I7bdgnRkv29JhBER0IS19XYsZ9xMrL/XAb
ZCcr0QylBzrcpE4IixL5IZUjrYjG1gnZpaB+z1CsFdTTyrzN3dBuVkW6SA0s1jAbwGycPtFyECWx
ZMyR1oDSdL6JxbvLmRXbNHk6pxgxq3fhcqyZuUQwvhx1LHjjfZU4zj7nHOwyqfE7Cf7M6XDG7EEt
R6a1HJ4mp2hOL3TsjFQ/T5cjVpAFe1ASvU2zHMJt7zuH0UHDBe6TQ7pcjmtmvsMZ6Itx13OWB8Ny
qM/1VaFlV0GCV6OygcBNTezB972zBFCy5WponNjw4uW6UKIwbmH3XZVaR2DJcqloy/Uiloum+nrn
NMv14zM6fazNPtzj4Ws3FmzQ+zpzEWXXMnMoett2RMwZOJ8j4Zanaq6Cx7jt53fd9pEeR+T3ludV
ZjCNDWv1BZt2+9QTLLKz9bS66rG9PKsBEhtnD1ZRtojnNUPgtm7eBn/8d4REUNIyQnL/doT0NXTp
Luxe/0SoufzktxMEJrrl6oIJzTey2bchkv3JYMPEP3AOKPZgfxRF4pO5hPkwJ1rcHF/D7f4YIvGf
GSGhcVhOGCH/yRCJYdSPIyRw6JaBm8OWS11EftMP50dcIxRygxRwqd0BxVHuqTeMi6TtkQBE2g0w
1d8/LJh//jzk6dcjy2AmhmKDY1GaLpC4Hx8SBnJRF3OOrw5cIML3lc4HFoM2lZmGXxu5gHyj8/dm
VF9MXaFjv393yv9JiBEF5C9/Na85WCAksJLUKn15Vb4bnEnGVrHh2+6+GuhAHTWx6rKasDiij/Zf
jTIyHwhSa++VG/iHqCD2Z+W2Q4JFkE5HQENhcB4q67l0UwPrNBvo1oWyDK7oYA9NcnIbp/Hssko+
B42Cd9z35YfVgmphRQ/xvQAy5RhliEAtLc+GTBrrRItY+uR51W7GWuLTSfw4pOYMgukOG3t/H5R9
ufXVfFJGchcP/m0S2LfNEKaXdlAXJ1Vbx7TXn1nS4CpIXA2VPzMWu2hrApz19ybIivcpDNVGFkBk
UJs2ZxTq2pfBNyyE7hFiD8kIHJybxZrNKhHG4QffDU5cX4qZXVbVatW6JlVnnSXdtCqM8UEVCUge
v2jXWMrTz7lq8PI2RL/pTS72LBpAPSiMrnDh64PRJTeazgfN0vZitIZrPzBaunCKt7I0m6Mp55kl
IP6Y1Gg37A5QZelhWH2p/Hx4jrq2u2QjjMkHN0gSZP3O0VOJyjRms1TtUL0mt8TwTMdWWZ0HD+wp
mKeLooGQvig75sEKUGPOiA8c96Evshoc+5LTaA1M/yoXJ0ptNe/Iy26lSD5mcD7I7nkyMsZ7qexB
84w66HcMdbPLKK/fyeYpMSKo6NhPVgqKEhwzzsoAWzNTkI6tIB4h8TjO3UsY2pd9ZosD0dP2ijWY
v0l9RkbCgf9r+saH1rgh47CU/r0jp7bV4LQOGYR3zZ8V2SX1lT8MtxU+zjVZM2yeNISccYsjSk3A
1Pxo2Cgyh1oEGkFEBqvz1vo4e5Oi7q4K8hWIiplaH5S8CK4q5Yt90Cf7CKAuH7jnuajaByUFpid3
JvFJExOsP7BoAUO2SIe9pqx7fSD1vRDhY2dUF92sPVbafFPilmIl1TpnxEs1HoxitYr7utrpgf6U
aBDjuYbIwcrDPZbf156FyIo0PWZ2RJj3to2BpE1qJrJRuAgLs72yelZvUr5ZmcAOg5RlMzPYXBMb
hsc8xhDVIjheVS6KXQluMQM+jP+ABVMvF7qsVsBZJEHI1+1TpkdwbucAcETxHLjVfZCYKARz30ZB
GxzSQN0KYBgbOYjP3JvMjBb2R2DGk6eRGzYiYr2vy9TdiMgOL1SIcpExXoBEsT6KZhl0Be4FEVnN
JjTm6Ji3xsb1dUS/BRnjRa3gGWNpzRMOg9aHkWv1eyvXAKrEsWJJljpomTqbcKM8lqdUsQlkbJPf
l5KMrJRJ5abH13IqZ0w+2Vy3n0mIKbwO8dIuRiI2YEGBpTLxlo/msy5Kcy20AFGxQnIbK/7DQs4u
56naawbRA4hdWDXOxpde6deRSDHZhHoJM579UqCThWnMp9KegEo14TkM3CV2YUq2dVk1mIPD99Ca
FhJk/Z4mDZtqu275ulT4sArh30sVgBrBdZeG8XOZjcTTjEzPAu5YzEtsYgM3NHi2xn1UMommAtt3
Zqa/CAeZ9r4rOdmo6/KN2+C2Ei1U6SjonsIcJF5UjJdyQBwwc+RkTq421tR8tFSLuN8c3kbIVW+s
vNOtDNPw2ZpU+kUOnXpIixg7eGC766TDsmJgtUtytGlTNKc8uh3j+XOibULqGiSc9qnBTrVKZ6TN
baI+Zxmfy6CabvOSVyHOsUQhOTjge1zHxXiVCP0zrdmXwGHmN033QE0BTKb9a2ebt4D3nqQ2bztk
IKoyt65ZeSLx3yZZP5q2/17PRr8qJhgAKs/2vrKwDVu02fkwofAuicFgHNKvK/iCqEWEwxZjoOOV
1t7WVLF2nPHL5LfnYIsv8wyanY1Pa1Oodq9qm0U9EnxoO8cwWCzvU/vS5NFdnsOon8O30cl5USw0
/130zN5SekkNCBhi0U1lZjF0rPReS7mN7LkBRZPcjyVuaOWMSHGleqkta1636NjBPM7VJlXRWdAB
QOpKWCJ4ESD+9JuyCduV1gJcVzOR025/5naVD+ZTHDCgXYeShKZ4LpGDZPmA0Sx7ZwxQrpyBCb1m
jtqKNcCVZncvlYGGd6ywNUxOTIhEnK2nOLhoxjRbtRN7XLPUDsSNfSSsAxwIfuSnZFyh6QPrCQ5f
a+lCZj3cVO1QbSaamHWFyW8/lqRQ9CGEwKGDL4aIDsKCPa5iB5F/z3HnsuEG1+cVVrUkbbfvkmyt
mCO9tJDuNNldyFf2pfH9gZJ/IUEN6mQxqifPzDymCZ77gXcKpn5bAFIOva7rZix/NY6KAZeE3ZaY
bEucok1hHNOwPjp9zMO3cKfNgW6oQViRJ+3nNJh2VWi8cKtCErKDqxFSA6fmW+hwbpXGwAnAgsHP
wlfDQkbfTRODz+5BaSTX6CQLdOChwjjG1NKUp6Q1Ey/L87vZYmFWaTEpqzVf5ULfRxAivJTaAHHz
naxwSmYOHyONI8ux/Hzz99XX15yn76FaZO/YSjK1dZBrOeLn+g/qtRn5+ohap0+tVRVZ5E4QT7NO
02gvARTABKov/Fn/qAvr2Wb269fd5Zxe6t1TW7B7h+I9ZMl1Q42xmo3R3ZJygTURf0g2Zx/Qy4OH
VMuz679/2n9Sti5P22LbizSNScBPy1ZBRqPfhDxtu3rizTrIgHMbeXwjgcxk2e1QOftmkE91b52b
HWaczF0ZZJt9fRr/Azb9/2WOOPNvx8/XNFnBf+7q6NdZzfKD3zot+inHoW/72ll8teJ/67Qscmot
LhwLJvVvi/xv42ebiCnLwA23vLvIxpmgfOu0rE/k3Qq2cYi5aVfY5P+DAfQiCfih1bKx3uGtU46U
8ALIKvux6ajJexd5h/IuDZez5wCs1dOiz1mPequSt/ayk8+K81kzr9js7qya/Lu5uo6zFn9adz63
zYEYyX1q87nPO9L+rMATyAFHLo+//6wr40f3HlssJO0m7SqvIdrMry/K9w2Sa5Ui9OdWP0x2mt0Q
+UACIwFJ+0yrPc2YbouwtzYIFqqdTfLVil0+8l0zPo8b96Slc7nK0v6izvS1ZS80r0RTR8TiYO80
QJ6pq7Y4YF9SZ3gHsbPRCYPyLa7eesyPIHQuDMIFV3rfge5cAPO59TDrZnTWT/LgoluLS/5q2jWJ
qZz9Y1S8S1X3VMUmyDOHS4ABHBdzGbyMXCjnKsmeND0kDIBd5i5TxbYd2NxZwj/GcBFO08D0vHJU
vLUb49oeUAiHIAlWHfkJeho8NbN/FbmTtgM5cO+O87gvepAxsIEHr4cO63QNJ4DwmWO3trnux9lZ
Z0HwKKYMm04PuDXraqTj87C4ouyXuBFHX+jxTleCYCxJOTDVxrwXnfEuS2GtS5hrhIT6zqrPcW1h
sV8bc7h35khn5yDjUxdTANc1QCFqFCThM4sJyPpXGjfTvhwRXLZZP+5r9FheDTFsVxb9ZTGToWrG
w0kr5BOO5fokwuCGcot7H1maJVkF9O61XqsQKTokmRqrMzldSLxzlBtFKrYx/ni2xYXyjHZh0BRW
um/C4CFLiFK3iv52Cgeo1pJ2OW5G85KqvAxPUxOo8BpobutPQICLNmLyzbDfaNnk1YjVMTulp8yd
wU0X7fWM4MFryhrGQlwkdw1iyhUtDjQ2nKBBT7jGaPv1MSnDIvTGvO5IZB3LF4fbcRWAlGIjPkfl
Q4XBil/hGOrJN8bXJI2zDRf0tZ6ZpofIQvJLu1Nflu5BGIp+1mysLQO6+8gO3pt8gmFAbKYEZ3fu
x86VM+QPJI88KHzoJEAWYIPbeTXgeduoJb405p2nm8nXcsy6Le0Cshpy33YjZHuwbka1lRM6F6B/
r5agPNGLJCSiA7ISA8QZm7U/btxcf4zgkRG4oeytU1XVZk6tN5bIxpbEhmpTlYE4DnjnVlavxzdD
5hSEb6ASJWqN391XagsH43V2ErHDqT97cQA5Dz0c/W+p0aChvtBAjmGcEes2lV9k5xLDEoTjeeLi
ahijhJ671l/6sbNKmi2weLponU2AjgVhwX6s1AVigfVkfklAAC4QXs0Pz4EroKqbb6CyH1OWvan1
CCBxG5JqrBB9jrwYqKV2Rk++bWBWrx0BReTOOdqW3OKbgJW3ZyHg72MW5qhTiS4i0uOAZ+Umj5cS
ISbbAuvjeaLQkLSmeR/kzmtQtp7gnl0CMOGNnRTxTiFZ4X2ZMlxmEUZyaXQ3GphPx/upPumRwt5I
x98HH6Xm33WJfem4EU5PpCggeqPMvHNGjgL6HQX6CQQaU907hK1eln5ESKSzRnzoSEdlrg7hWD4x
VecLaV7m3QshqCc3IpOupBaF3ZOS1tKaCrNjUW3tyFwP6QF34tEsJs+WjMDNp7l1HyqzO4Dxu8qx
Jriq2liizXYjsGGKf09P/fecNZPqH0g7DSwvyHQchFrxOCSFtbMhpfmphvJZddYmGqenKnSCbegL
wB7w0hETIrXMhuJjLGFj+zgcl4wvzJX2mzA7/Jtd/cIeMqC9tgaPDRfuGSPzBNNAIDDgJiyI6LvQ
h+5NMPYt+UkjcmKSjTS9s7YNIpKdPYnHEPYlWXN0pyAeLke+uZCeQgIHTC40tyIKLqqbbh93FdIw
Oz5w2266EtOKcuOP2HIuEqfymlR+pD4A1OSGRO/nIIs2sZadd0O9ZWayNx2UYUhZ+rjS4WWygE0j
cmzaRBr3MEwQpreDTmbbAk4MLl3AMe1AUw0rDBHsewPCgOS+XWeIG4jUpDWANB7sgJLTDDK4NrQO
M6s8NeBr1AOlb7RY34TmcG+gu/QGK7rW4IhSbOqxZ9l2sEX695hFBvIhMGbRZF7lJjrPEim1biRv
EnYUMAaCnDh+Hus4OYbw88xh2CSLQbUkDcqcmacgNJKrogvjnV347wQrZBu/R/HAJ9s8+c48H7Vk
PAZz4W7LqkhvqrH1vZwZF4Q/Eivhh58BGHqoHfOyDgLPabh3mzI/s1Xw6NbObwXwv5Wn9beRJ79V
nsuo/9fSc/nJb6WnRfCpcA2TcfLvuOJvpaf5idBbG1uKwT9/1ZB+Kz0d1oSkkLrwSG2m0cv8/4/S
05W6iYDUoF0iTO0f8aGWJeD3HdfStJjUczw3lBZyEbh+X80NzOmcvsipPKeh8MJcldi/undX1xHX
+1u3p0H3CcL7rVf5y0n/0hH99LAU3SxGHeXwd+g/PawRRO3kUl0d5qa/mdr4Kgin/9KV8Qr9+hBY
syyEsFT3X+vY7wb5TJCQjyQ8RIehOe5PtQiOtbr4+3JY/Omj0PMte15pUsT/+Po5vdEzAQfSZKc9
86R6jWxun8p74veOBvQ8styc5qHhELfwrjE59JjSbCjvPGA63t8/mZ9VLFBfWdnY9J98MkzcST8+
F51suaQm+P5QA8nBgYrjhJnBPC65R7d//1DK/PEPpw0gHhF3lknwzrLAWsxb339wiFw1fMdADkG+
96L41x/hGk0cYw6DoKV4aTK2GPZS0ABXfuUqnUj/c6stAWpYaaoh3BlfS6GkhVWsF/lao75l1hed
qUKwSJ1RmVVWiYqeukoz3AebOsul3hJL4TVrLRZzLmLSogEisY+ZSRJnR0/HsRRuOhWcbeJXT3DH
eB3VHZZKpmaV/prL1HyyEkENyPakfChmg8oQbwJUL6rFJkNYuRHsopx1HEIqQ/NKjMCOIXNGxJau
AdQ2iFhsUbJSMZG92Ta7aLTWLMxezVgGHa3byKyunhL3HnLY9NDU7s0ENiJiBt7k+6pxaSMMG/Cs
rbk7VVgRLsdwhNMZFS7qu2aWHzZBDDelPloHCMnZXTe25S4kbGuXpNnAD0JHHNP5bLDaz7ER0T8o
1LlDQVS9Pzc3LtD9Dcskwgxlc10OlvAmK4lOYzTZG9YH6aZNhp07MkKpU8AoNjySXadLCUg6Czx/
JElHDxl9zwlEhD6nMwLoc58wO71yO+ns08IxjqojsjtOpmLXuyWe3569hCUwraCRwnBRzG/zzDhW
+ZHYlJGTbpPOrrd1UuyzWvcGNwAsrQ/vVTWPlyQE7RLd9ZzglqncKsuaV903rsACY6zXqm1a1RuZ
NcHesRdIm6/JtTbHiJ6raNhCc409+s7UE4Ntv4BC8o+165Lzom8NmZfHqZXlrlzoSMPU8nFlyIbb
KY0vWNrba4B173US5PsaTOxOdVm3s9zkjuHkfEotEgHyZjxjZdjt8FXZ28kIupe5leKgdbJd61k6
eVHV9wQ0V9O6qJKLpIAbObsBCCZyXPgAaYY3Tew6ejc/xDh6N3ral3uEnLQGZao/G6PW7TmvnkPT
WgI/aJxVUV7GgDQQcDtgPwtAX8UkEEzH+V4lCrtelG+TgOIiWxjMURTVnpkuCAO3VdQi5I2UegNB
ykhA0/Y7AneJOm7RVAqbDasbj6QHxUHLNqF1D6PWzp6TE/YQq2dWXRc1wBy0BOG2HhJCZvIkJbEh
Gp5JDOZ76ZgjIMtI92TeTttuCf7oogSxJbNMSs8i8Ppa+pTuNGd+nZX4rcmsdeZlD8U4ljH2Wujy
ApzWSlU9MnID5ZKLYP9CRsAD0yT60vAX+5a9zsoUlKzq1B5ZGIAvYMc0V9bnlCjYFYISG4tUGDGX
JhkSsAnlrvHRZ+rJyJjaxuPNMALXLxhOcM0GwDLhZeH72wy0T70xgfOJkjujabzSdcprpL39teq1
G96PfN/UiNl1jeTAiRtQb86y2L1LShJ+B1P/XLvxIw0Su8DoMYmRltZiIp45C4/F0oy4kQq3Okkq
djId/CQAeX5tktSRiHHEag8LPmvQXLtPgp3JgsXdSIItA6iDtdMu0HOz4ePcJA4Sr9Y0NnPRfpkS
594qWjZNycpNbK8BHhhq5pIamXp8CqC3QozBOoq1c5NkrMHQBRHJGF3EZfBEuOWFNi2TeRVjCRvA
9s/3/YhkpAkuGzdtVhLYDdxgDBgkKC9ZBL1L8EmU8CJ3zvBR1giBA71li0uCEocZ5XUuGPM3iSS9
27cjJrWZvQUF0AE9K2+0eGCo0wY2NDprP0BoXkkJsQYr5CHLJScXiZqtjLaWPz2PWvZWT8ZLMcp+
08MPWYGAfELdlm7sRjDeLnEpGhtpztdt6WwXKYw15MzjSbNN9V47IkCKV2Fvbsteh43nB7BisTHy
ycU0YGByqSPpuVqNIj+wzS0ew53vo85JwCnEY7ZlJHSnwhoGwkz0VD4HANkDUAr4YrBeWZXuYSvH
jdeYJCcUWXNKRfRMtPU+Qem5iqwvOiaSRhgn128u0pBt+HRqgdzR+7IODoYzMZrOKkwrH54KAG0O
tx4KvGpb5MykDAYEvznA9ll1RWP6YHf8bydhA5Z37W3lx+Vmlu4ZkELgeuw5MANkebmrABatyZJY
F90Vm736qPskWVlNS8ZvP8+sn5kCjLabHgpTsJTNyLLv0Z7ndntKzeTOStL3mcZ+WDp8gpn5dmGk
PRdL/0/v9YXUWUgRQ3WXfZ0RpD7dJ1MDI5/UCqk5Z/EyU8hS8xWPsdrSQbFDGVyU1mHENiELkpt+
mUuUy4QiacN6QwdmbCe+f/Yyx0iXicbX6uTffsRCEPPXosXFWf+naLjlx741Iy7Oesd0MCDZdBgL
AuVbM+J8QumD2R5B4+9a62/NiPEJ3TaqJ9tGJG0Jk1rvWzMiP9k6NbYLPU2inHbFP5mDC57XDzU7
03Segy1RAcHSFT+Lb/K5RvgguvGgMx+pAZen1nAiSOsdjtZdrvrHBnczF1z/NFuYCKRUj9+9YFe/
dSD/ybvsqojytvm//+fnEvrrE1j8d3ilbOXw5/xQ1ULSzElNnjmduJlbtSRjcKaVX9KxPvz9I/3c
AX19JFdSQWMUpJv7SV0VjUGWVO44HmbBd58F7x2hwv/lMX79axbSH62npUs8gPZPzQm0Mv5ljkes
yPes25BtkQ9SjKsha377xv1lP/dnj8SHyeBTRb8qFjfk991ASbeAcNwhdHA5EKT7yqgcyF5zonT7
L2/Rry/csoHgj7HR9Nh0PD89VI4N3w7dAXyeQ6ifeW7k9X/5a8zlC/LTB1FJ+lPaHFwBQhc/vTui
S528D9v24FRiuAhjcd/rwyFJ1FtNnMlan8ppb82qpv1gb74gjtFammfgai6Rw2PcsnBAhvb4WcRm
7qUEZ/AwjIFGLd5UDVW3WxAN3NPAUMU35d7i1mJB+2WIiRdumFvi8NfOk4JHGGKy6sm1KS41khTs
Uo5X5UROZyyQoWdJe2YlRrJJA/utdgpnZUf2qY7KsyylAbTG7MbKaoaeORXJoIcS6ilZBkHt42PT
gg+91E7FwH+gU8eqB5xvnXYUUiX0Xs8NJgmgXgeIIO9amg8uxv7SdacvcdjcoBt86nRUxTz/J4dp
3JB1Z10ZjDtXcwVjrBkfQD2mR212qstpjk76jBwnNlS5TiK8OhAHwD+UNA7zzEQ2iTZZwE5HMr1f
E3N33zfTeeq7ck0fgCwGshleb5IBFaIARohjvmEEDAgwJVRh8stH3wRAHdQk8xiZBYdnVLtwdHHQ
t00FE63aKgkSwylBoBku0QiuuK1VdtKbeNiy54q9nrxjq4vj+2JontMaPVmv3bL/v5qbmRsrh+a/
GQjOHHm1RyBgPQ6D2mbjRFCxpV6A+pj7gUrwUi+aC+jN2gYkDdu6FGVgbGnn2DMeA6xHK6KJ7usw
2Y1tFO3CRnvUcucmlWWL/TBp71D7NBfAQ7QnEemzZ7Vjjd6K1ZGJ6XyV2ZUDK4cL28Gpr7fxg5yR
9wzAHIw2/uzm1Mf6iPuv6K0r6onr0EajkoTN4BmJkF6pl4gIbCKl59o/S4f8BRwOKYxOTdgo4pQy
ngm0juBqFgF4JUzrRzvIvlSqODRZK7zKMV5LNMboDoY98ZUxW0bxYJTO3u/lS42FYs1441lvsz0o
ORIJG3FpVtGVq4HQyHFAIiAjHY6lzM4I+KixMVszAb7qaH08qxzPjC67AADy/9g7k+a6jSwL/5WK
3qMC87DozRvxBs6iSHGDIEUJ85hAYvj1/YFulcknFtl2b2vjsB0SkwASicx7z/nODpWEnxhGt7Fq
7DWIVIbbblT2IUn1a8Wjiu5KQkqYn2duZa6ckAaSXc9dR6yprIeUQLqU6ZRYXxE04bWwYGJMuNOI
nP06euQRUTlql7GZXkUTB/I48i0CU6NebgRGDiRF6RZAooHJML3VteYQW+ZT3U2Hws6/kLkJAVoD
3xxGxgYfHY0Cw/maKvQkzMgihnYitD1wuDSTDByhHZgyPlIj5qur/Bwt70ec16tibG+LujxrHR6l
KOBS0bYwlkPUYWIhRAqUMM20gZPGSm0o5liZKIl5cBccTDbSU2zcIOENLhBva5TB1owUuRx7uUvg
aCxTUR462hjY9MqGEz4UvIGzM1gItJt5ti81cnSUyQM/yMnrSThZ+uzYtXPp1SE0BejGCzjAdEMJ
HNNnqWqE6wjPoIW9xUuo9dv4TVV9BLCsfC0mujSNEZkb2rr9Wh002qD9QDaQXt/1CbCaalQx2cRO
t/SsSkB6JYOLfCiFTyyiOsWptAuUcsZKMZVvyM0Q3DXpRdhb9oYeKRZT+qpgAn0noMRBDsTMHx52
COYc4npzczUMArE+5ZWlZaXz0de8iuus+Jo2jrUgnQJ1E34GYNnMGUXBRVAqUY2ZPbEwjSp7L+BY
MgzR/VQk6TKBEcbR3QjJVh/lYRjSW1U2ZOMo0e1gt3uSnjZT7znH3NGPNnaHDd7oyyyCm9UkQbOY
dI5ZCBivWcCTJaWcbFV002NIWw46azMsa9NFczoRgeq4UbkOk7696DzIXZ14gVl/SUTm81X9kZhm
smpgWSOYJHMLUI++LIk6XDgey17RB/dtBAUxHIIrr+cOWAFbfruAr6rRrOaYrvoi9c4dySFjiASe
ocByt63QiNYq4YyNoFHqiVgJp1fXwwDdGoO4u6pTqO86ckLcVeWGtqvqZyhPw05SIcpoDPFfGssM
geBG6+PCpcceqt/xiNL4qM6cMfhRqJQmDKFR6OnbaUVc0nFyWA8C86iOHeLLUH3MU9C7oLRbPGyI
kQotPzqJeVkpw94pzC0AoGg9gS/L+xS8raydM2tU7JfPK72jzn7OmzoHCadqcDq07uC2Ko/M03Jm
EC/4JDgoVWHGQYvvgFaN3zj8fXH05jxHMkngJ+pfcPwhSULVRrrGLX2SueQVgzqYOLQhg5qlhRXf
38SFVMxBiMgvjqB1SFdcI4s2DsttqmWXOZHYCyfEj4tQa0UErET0V1ossRPBMcOt7eR3jo00Mk15
M0uhfJvcHNiKx3myMfJv2ORua7MploNrQSCtE2WdGviVkZ67uOK6wKWG1cuRHEqklWVY/gxD4z6q
srMgDqK10NXnkDoUuTnd17yERTnkOg14NUcyUFeYeiZEbZnn7lh/116XXUglOsrIXVmlhr+6M7Zm
jspXTQtrYUoUXiCUZjqypaxGKyWSDgn7GDvjGkG6sczj2f8zEJlXGSHQPz2mqVWQC4gtbSdKuWsr
yy+prUIpEH6h8zGqhPhuB+k29agD4Vn+YWSRB+pnOquqIGXNnJBCqghch1yJ/GRqqhXorXEDLqNZ
AQ4ip8jMBl+RXFYC33gwtDsj9porqOPJQvGmq2jurtOh69neIixpHQqgsXlo2uAR/YYI+0NCC1G1
QQelWnXe59EF+VRXniWv8dode+Jg6dkdwL4SxDdG3lrkjgq9wHxmxZlWWeoMSw/CEi8C2Qltbnyy
WX9bUEfzQ94HRmiHfee85zz1oCpuhSQxdoZdPOQXNmHCdMHvq8H/z9GYk6nFWe3V+Wv12D7+4wfW
hHac82j++79Wj/84n2ViS/7P7826+e/+Oh+7WI4ptIJB56c6c2Pq1/nYgTxnY7lxHUM1bZdO2q/z
sf1PehbzqVE3KJGb82ni1/nY+idUUyapy2HW4yDxl5p1lvW2XTeLr5gnfFT5mcScMk/eHn4CU7gN
/Q1jF7s3tSoPrbeHto8lLFhJBx2349BHIbmKivtlmas/MIxtSGa46W2+QGGrEahHvdtVKWcnEz30
zA8YBU+HfhmW4sGA0wHzsWMbgqWUAtFQdedDC1a5zbxzYagUcnUD4PPgPGskCvuOGVDP6ZtkpY3p
BaCIZaVL4EvtFSvtUy7qY19rl20HV8Hx2GWnxSKlHWdQUMywkXQNcXEhufGx9px4zmXn9Os4zb6K
aqIxbp2b4fidjncH88N5rGu5n/Vh+aCCDjaptmsLlPCLUAQ7U+F0y/Zcr3sEtNmq5yNuUaJ0qVqr
hfPFK68z291JFMB0a2wr2Sh0OBCmUzmje0HwDJ+KFG5mVEPQLr6kU35kW0Ei37DQkvhgB/0VLdQl
Cs4lXQjYF0Z3FdTnCuBhyhG7ujE2QNQDlZh3ndtVqf0ypp1PDM70w6OazS8KQQo1RC2ucIBSWFWO
Wr0uyhAlH25ojk/Oz8QxQGAn65ZCrqnpe1tUl5mj8mNLdElbltiY85iHpCOU2bFL221ee4+w/rdu
nym3hGmzsyDgQWlxMKujUxxlCVAtsRwixa1MrpOEL6NE+zAfJYns3gIyJaYNmYsM76O4WwGQJe5r
XJMyywanX4tUeZj7XizQ1Y9Oq46BNl4okn2vYdxkTXiflgSB1sm1rSDUr7XnVnO+RxphWFY5n4Xq
hTNLyyQLchlHbLmFvuzBrlZTuRLlTeHE90oQfg2mnmSOzKU/R1WTVJbvUWjdeTplTkf7KRrzFgre
j7ydHsTgkHWPuqvuvjUmP8yUmzbPr9KQTK64LchbdNtjUwL+0oj3sptiHRsKL4ZHLK2iWaux1w5G
gznTHJ4AvvzUMnfNvSGOaEQiUQdLx8NV3/0g7GtnEfQO75qw9f5YN8p63tpVVrUXZr2BRH1LYCCG
DFJHpJayH1COcLDxKQVXWQAWsCCkzIuWyM4Irxta6rsB70t9rmkgt6c+YNPg/Ohy9bvdBAQHRIvS
sIF2t4u8ze+wtV7UFsf8nK2AMWqbvg1v42F6HuD0kXJdbtuAbTwhd2Zjr7tWfrFd6H6i+JLV1RkX
tADHyCl3gCJk6MukvzS0nVajaq/G5DDooN3NcGWrxKax+8t6bV1Cfs1i66oPgy/JFPtWZ59F7vA1
kplPVhQnDIkcvjL5RfmIqWu3IpOQTkfh0wMirW3c0ClehiruiWjVINmv4+xhyLWbyZs5uESUsGE/
qwFNDuyjxkC7HBqL9ACN5o+x1dF2FuTYmjntryrddGF1XZfWj4b9Ftpz7aCM2dENg5tyzHyblhYs
mIURAuBLojP6DXRUomvYlUtSpXZJPD5GgAr02LtRPbm1MvesrRWfkGPyBmPOp4jdsvGMDcGRusOi
ANOWlSRlGtGFPpJkiGRULbuvhnpfoa1L06vEfdKLmyIyDrljPwQCDTcvtz7RlTbtYpURToQB7rJN
El8PNH4iPERYyOfd7OVJuxs3Ci9FWm5kY93D53s22fmXg8njHR22TG7ElKv3lAKue9uEoCmre00d
CSBM7kN12CfYwxYm+bVe3J7Zorsxg/orEejI21yxBJHydSymHRk9CwuiE6xBCgODZLpxFpR094jx
8TMmelZO30qrvwBrtnH1HhV6RpZ7k3G2U8ptHho7faI9qmY9QGP8nauxHA4R9p2YkCOhSUJhs+hC
zeaelDdeSqe9dIYYAkUPXqWI+h/m5JDVRZfPGw5GxKadxXI9CTVAGxr6GtBPis/riUxrNyECIVbx
Dnb7WklvqiC8dRPM2bK4kWOHR3GclRtfFK18KqI7OTVng5VvdMEbjgmTJZB0oNEF3OBOwz1Imeu6
U69zJ1hIu/gGSesaSWmKq2vcpTRd5WD7nqts1RAp6dT7cQuqi2yJciwuNSvZ5+54X2jtF5p7e2NC
D0A7BBMmyJzQYfsqG+3BiYu946is9x2mbO1csR2WJrFt+DGot3xwcU+dQ0YpndQJYc1CLbNjNt4q
zONFotoodcOLsgAmP0fV66N9rVjYWyLcMSAq7tA6HAa3PhdqzbLtEYSVZIdEOiR4G4gkJ+WnIHQn
1/RDIVnQ2j4hyV5wNrTPBy04rxLtemLD2tQgMRr4kRcOGT5jZ2w6Mk2W0mqTdULo996eqi+6jQ54
HJ9KLLxZncM/tc88c9wozdx9tjy0qeIYhz16BsSGsPFZfQ68mtwufhVB6ElLk1YZNrpjPdXEJzWZ
tqfmGbBeu9+a4D6M1U2beBejqa0sFdKFGJFPakm6IlWuZPfiPLoJsjmlu7OVjtjSkHqFlVzYHQ07
M8XtKdoLhN9+F2vHrtScx7LP9xbh2T1pWEap7f+zLX7ZFs/s4n/fMZoph//4NwI2/uKvPTExhraD
3Zw9Gqb0WSP2a09s/dPCJo0WjR6GC7riX3tiXaXPhATJs6H7Ac1/7Z3w2BOrmk4LSsXYTlfpr/SM
dPPUsW1jj1dBHbL3Nmx6UCd74iJX8gQ7UbjvYyAwUL89cu0Djy9mZq2bPKOUJ0blRynN7lx1aC5l
MZSXiDL9Ok4iZEhd1C61yi6eE1Fkl/Uo232r54Rw2IW+1IFS+UqIBa6Ig8t2NM4MV2n3VUjyrNAr
34hE9JhN01URhjdsmS9dJSRFlD94dHEen1nshFZuJT2cGnF48FxCx3KT4kSdwpvlg8Fe0rQfybQD
aFd3OfEXmKnlmHT7vKu0Kx3tyWWJ2ZzKuVo8qiHMWzr03VmKlH0hkC6vhUWaR4p0AxZbv9Frool1
Nzq0lUAYbBZbzKfxuh7hlTbBeBAOYg2DkIxNbtrbzNN+hIZy41I7dxRLruXonktaczO3DeaZrYsl
9kWwRjrxGhYWsGVe45CukpoFQp6TCkCGr0VNkNjiCpX0jBWLrS9V1j5Zs8dRHZs7oy/mSA7EA1Yk
n5yJtI+ytdRzbVC3fJ7YGJOYWDvNcxlNc1UpP5d4K40G7p3QSOJTEliuGnUPqP0c0imTKKVzj2ty
WnZJWGE9qS5yS1RLnIJ3pTduGqprdoprwIxNmuu2iTV/LJ8oEXypnALIWZSeoe7B2+FN50aX7YCu
Lj1PUN6Pz4YueQ4C7xDn7Swr30+JtTdILGpL5w4N776xhzujUc+tiArxSKl2kXbteROP3xMMznkE
Gjpw0f8MmPHQ1KfetYhyZUV/LOYs1qGMEDKNlnZEzEnbZJeuTrBQntymigzO0kgbvwL083YSpwvJ
D8KlHE1KtlEktD4Uct/qxEnIpkeiHqBTDjrMEhz9DpmEgVtmPQj8cGw3jtEijrOb+rwMrPNyoJcF
xCY9tlVQrtmjpD/ZGm7TergnCoc/meZfJxLKF5rSTOsg1547kT81cdIiKyfGh/K2uzEN8xvF5Dso
yTWbbX2H9db+PoWKL0TDwclIUUhJRDxmkZqbeoT17MLpXgoPZ3qpFeOxR1foszH6aSGMWjqRSxk8
1+5Ib9p2E1KVqqUSVQV+K2lXiGHo/EqC7J208QY5gVx3CU74rp1sH4ckEo30Iol1uQutjsdckcpo
R9XId2Ui4mLodUK5XDvycyjT50TtyoOmkCYWzI4MhdADJ4bXFOuBu657szwOTvScJezcip5TTV2b
txZ7oCuWnTj6Q//6H4WChzbg339vlo//OHvsfi/AzH/r18cG9D+VFOolL1+UGZ3062NjAkhCwUmu
i225+lya+d8CDOSkWUdN1/6NUtrlJ+nkrPCFcmbnn/qXcCh0zE+awrjzeNboEvD8AQ6Zs2peN7kT
EkdBpnuVH9QV4SOcwReatPGkGxNdyjEIZbPCboKzg7zgZSVDdW0F+rOht8RWpymuFwMnVZQ26iHq
su5IIkrog5JNaefYG6nr/cbp3HCNqlbfKoItkSOD8XyaX+yx63VC4ZraL4SDeia1HwpRPAYRvWSC
xX0XWuKTDU1jFRgOiXpOJ8UToY3Btg8K8ws4IGOVNCS4Bmm8TiQNJdyQxSO+/QRvrx59QTTEG1MQ
kkQfGlhbfeFgakKiWBW3w0hhQdW7Dj7e9LMn9muDDJAkEpaQpRt0LokAASVnU9uUkoqTajYP+Pqt
dSpI/I2xE+E6q7VV09INsWrjZxZqOus8x/E6lo9hK32+oNrWacB+OF2u7MGJHzpRq6z/Uhx4Rb9o
WaqdIeUqdyScoeNzJpMucfiQDZFKoV7h6KhnGYX6xCe+TtkAIKn47mJBQhUN9N+atBVHXVyL0TV4
kSeniUDdhrjlM6W5RMR2RM9E8t9ZVEtKOc0FAKaH+hiQS4IEROSoFqemHJfOaAlYpxSdY9mIr5TD
qPJbcAhavrsUz+rq0lbd4LFXcerLMEjOLT1HZmpyJsA8JKzgIbRS8PWpG3jrEMTTuWMm+6yVdylm
9NpqonVKRI/9zQ3K5kbNgTTlOLzaGwm47pDq/Z2iUb8WTYixW8EjsojYG0VLHIpDsVXxh5YLDCre
YbQNIuaTHl2zbicmoD4qVIWjHIRZUXazIBez7E6dTI99IXDwUUOc6eTVwAoamaayHEevhKBcj3vp
9mu2gJzFu87TLmcC/HMCJ4fDHY3qVcsMFXVY7fDfDAsoKdl2Ur3hkuMDVnRzdLMHrTRHGwcR6Kwo
8LRFpznuJh5RBLLRwLMYl1143xrE+RlMrZvE1MN14Sr6A1O0hxABgScrM7lNZwzKpBno/zg8ZVBc
4JM22rnVQFxQMi3ddcBZ7hA3bLNOP5Ndbz8Idog7B2hAvdBrazzrVY131piOr9ay/4N4aHbvIqwi
Bhy5gA6k6e36UBhF2ZU5WIwK75gyVQdsnsvMDbaF8kmvQHtbB3bIRCHPG5Y4I+HZMOYC9uulKMJM
K2otr/1QyeAqNPT/r8Iq3KNK5uRqXYQ0nDErRdAWU23O0MElNigrnSYtSm0yz0p67uNqzNv1x/cA
xNRb5QybfaY8CCp29yQPEbXy5jdrOfUncVBifrfBtjgOXW4j5bybm/lN080SAPBrCz2HPMue3ffg
S019bvhM9Gn58e9yKkp6+VXQpaF2Q5vmnXZUGq3SSjXHj0FbEM1GQctPF8HPutaOVmZsXwb7zxd9
Vo39+y/64d1INvw2fHDnv/nnV32eE8TRkkuL051Z8eurbsyCRJXDoDvbdGbl2K+2isrhkk4YmjK+
uX80O/63reL9U8d+bnlsBMAszqLBv3KEPFWUuTRv5r0D9iwTJ8uLKvGVUyjL2UPm9ih9K0wfMiXn
K5wdXt2Ud5aG+dV/7Xd6GcJAPInrzuLIe/JWiEZN0ZnX0g9mlFoH49rhzKZYwIv+zkB4czRoB+zH
TwbK+l7osoilHzfjF5q1m6p3rtmvh39nHJ6kg9XIgdfBo369ACmSgPYaE4OfNj3pm0qxHdOJ8rVm
PH98Qe8+HJpx8DIRmsLQejtQx4arJohO+ugV1rWa3MLkv/l4iN9kpy9PB9krBi5mKc/o7RhV6/Y6
ODHpw2i/rC1xi1JsqYrpu2qg/G5i50dp6o9IT8FgQ3OjU1H9sXr8n/WT/AYsUp7uGLwG/MvJVUKf
JG6zczp/UDKk1eV+yGHcFzfZ6H98rb+tiScDzR+WV3Ndh1SGrj+Ufm9CAXLmnBHH3RmsngvY+p98
DN6Z9Vj75vqQhkGOmujbwRy1ziu90zvfIP2kVPeZYS2L+q9+decrmnfUrAOqw717O4iSTpWeFgYM
LS5oyI9aEq3mKnGDv+Xje/f+5fxrJGMuRL26d7jEABwPXud7mN5XTT7cU+aFMlZnVx8PNB8kTlYL
LsmzAMXSijBOcSBkMoxNVPbMeZotTkfwqIw3GbZgeBUATz9Tu7432ot0lyodJ5v5sl9dFuFGGOur
TvpK553rYZgBgu7uVb26/RtX9WqceWq+Gscp1Liso5RllqR6r72z+hnAhz3MlDs7/2Sev/usTI9F
UJ0doKdC7qRuZFZ0pPkoVn2OvO1eeO26cJrLj6/p92Ec9jimNy+DpCef3ru+GarKNnLpExm1GpT7
DhJ9VVufTLzfdnt8AV8E6bxGSPRPTbqTrnu9q/PSIqVZaWq2VjTwCfYxsDmB2sRSZRcfX9bvE/Dt
gPOi/OpRQfk36zrmK8LxzNyMHpCSpkm+k/pC5U5TLtoZ5/XxkL+v8w6Z9BaCdHazlJlPVsDSFRrZ
NERFxLRnIE145DnE9idfrd8H4SfPNuxZL8ItPVmQsiDPh5oWkF8QPVyaRJkJNHMfX8jvK+w8hvdi
o6D558339tW9MyddSUQcST/RoHK0V3r6VEXxWUUgxf9voJOlfApNGIaykH5jfFeo0GVU1NzxpjQe
Px7n9znO3HuRr+gI4X/bu9iJRf2u5r0tcn2HU1dCkQvv4IB8MgPeH4d9naFR4eEA9fbGBZLGmhng
g2QfsNI41wqPpLfwk9XuncfD1fw5yskqVBelp4uSu6aSNaF5DzUR9q5qrkN0dX/jvuHqt1wXbgvd
k7fX0xhewkaBnUtSgt0pi+S2Ua3HrOnWH4/z+8vK82EQDys9KiT9ZFK3mRFMQcIaJHFt2j9pWqwS
tUXpcxEq+l/ex3omUHMmuKVzYcbJM7KHtKTYPwo/hBC0yPEK8Y/0QgmD4K/PBs4QcxgD5UCkUyef
dStrUyn7TPjGlH3nQu4yTfvZ6u7TxzfvnRXh9TD6yTcdgT7EcDMS/iCRxSMxGgnGsdy/PhXejHLy
iNKhAiScx8JX6YLWGDA0GDp9M20/vph35jbD4OpyORFhuTl5OqUaohDRGKbS0pdox2FRetZ56JhX
Fa3hjwebH8DbTYr3ZrCTF2lUBlJyqJ358CGXPZIWcq39MHpMRLOtu2INO7gNu09u5LtXiEPMmDlp
bI9OFldttLw5/FH4qQVsPowN8qFq4zipySHRK/2TOfjZaCcrbGfTeQqFzmOrn6Pao3rwjQbLKky8
T5by+cH8di8JLOfwyabPVk8mu8FCIesErawF/R6/zk4h/cwwjE82RRzPPh5IO5nuvNXFQJuGzXIf
APz3KJMteJOLxSQhspYKZV4ItktMOh2JP0l3aLv4p6eNO+r1jwC19npfm4Ab7J9gZ0ZwWoFJZpu4
CKzktog1BAdKBYqx/NKkBAeJqEalZnyPSA2gwIfOVxd2tQYrDpYt0Td6jNvVydVxGQRzjponqIUK
+8yNbCrMNkGwsRWXcOsbTn82aUrCJkK8KG6TgQNn13fdIXCqM7gFB09tbrOeuKk2gNGllmd1DJms
tWYS14iILzC0jd5Vj5EOs6oK6wrucX6MvKBAR6hsvK64tFPM/CQ3pQvRYfwzo+u8AsqMcuQuzJxq
ZQHGxkUSuftSKW80PPDcrKk92BOK9IwQ0HWTINBLRf2gD0KCMpVro1NNH2xfA4aV0Csni25Fi7OZ
yT2R6xLjSTJA9U2tecyG1H2wkZT5TVhoyyyo+q2hE4wAPoO8kUT/oVTaT0fDTD9kg77oWK+IPbhy
HBRhqJeIQWsMTgo04iK1+2m19ZMXjaAcUPdlFhQr/FmXkKl3ZEpdisK5lUrud324saxoE44BMNZx
bZMQvNDNUdurtehuB0dpdli3aH5T07xG7GX8JO+pgXMVZ9kqtAFYHBo3gsNRVuctRcmE2PrE2ff8
ebkKzbAEfVw6PHLSGPSkMlA89S2Uq0GQCeiGssKm3iHpwdl9PWGM23m5NM9C9pfNWihI5bXxB+5h
lCRVHqxDt9Xti1Kzz0gMncyvstLUC6OvIJoqsTyKCM/Gshxc9xhNNuK6Rot3aYuzAGkaRfwuEyuq
VrP6zJrDuaRd0dEluXUR6Pj3NXs0rrKK8DHVpLcjYxsAcBlZWxvWwqKaavcRPh1xqF1l75IOA1MQ
mOo6d4WxsfWMrjb57X6IGhhkd+pZG2NIqmsQpOXWGhuX2DHMTWFKXkbRH5VRXaWC/fxIHtZyVLyb
ssDYMyGLsqbyZ5BTf7edtIG8p+BvC+UXg5i4pYyrQ5fpq3A2+FvaRQo2GdSEM1iXVGPS+7Sp+oUT
JYepHKx1mPU5Opxu7yk5/Z9RDsuijeq1FKXYO3REnx1NfEPLemMlynXLH7arcbqKh2ZfzxIkLQio
43q3aeHS37cuS10CmSd9w2Lap/2dMcTfWIk3euMdCH96JuzjoTDiJ7Jir3MLn1bv9V/i+T9afEKN
IohIa+rNNGoPOrx62iYEzrVXuYIQd+BsCqWNnORqXFvtoC1ZMHPQdS4wcK27SbvynkD5petOZ2QU
D/dRJooVkJJw5XaOuBaIiBfCEpyauzC97rCfHAiJA/YRSsjt3uCiYrXBnwy2sPahldkBEXrSuKxF
FN3XOBl2Q14AqK4LQm1dtZ3Qpemh36vVNb+4pp0Z0XhLOMG6zvsfis6CUGXhRomI0aR6eIAOtu8n
ktVU4V5KzT1QvTzvezR6KB8kbPnhLqJhtsfh/KWsqbuAfQe44JSXo+22qyTLh/WkKtWVSf9lXNoo
QPP1mEbWuqThfUP1Q6wmpzQ2Pd6BTc6rRiesTu/wj1nbtoAUQhKTDFOfLBjja9vVRge8vj8bkjQh
w5JeUGjRFZpeGkSyUcYCFPDcOKIlwma7mftJwdxZSuPpbooj60AsEW2nae5AOXMvKnlpS328i/j9
aMsu4s8v32ntNaBlMsFQEojzxgejn5CB2dVjGrDK2UK97pFKLGMVyvTHw86pPe98ceFy6RrFrVmD
9OaUJuGrhS5Kd5+M5avRUVgdMUbnBDItvA7utgZ0KFZQR9u5cT5lMw9d343GVx1hfBGnu0xPN1OR
bcK0v8IBQMZxvLVks1Xh9dGQ7TbC/I5m7yHLTCINhmUlvKtmyB8MLGzG2G9yma0jxV31QDbijohr
PkASvxlmItKzjOPYPibhuIVYuIhAo3QOxkJXM3akT0KOAqcQpPVmNq1+fF/e3fFw/v51W052PJJm
MTFVQeN3c6T7YPiEtK6mEAk3ot6Ph3p/z/PnUCd7HsD6Vj8OlvBppj6TJr2jCfldIx/rk0f97pYH
OToGd05JYNbePumBDQ1BQWwZbfYCNq+tjL+Z6NE9FYxlNX0y2rtX9Wq0k11xAINIRuok/Ka68rLb
vDgKMJcf37l3zyyvxjiZu14+Nmafm2zz0XhL0g17gEwfD/HuPHg1xMk8wPEEKMrQhI+zGYOXBCwo
sSKTf6Yuqw4r5sfDvX9FMImgLng2LLW3z6hLAmn0AQeXwIru1bbfodDffjzEOw/GpsuEhINFbW4q
vR2CNdElOY8HQ9ATcnlMo+eO8jeu480g+ttB8k4jt15R59VMrnpEWb0brD++jndu1ZshTm5V2FZa
RUKX8COnPiNtZgXg9ezjIT67VfOv8KqCJUPFtdOWIcpgVi7jDxrN3l542Wcvy0tp4uTcw8WgOwNQ
Mef+nKwBidfN/YOO03cqBZ1hEGhREHY3kVVeNOSFWhl6wMJTLsxo1MjH6FbWNCh+344Pplvvy6iL
0AO6O6WFP2RmICei8qnMgJsiSIPwpYhP6h/v3/1//cLWyflJjznb6HUr/GzAIGV1t15jf9LPeP/u
/znEyUTFHF2PcT0If8rycmm25bkeDX7fYSX5+DG/szC+vvkz1eX1Y65BF6Q2AkOicNnsosxhp4PQ
21tIEKtD8Nc7hmiBCXVDSMwHkcXj7XCq6EYzVlPht7W3cmN7m9vRhVnr9x9f1TtlCVuFk0sfQ2U1
OVVGqH2VWWDBGz9oy2+xeMwVeIgGnm/XWaOa1Qyg4lP6yfr1znL5elDvZFq0OHZ6W3BtSv4wmV1J
pLZ7jaOTsKD2k6HenR60qwkdtMCfnKqdO1mXAi8LX2gHf5sSYvrRsuSZ7PGfH9/IeYk/fTcR1c1r
JR0Omxb7m+kBpQ6F0qgWfqoq5ywy93Vm3mEAhxodAgUVRXpPFoT7hxD/3zZCXyoQp8OaM1h/Rsw7
FLPeDqvbTZ02Cuu02gdHXW8ghrXmlZeYiIeNYefZ/dmsYQr18mawleGT1fWdu0t8KzRLFTQPcvKT
1bWBj4fxpyroQti3dYBKRusuakPsPr63v80XHbOvq+PMQ7jOh+fkXYjaUEPgRMlWz8eFO4D5Cr/j
4UhBJ3480G/Xw0CAWOALkUZJxu3JQyzlUHtCS+gRUGnRQgucPNIv7/lvjEKXlxmpYxA4rQrnQegp
U0tbxWqQtA/mUWvFwYw/2zG+d9cc/EFs5Niwc+PeTg2VqHUyrtAceGV2owRkNsVus8evBsgw7/7G
I2Kh4svEhsTDY/B2sAGOaeKVVO8zVGPaGC8M60qK75Es/84j8pCpooxhNpyegNTKjhpRuJ0f9Bw+
RKI8eBVO0zYVyurjx/Tbx4vJ4LL7UU3XJmTldOnQQ6U2IOLQjk+pYhqReqdI6y9XaOdBOD7QFwVq
Refj7X3rvVZYdsnlYBVYV+x9J4iTdgvnLf5kgXpvbr8eSX87EiZEfaDPQ7+oBRtED4QNAg5nqKKf
LAra/KzfrEkv1/SiMSZ0mm7r25GCwFHzIdGkDx8ZSkUXEfiQjJzMChUaR11e0oTNlrZty0WiOudS
RmeJAm3Wqgk9LSvqah8/yN+W5re/z6kQwQ6xrOTA15E8eMsg0ZoVtluwO1V5IT11XNeOu89UvuYf
D/vO+8dCgoZLtw2s6Kfm8zZXp8jOXhaTqwi4b+rsBlwr/fT9/zfO/Hu82n96Tj9KaBLoLIbLOrnL
+h9ogvGHfLLN/W3/oyMdUymw0siaNd0nM9ULE8ynL8N4zVM2WTdGgtmjrI6FgqOxqz7Z173z9r0Z
7mS6VorFW17Nyqw8gFf1w3U+WYXfmRUMwGqPWAol2ylRTsROQGXd6PzGTD32OzM5yKlLP0iNZTUa
d8UMtam8LvlkT/zetPhz3D8SNV89LsD7dU/xiuNC+9Xt0s1Qu95CAQu8FEH815cwwnaQxSDUAn5+
+j2L89DCH9VzilO79ZD0eKZaTNgfz78/VsKTF55hMLDB5mMzcNqK9lqQZXbJOc4OaHe7yniTDzme
UTY/JXDprCdVOW8Jz4MjfAj0ZF+Z2G5zJxth2MSE+1YaQPU2RnRrKISksOk0CxD8ZtmRi6y4F/Rr
YT4X0bRpgDfzDqsgRb0xW4lEPpR2XmxFk4D+oniuLwBs31HcNWHCJQVRAiJet9lYXGVkM684xAYr
rR1p/7ZOfB7Ucfo9BQu8SoOIpE/Aweu6MGO6CNmcMWpkR4KsrouKHFEp5aYfKUDhs7X3DhbXTiFz
VSnNaNeltfWVTVCzMdJC3ajQSzb/w96VdMmJK91fxDsgQMAWcqjMmme7Npxy2WYWo0Dw679L9es2
qeTBsXv79aYX1Z1BKEKhUCjiXqup7S0gnoqDjzr4pkiJskkL9LSHTnndYnJ454Cdb6MytImrVa3j
6YWZeI2oUcZlUVZsNAHO1rzBWG7vi1e/By5rnRkFCE17DHdZ5qNvYH7Xiapiq/aJekNpjitdHaDS
VhobkEwcUfx9xzsF2WC8QN+nzHhHIGZeDyAPz6lr/9j3efcIaJ1mK5BIHDGj4QBjqRbPMQM7CYBp
urHjfIgPBTdzD886eAVDorsBxe1FN8Bxm6FHr7DNX/V0eORZsbO6OgQeXgjuoAhA3eBWjTDXTzZR
Ub2LUCO7ZeebjUpICZFGEWCMn9UpWtWuYqhyAQC62yRkwGIDMVLtELx2ph9VYr4tyyMzhxuaaHFU
o/9xvIpLh9uQGU6loeh90ZoKBbIdQLJwEW9AjgkAHaV7IENVe5ptPAjuHxQDbJmDetHUHK9P3Lg3
USDyihJwG1HdAsHLsX6myMW6sAXOOOaRNwzsOhj8VZ+Nuvyx/Onnveao5mBUXRu7bfBqKhdxgWYR
gm+RYZsWTjLCYOPx1MaHteAA3LYO3tkw9Plm9PUj3tzBEuSk9xiB4wDvsLL/HyD+q4mbwh/+d/v3
1Qiqg5ep85Gu8f/7u/kb3Gvo4hjf6z+HtODyfzd/0//g1mDh4Xv8F6E4Wv7b/E3If4Cj4+AyZlIw
VIxU1n9j6hDtPzriMoB48KsEBGS/hTkrH8uoPRHccEcqA/wgxpJPkw1TJCTGiws/Auo7Pq6BOsln
o/zr4+abnI2qoYRKAvS5o5+n1wUA42j1zNEDDjwVcj9Z+Lu/TqcpdO2pIsjH0CeDzikCLF4HDY9y
4l2C8MwGSCk/moENdL0HDDMuCziNTOcCpJViIqV9akEABdqQVWBoyvoB2Jk7Fnd7SvfLwk4X7lyY
tHBJGtWEVzBLH3VomhcPupI86I22j6oVSVLF4S9RaJYBEK+GtkNN7q60Qp8mhaXzYydw39f7Q5lG
29AG33hy54BDuqv0jRFTAE+WK9nM3IpOJY8mnXgHeMIyg+H17QgElEOIgVbabDAd7dWUXKxV9E9v
S39raeOfMdWFrqeyktIAaXil8iPzjw5AQTPMCK6s5JwHjsBYf4uQHAQdW35lsYEfVdZ847ZxCES6
cjpKrfrnakh+4eQUoJox1GhKE4xLSXFdthhy4mwzFGzHO4UC667Y4D86aAz1Dl1fe0gAZNf0Nnj+
CZLVKob5alJhH1jlkwkgP44ENK7FHm0bLwNpjnpufy8EvS0ygA5SDHu4As/XTcOB/qSDVAANqF7C
qovlDTNrX5SUMEKKCTR00J7aFw14hpUb8KXioO3o7drD4KxtJz8vKd0OGORGbwo2ib1t2l2iPy9/
/mc/36+U+7+rOhEw6jfZCzXmrhN1gGEF2LhdTNEdGMYh29GgfdpdZFbOAUWo3+AKDloCzBTUdaYj
U8meSNF+YDb8oo4FGCYtEzQWyCkB51RtC2auRNnZLTv5zNE5Jp/pA2YqUCiWue5atAb5GLN7wx52
rbK5CCNjs7Iqo9WWVmX8nIk4hUUGwDMhriL9oRJ3flLcCZO4wvoZkfTg1/QywawDxixvnH0a6Ltc
WWvEnLc8Re0QXNU6Bi1OPyEFPXnIAguWV5FJl/sSKFDLWs5JQHEFqacBKXghOJWQo7XV10cJ1QBU
WTK4bMVoczt2KmC8OU9Wkeg+6fNRgGX9RMMIMNC3EX2uhx/Leny+/sjWGhFPAIOPUiimxE/llIwk
KjNhLR4Or601XAZRfacQustz/yvGsvyN0uj+Ro0Ai2Emd8B7LICPFoHQLsDFSK3Es6mUgMP2ower
yambArkOZwTa4BrrDlQj4GcIlR+lUWw19MZ6Bq/uoih+ooKANZMZH7Fmoj9u4I3XA1MVIOSA2NMI
vTPDcg/wv/g2yqwrDvzoraqU3Gsd65Whwgng7KOJkeErFgPHHPzLN3EfHbgFXHUtKh7SJvrKVW2L
YfRkxfJzu2m6YJJhcgzuA1ut5cf4uzpgvIWgDwJgKwC1WOHpmouOU0HSJYdzDXw2JQRR/WvpWDuD
AwkdzCfLDjCvDsrgMD7Y2+QCmc9LIL82NoIDa39EzotBS89J8BKMx7VArByFs7sGdZ6/hUmRqMJT
TFv3cOqGd7d2ke96YCkv6zMnAht/nOBC8ZLI4xKGbTWjt0AfhVxFUb0H6sCyhLkVQ4UdzfF4rDPO
Gl87hpMMwGTY+gp3TXStO376oqYAHAPPEbCK7cOyvHmN/pEn97/mgdqiHQ3yknsLXX/5ij/PuRlU
QWUKLdgog0sBQOl7KkxuIAMyds23mFqu6NU/cLKpDGnPlADhxKQ50lXTJcoNhqYZ2ffNn6zTRBFp
v4ALKQkHgkiWdNbW719BOLRdtoR0ef/rwAdfno3nAswFg3r7NFj2wGmnVYgM3zfRcoUOWnJB6i0f
DruNN9gvKllJkGZNP5En7ZcuADw34DD58Xq3ElzWflmyui1Avpn2yHsbll2YKA0F/MvyYq1JkGxu
RD36YwFwfay3cfa7w3LnppCsTQLAU1VZx4+pwg4iYHvL+iJsZ+UUXlHi7JE8rwjTfRigTl6tahNj
kPZfrZI889fgFx2nxCo5oA/8Hj8s//rnKMjp6Y5qk4UaBrAExhkyKcOOI/Qs1wxwhbUodknYvg1x
sEui/IdB0Fo6NNFTgN6iyEADfBv1IBLoL6qUvFD+mtvNG2hlAMYJhH9HzYbNgMGxjQHodHSHrZwL
0mvVaM3T7xztMMl2QoD/tYmNs67bE4+F+8H8SQJMUh31F/3FMTfLyzKzj0/FSftYgK5aQ9BDciX4
TVQkl2Y9gIHYfmSlek1pf69rwxPN6i+sQgMe18WtFjkre/v8GCHqOMSN0RdMQFlyIZAW3IhqXgMy
LQbzCJYVZ42zAVcfyBC1H1rffV1W+tyVIc+gI4cPXjrBo3S6xKnqpwEFBO0RSRp7SVe0mf11YE/j
fQpFYFR1Tn+91YEt6rQFah8qeNjqx4T9/m0ODQ46aJaAeoD3Dfn7ndLvdMCRQoIFJkjgKxftym45
PwlPJMibnYsgoqHBcLCjUT1qL32A8ZjZyoZfEyJfTYRTMLBP4ggB/0YSXwLL2TP/wNQY6DRwp0Zp
SJWfgqJEBUD1ABkVPQBvpVpJsUZPkYPK9OelUwnd64ne2Vinvryss4/aq8klBxK/Xuxye+XBc86v
prKkcyqruJlRB7I0NECZybaPVyL8+LFnyhiAMVBxZRuLaaeOawK/sMlVCEAX8U0YWkALvsjAKJBH
YuVAnLX8RNKo6iTGNQErSGpBUqM2G93xN3gk2KV9sGKdNTHj3ydiwB8cECBdAaE2uwjxsJDdOqRd
kTEXuwBR9s+iSR4QMZUm+SijKNJtMRjgjWLBJSkznMbWEbM4w3Y5eK1ZSXKDX2uXOIFntHrlOTBX
moE3MYpWlPts/VlyCSlzMUvA91GOwbHYD0cqyO4NvIHMxYAfALREjdYQ7DsMimV45xJdBJBsfqjS
5h49OT+svvsR13p0yIvmUbDyex+o937YH2hRf1WG9LXT6g6XK/alaPV9S9tdPogDbi39nV/pwAJO
thgiu410tPcHGTuWg+/sS50qx4gn6RYs6tHK0s7UkhH2KPCPKDTAk5QUkfB6m2cRhzExAeY1zd0V
KOVDIAHzn2RlM48Ld7awE0nk1DWLAi/uDVg9juANbUGfZe7DYV9Gu27tCWNOJx3QPACvQdsQmpSk
TaANf0tSu8LDQ1+K+aHAA2cPoKepcsmLo7EWFWci1YlIaU+gvyETGM0di9UbctkqK+fG/M+PAFpo
JQPFqGQlze9jZoMu5NjmYHQB4D5m8n77ToBa2UiG918RknkAwmOxwkrgCD8H8Bv4K/tqZg+f/Lx+
an1GhK8Zfop6hv+i6qh2elFhY25xrWl3pth9qocUaLPQV9NhDOlKW2UbYcRbwAEBMF5PLy27+N63
QDzlYDSDkxOjveMDBxBB34EWGx0EgBf3AWJIK7dRq2qln2ZmA5wsgeSWphLmWuNgCXKAim4J+paj
LNk3JdkAL8ilbVq5BDWE5dg5c1yfCJUcE401BJzEEBp1m6IAq1G6iePNOAe6YuA57ZCejTAI6JoG
ctSpgYu4sIbAiXABN3fxqwiLLWraRhkCjXAlwRnXSQokKOoCEcMA6wkg26R1dLQqCgwt5GDz7vfM
VK/ArRuDJ2B54WajyFSMvHLAELZB3IDkQ8GJnVUXCmuSY5x8qGAmbMHv0+KvcB1jvD+smW3mjEWm
jssBwUELbp3RrJNzvEwAEt0BK/FoJdF7ywHLF6gAzjTg27uh8a90098t6zsrEacAATj1yNgirWqV
qj2hOfZNjzFpXEljf6/cR7Xumdp+WdJcMEN7KqqbaBjBJJ0UzFibAvM2BiR1Kbzu+3C3/OtzDj/9
dSmO+XEX+ig6N8cO1L4XmyoAmj+eH9BLsZI7zkYa4JbhAREEsED7ktKSgQ9pwNioh5a/sgRc6q6d
h85OzzHRDHDADg0weOqwwv4lc0BNUNGAeuiTL8G9Jh6Tsrk2qbgMuvZLDuSNle1IZld58nVSHkNS
TBRpGFU++jFIOr/HCDVIN18AInLbVphJJpG9UZ0fOii+6Oi/GRy5Gz0a6GW7JPlgLb0VdfhcjN9G
1fIeXWzopsEAiQpu+AHwrY8UHdNr/d+zbghMM7Q5GoBvl89up03Q1Gg7zTHEGmG4ttyhkPRm8+Gi
tQvQ/MTiedlfZtcJd0oUP4Glh8vx6U4blDApkgrFBzO7bfiur7fLvz/um7NoNfl9yQ5IHq2iHF8M
2hIzmOCpc23n/Q9EAGETKCeA8kSHyakKACct+0wVOLoBah6/FsU+Vl6XRczVaJB3/JIhRUMdKNVt
aY8VtwBYrFZvHtBdBYIE0yo3qsEvB2Ye7UZw1wGdz8hxLzoTtYwSfOtJPazMXMzZDG1UGCbBwIWh
y9HR9gFz0Y0VHN67zoe+1q0854OTn7ekowwEmFUMFH0cMFYCdkySHECk9xz0mMT084dB7JfXdkUb
S4qHMc9thfoQ1x/JoViJA2s/LoVDJbUCnDC4zpgB8AySfhcl+r+zxgiiOT2rwjQgJcjl+fHb9nF5
Zeb2ztQQo3KTUxDNhsyvx18OQW/l+TCC2XadN0CNZUFrqyTtoFQFkbduwwQdDByAYJC15Youn5FL
DgRTZaQdFCoYJtNogCsCmOS9LLBBB1yrL5UD8ljgwHdAXtpZQbBXkuA6qOphpwFjBcD26U1E8hS4
8BgXGLeSMm4qI8tQQ6q3RY1ZeVuErQdwsAcO8mzXKMqHwdQuI24cwSP0mok8A94CRqKFEFcJWrq6
AgAN+VDXblo3bzGYF3pe7ZsO7KhZ/DII665Tdb7peIvelDgIL5o4Dy+bBEyFwndAl9uwXLtYtsBc
VRavULjdmMAIPn+1V0yicuHg/sEJeA9C494qWpT6fJ/dhEEPrgcnOgiMQW9RL3c8LWhvLRutzP0a
Dt+sK0y+Q9owtFJC3c+Reb29+Ssp5dpPSxulBZVCDPAJ1ID0sczdVSsZyWzcmny6tF0ocDOykOP3
gUPiFvY+0O99h11kWnhl2t1m2WCze9O2HIwuAq8QL6KnexOsJ2nIGIQF29oRblK+oiN3WcS4I852
DMpyxgh4gOq1tCtBBVNhsBRFa/B0q2AiiqJdBbiNoH5aljOrCnpF0JgLrDBgxkmqUBMv0spol6ba
piwGGWFymebZ2vTwmhzJtUB+RAuwN/PjLTpSMJuM5vzfV8QGjq6OQSYgE8uoTMQKtdJXcAfr3qzY
+8jWOg/nFJj8/ueVaRKPgXcSgF8Evz9kzAUpdPK+cpSsCZAskQmmpVWDO5dCPlr9Fh3z9tpr9Oy9
bqqEZAWlAhJxb0JGn2r7KrP3vVEDIAljBEaDeBoc+qI71EP1o3RW/GzuajKVLO1/Vqg86lOA24Ds
kMP+TfI0XOtkl/UPavt92RXm9s4I7/7XKODZA1NYlBqISCDLotcgztlEmtusdf7PWmsiQ0ptbdHG
Q9pBht7d5Z6qbvDM+O+0kK7BVQb2PZVAggpiR5BjugNg26DKspSZVj4yTsn9vVi2lPCZRh9GQ4aN
yYf42OvKTlczxcsr/pGNUaBpFHVbaPRLVzbJyFZquMmglV6dolWyz0CNAxTUxDPs+NHxUcHhGHAZ
Wy73NVeylbBrzMTE6adKOyRX0Jega1iRJCuvtNY+2uL3MCE+n2MBl4hkH8+TGEORm8KQdItEEKyG
6r8qSnatV8ZKLnTmnKgy4JkQ8RYddAQR/jTgJgYvQgxKo8hQb9v4imgvBhhTf7uGIkkZl3ISrXyS
xWpAkHDR/q3jD33qRU+VBZietXHLM5uMgnAIgkYALe2o/58Kik1fKE3gN8fe4D/gKpbSfFv20BUJ
MopDzI1EawqUGuibA1aSYeWgHTfqyUE7KoCJeTyA4dUQdj9VwCx0lLpiGyRhGEf1Hcwp5WB8CcI9
c4J73RFeLQzvDzSaiJRiB6AD/Z7i4D06YbT39XhrxCuQwGtKSVZRTF9TcAlFe7NyJFXsVuqDoWy6
W/3FHNbedWcd+pc2VAogvDOVHHTAzTFP3IRcYts8/Fxer7NYe2oiuam1FXGqJzW0MWORuICRvPTD
4b7PtTVPW1k2Kh2PlmqUWuIjwKSdsgHkEdjRepBrVkniA5XPRIOC4iuA1AGpG4ozRvwR9aW5ScLq
BTgvL4wbV6UZfK2V9qok2kfU+M+CituhDu+GGExyZts8lCG5CY1qQCspSMqy5raK1Y1t8HfwrIFc
LqhfqzS/cXgOTp7gmMftqyqU57JJ25HC8UJRqauV4UfF8fwmaPcAqrAvYdh9Mx12g1k0D5e31I01
/0fZ5Ss1/DVDS5GrL3oChAnaHJPIM4fLbpfrHm1WwuPsbp94kxS4ehDomXkOb6IH8xpkvcuedHZL
GD1pRBTSdDRUmPKbtzoEecVStP1rzntY7TJtM3Zolfu42SwLmnXZiSBJjSjTAChCIKhm4GhuLK8k
L7W1cuc5vzdK6oxfMYnyFujsdDsxmmMVP8TK+8bC6KjoBtfkuqvdAz/QXkvjZ0XqOLYAAYSmF3rW
jKKbvUpbKKbEmYNHxcQC4JTy1VSDQ9xVQM5ECgFyAuDS0HJXGpgQSLrc84m5ki3P+QnMOPatYFti
jOJUdR/RDTRiKWKoEXpaDt9/WrbgnKtMBUjJRhcCp6BLWHO0coA38isMOAD8nu/7rnJDsSJszl0m
qyo34NACUPthpaGcHof7Ki3vUCq47lqwNS4rtWY+ueuOAf20A21jc2wBZwe2xzcT79JenaBbHQSY
9wPEYmTgru/1QxyamCWEjQux8hVztptqK4VZUqmkBAd8c8zqXaqCXX3lfD2fO8K+mAqQIpUd4KIW
teNyFsm2Ln6MDJOdru7VBpzoySWW27Wr9sFMwAj2vrzCa5YcdZ9sSUCh5WOmhI3fFfeAv3qwze90
HFX+d2KknU/CAqNF8ahhBRJRpcYLf33IzXJll82F/OlCjn+faCMwnpapQOE9Zvm2KkE53l9hoOuQ
5MYfnC3AbgXtH3DlsHMli6WDIBgDhz5dUkSewBRyUTfXtWLcBAO0W168uWN+KkyyEQdcDUgSoBUo
094jnn4Y/cjRXJq264julZvMU5NoJVjPLuVEQ8liXeVHjZZBKGv1DcfwYuiI29x+1322XVZv1gVR
lsIBN3a1yCWdyCcMUPYqQrT2bpTocQ6Q164s4ewWnsiQtnAah5VQOshovgVXfO0Bb+3XJW+oKQNc
TTggpTTN8fR0Wb4Gy7i2SJIPaFpbWd0YCLMOLC2c3GalcaPTfmWd1sSMf59sIOYXAF0vBGxRA5E8
vy60pzU4s7PKyhjsJqaQ9qiNp3pSBV2Dk7Z41H31csgCz1KMKyUBIirL0p1iNjta6iuqzUfZiWDp
5lQIR+foLGyOwy0f905qWj0gIjiwmUNd7Lq8vskDh3qEhPdVF3wNYn2tKDevO1hGwRw68xhW91zL
hF7gE3iHaRQ3GU/pIsOZwvIH1va3OYBBXCBW7v9ki/0jV34lSyu8P1RdBblNeOt3QDajJMm3gAV+
WBY0GzUA9/tfBeX3MYYpzihSoKCpFfvCFz8cMbhozQBQh7VypMxvOmR0qDaP3FaSOWkfhCYXHFER
9XKWPKS4Cy8rM/6CfNUGp9w/EqR7L0JGZdt+g6DBUjw5m/sMbT/8ijvOS907m2Vh8yv3S5h0BQa4
e0WbEOzgetcdogxMmah+g6E0QKQn6tuysPlt/o+wT9bzyTYPcf0LtAHCaF8d9OwSQNAXTv8Hh/Gv
jBRNQKexxIhyC4ApSHk1e6+0nYuRw3enSVe29ZwqUylSOEHbYFTbWtIcgea5sSqMq9KxJrLiCnMb
dypFcrZcZLkDBB0smOmaH/l7+D2juxDg997X37fMVJDkczHyl56AHPwoCvGDhqk3UH4LtPUVfea8
bSpG8rbEAZAZj6BP62jfAovue4gpafGmMo2sWGhuG/2SRT6ZjyfO9stCYTw8hCW5q33rIxHaLk58
4TZWp/2RQBtDG5j8woVLcjwtajqbglz8yOrgQw3ZEWiWmmcmAh0dEVgwMFG9bLQ57wBrtAO0D8A6
gQDo1NO7Hg1Fw3j3As2G24XdHiB5iOLCAw79TlEBWCR+rE1ZzK3qVKbkKHmbVw4Nc9QBsxbP7Xrm
KUCI8zuK1tmKo6F8LQudi7eY09SdcUQJT4byBRN07OD2Q2hHC0uFUXA+eGEq7pZXclYrqAU4F0dX
AbN6upI5cjS9TrGbsyzZJmABikV3YUe3XFGvkniNOWcuscajC0FfG/6FhshTaaXd59TJIA1ELJqr
DGJXqErk1kbimRaEF3GeuwIlg2Ul50LWVKzkLiCIBt5uBtPlhB6Y8RIP/S5o1sYL5pfyl3KSg7RB
32asQCRhdfoobPMpyF79IvoJsP0t6/2VjvHzpzqkdehItJC/AxkXDGinaxnHGk3KrEbmmGqWVwSY
LiClN6TJpuJkgxwfF3R9a+nBsbC//MF6/hItVyPywWzCVMdpxtmrYYAz6kVfe62d3eF4q0UT64jY
Jt/3bDA81IOKpNXCLCk4l2MwRJMtcepNZg9eWaY73rwua/WZwMjpB9DK/5Eppfy5sDLLdCIYUAt7
N0XAHLT8ogswjmTawa4cnbMhSeDmluGKGpDRfXKZ9/Y+i9OfSR68Zqy569Dq7qF95AloD8cEFggy
85i1ZNPXlTc45UEw85Xy6DuPsmxTtOj1NsU2ibmOOVkLL8dxyQB6YoACDoil3yNAN186pIndoDYw
ssLIyrWTEPjJktZSBIitQZQ9hzEjW6/QkAbWcl4d1ArXztiqXshg7zqTbYCFfklC8jRkir1lJZAF
BEiotE7D4LWOmWUr3aIozbyUgqQaccq1ouSeBQ4DatdvT7KPrj8xlBRGEq3KLL3HJ6cN+e5b7KkC
0sGyM8yd1+j3R8/v2EWNbPd0d+nMMpsgoIhUBdty7nsdaw5K1aFapD8si5qLTlNRkttFpm0FIOhA
Xp1eAtfvoo/DC0t5WRYyd5hMhUhWVnuNpHWPSjBwcMEiVIKo5rAsYbZ0OBUhWUUI00aWji1bC5Bv
mAPQ30nNgFqZbnlo7MnoKmi30bagVb+o87Y5gDFn7wQ02i9/yZquUrgP7brLLV/HPraLPRrvN536
uCxhzTukUO+QQa07ApPlfQFszviWD/dW8yFK9n1Z0KwqYMdGLR1ZwFkbdaYqmXAaCDLqfgNAnIAl
K4s1qwpAU4HbRp0RTerU0W1wDQm7gISk7B4jWmKE68bX38He+LSsypqgUdVJVkrA9laxBIJ2RnID
YEqb7gdttyxjNpjhZvoJJgc8ubNZoC4MAYYC08dAX9bamLhFM+xMIY5R1aD/No/qbTf2vA9gNfML
+76jzPJM3d9TVPYABxr62yplu5wZ16HCrwe1f1bB+OKaIr0SDVePHQHg6/JXz++cyVePIXqyNE0d
hGEMeI5jXenXuUFu7Kx46PsebEVkk6XkYJLiHV2327h0U80Ak1PjrLjBbBCafILkBn1Ae6dieOVO
IKY2ftT5l9pcy8O0WXeeSJF8oLGdgUQxoqrO7/RU7AzxVeE1ujp1LybmJs07tyhqACExj8T+MQan
a81UTDQKb2XJR32kUw+tIGCxBvcgQU1Z0hfsjX1dgq0K9WTA9xWDp5jGtmb+t8TmW7sDyZr21Dr8
gLrRF5H72wHAL0qqr1h+Zk+cfIW0HlzHsZ98tr2yW0qfUOJ26+FmjVN7xrYnUqTYTwZuJixERwkT
IDK6A2HVGlLKXDJ6ImJUdOLBrSWKyhnngfr0MTXV6xi81mXc7wOxj7L6p5qbF31Se1a4cn2ZcagT
uVKoH4CUY3Yp5BoxuAK9ZI1jcfb3CejqxzEj66xp0Kqq2gkttMng5ZINgApecYBZ0/z6fblpMG7B
0J0N+H2UCN2h22L8sus3y74+k0qbgNj8W4fPMu3ENmhZYjogxscOzqNuXTjDoSUtnn9JjoxtJZvU
Zm54J8KkUJbpaWU6CRTKae0lansVWeIDOeGd09I7X+kCt0kb4Cdrbpzadyi2AUHPuq6ibmeH1l7n
5VM+0C8Zjb6Ax/JieSE+McDPNv1kJaRNT8o0MVmLIIcVD8FNI96Z3X8ZiuDDiuz7ompfAgVkXJkB
uizaDV84CuW8KW7t9jbJtcs4ju6sxjpyc3AxN+kSsHtV0UVeAy6XlcCrV3Z2Fd0pGFzPC/NLxcNt
mNMrINeC1wfsja6al8WKcVcc9DPiTowbCctH5wvWOxMFYscmUZ+XF21+awNUAlgpmEs7a5YsYJcq
xJjfsWK7fngW/p6TQ2JrXnxJL5topYY5vyF+SZMyK2EIBhJv6KNrN+Gmi7Z0bUJ/VSHp4kzrzkGD
KRQ6DG523103j+2jE+ycp+8rKzcWaM7cTTdtAy3HGgGl32lQJL4JZDkNU2Zp2gbAAVBe1XgIveAh
IT/VxvYAso30xLhjhb+1M7LWRTb3/gJcdZTqHcyBAsRBKiC1na5l+hiUS+eGlh3xTCO8AnBqDgDs
bs+I9mxkPgZ6rZs4b7OR+mDl0faTg+JsBQyCyY6RBx5vMKcrUGspr3MVTeqFOTCXdUZwwA75Bihp
L0/Dm9RRvsc43/MgP9QRxp31qMSLidUfWmo9l4G4oRgIXLaKPnvy//omuV3QSluzLDN4WOmrLoL7
PtG6XYMgpFJWuAQ9fZ21NwsQ+HHM1YhIcXnT3OdYrRyrZpZV4wE0wPCsWtm2of/Vzh1QnxYH6lS7
Cp/cDvqhTEJyxZx+hIFXn1Uwb+2inh6FZXpDfw/I7Q+0+I0A8s1KVWh2+4AVBAj+YwVYHjwI7bDr
Ig0LPsT+c8us3quc8CanzNkuL+NnifXMtBNJ0katQJ0YBS3Gj8RrcJ8+ZveJuO6f2zvx1L332xYk
OBHaVtttZN7iKWJZ+JqWklvB1/0qSEeAINDtGk0P1ll1M7TFz2Uxs7HVxpP8OPgL3pjxMyax1RAZ
CH1AS3xMhJff8m//7tellCkxWg7iP/w6y9hWTYwNjf2V7Gj8iXMb/VJAyo7CzKpBUgoRhXJ5Ed36
D3Qt8Zs97idLJHlBFICKEcTSGKQV3T3gaLBhGmXrG+ZFjq79MKZXGFt6+HcLJ1k/6Zy+D0etdj/W
HGtFHfnZtmSVnscaHGsYqmMzRqTAsG56qJAHzV6Ji9ZlAgWFZYVGMyyY6ewNN4iBjU2gUNwT17oE
E3oB9IOrtl55hJwNxwYQ+tAQZ4NSRB7KtrSqRm8LBFU6v+l65WjZKSbm85+Mm48qHS6CmHzVR+BG
XwkPnWbcYCao2lp19lh3SeUZQbXCNnI+J47p8OknyQ5kkaype0wAKyraEXtafzh9ohwSkw8bEESF
bqI9Rj0aSnkTH8j4aUpEvtqZdpHhm5ma/myNZBcE/h/kIdPvkpzM79GeiKneERrCADM68tZWiQ6R
4q9Egf9hExQzKUa6wWsqBRmG4KOrZYcgo4Mw2tYGIGe2teWBvCzfgoHZ3hAAhqFAPuxyMAWLNEH1
1fKQwuhAvKx3Cu4LQigrgCfnI82fdvn1WVJ0whxQYJej/nX41DbmVS6eUT18UiDRTAvdbXlyVWVf
BPrnAFSfgpc4vs31NXq8ucqIaVIKmitgPepnUA92opuFOYIAFr6PlJzcVL5eIPn2bxy9Jhst4WQP
Gmm0TivAI1Orpt6UofKh1MBPWd6kc6Fh8iVyaGB9w+yaDrhFRf4+Zy2wAELnmOsg/DXTl8GOLk2+
9qA/dwBNZcoJXCR0q6Y9hjRG82u0TDxAkr8vKzYrBAiIYMizwTQkY1vEfcAjP8ASW3HhAut9RxJl
JQ8cN4sc4FCMwx3aAkXTWcMZx9IJUcCZGHplvVTj8VUFK2mjuVKbgBa8SUGOSShgkdfgqOdyhals
Ih3iLLV40UC233k9v+jYBVW95RWcc42pCCnPL5iiOmwUQXMNLznKFm/CH2YUuJnKd1nziIVfkbim
1GjTSWai15agPhsXtEEM5DsTHL6JvTZgNisFdQPbxgOxetbwoxfAwDd8nIZx+NC35rUePlX0t9G8
EWjoRIh0AAyYQSIdh5D2o+B39Ao3g+px2T5z5+tUhBTL9aSKem1MGGyz8AZOtg3y8C7Gy1TOL8Dk
vlsWN7ehJuLkXp+m0O2OcMzLgyav747qn1RRMTOHxjpg/IA8UT4y9FjTFH2Ev1aYprtKpW19ipIE
KXtlXzC0+9LyKx+HlUxxIQLtSk2jneanb0M/ZPtaa7WXZYXn0szp90hnhcEiM2/GS0caGm6jq1+d
Wuws1mzzKPt95KHRXybKSzktgOEjx2GA09QasQd/41tUkgtAlFyVvbqvmY62J9VK9gm5axxS7Jc1
nd3pNgV/zedMm3yfLandRt0oPEidvZl0ez7KiMVXS1W2KLN6dayt8WTOBk8URAyk2SDPkXtdBtXy
wwh8CehTU9M9ANY/6jEF5anz1lXiqWjCB4OnoUuq2lw58+bq9Saa1v6RLW1OxeaxxUChigNIVOiC
hZimjR9ayPWJ8ma1jYI3k+GbU+j3TsAuh9DPHopOFV5Rpz/Bi5WvBL7Z4s30i6S9jFecTrMDpEsp
bS7RVQFz13g1Fz1GjqrnHAAO4Ha8tvEtItful60/awlwyqCgAzhXtKGfRl2DgoQi13AcaxtYorvu
0ju7vMrq675/acKVoDXrahNh0qZCv0pjBRXyDSNM0ICcGGDpMG6bLHUDXwHNWeyKAYAWyxqi7Wfu
qJ6IlbaXX0fAeIhJdawbPbtSVO3R5HXh9oCedQOOeSvgPUX7gXWqmyjl1vRJvW9Uv98aeVW7cUCR
ogijPwZxk6C4pTaenbZXle+8OU0g0AzRKLsmSuK7vGm/JKV6Rc0KE0JBSzeW3qpuaNAcuyrYZhEw
GhrwYLbOOF/TGsWGhf0egPzvYDb7lkVa4WUMcG1WMtwFjD/UIv4/6r6sy1Lc3PKvePkdtxiERK9r
PwBnPjFPGfnCisyMRAIkMQrEr+9NuT1Uua7d97HX8ks4I+JUnAPo+/bYoTRT4v92aGdS3IO2OXqv
evGRFJUHvQIZstmsT1Xh39cLHdJe9R9Vg7mgWEWL0dsPUlNE34pWdxdAVO9oRXsEVN7nHoF3bh5e
5iL+FhUaMT8EwumO6UwR8sxk4Q6qRPrGAGBvXN3PUok3kVQ09T2tU0oGQFxBCytZtWta9V6ZZV+6
Ks6HLkBFRjg8hm7Q6dCjiLkQvU1hDoYBBamG+TzG9ZmX7G4qu4dAMg5rUUPTda0++qZZs7kutoHX
QvNT6Iwq+QoWL7NRaOGR0DfolueZQ19N2wYozbYb4tWO/DJW4JI7DsazRCGTsIXOLToh+IKaR0Qd
9vsalREeqiPcwqJnyIvROIh6CX/rmZjWmu+kpdeSdtWdT81BhNE92sCbNBbdmHaqG8HmkT06rK4N
WZdrgMRmD8nNBAnOZoTLpoy8m35L7ow7QvdLvKYCgZ68WC56sG/joE4oMEcCZvzhLNc3YzJlof1Y
FnGI++G9WYIR5NKYGl94iIZR54kgj5AjmDDaEgqXLasQwM2ADIFqh0RWDYUSVDuVriABh08lco8D
2gueyZbThdGNn6pumrBSrcdkGKdbH+ajIBMEZ8m0hbvUW8zLsgW+LFv0Szn5aVTCVYaM6hMYTNti
Mx7epffYmOmAks6v7RYfg3aOhyESuwbPpL75sgzRtYIXB5V18lB7vkAUWtfkEmEuGBjWrI1cfBl4
V6bUgGZqB/YVLd64mzYL/biZ6WVdvtYwbprNwVkjutOqLgtbu6vC6Zsp5SuPviXSuw6b9TPYPKBI
OlHwhPabOXQwyUsLt2gB1+iCYWCAi9Qn7RvZbKWo233nXKBjxLsv8A8Yx2ESRPNtyvncnwXtfzZj
f+e74NTA2iO5tydTgWKybnwbmuaJh7PexWWd+XN5mVzyWYqyTicCK2sb+mjLjOIsqlkIAVd7Qzvv
du1MBodevIOWzM/8Eff8L2irDm1qwgJj9NKc1zD5RtkDEgShSLRp2Qd5TMujMuun2MRQxSaL0mvV
X/xWvPt4y1Tam1GnKIhDbuUmqWqUR9Ki99EGNsxHdKxf1Wp8nBkCiMKqjxHBPec2Xj8Gwe9vTL8G
YitB/dfz/AVNNvGBD7bNzYQ20NZSfGKgdFAatdM8eJ7RwolE6Uck9u0rUEDYjPMQrFAEdqhS9lkW
PXRQ/UVbI092Ml9cIcm5XyA0j2kXXNc12BNwd7kLzV6H1a1OqE0lqbvzuKAL3muDdcem7gUF8v0O
n9JLxVGQ6Xv1HVLqmxuCbRD5UstRIlAsLNEC1roR/N6EjcP5pk+LukfPBwog4eXD8Fcydij6Se5m
WT6z2EPro18Gh06E7bWhyTMVwcPEFwRWC9OkydqRna1HdXBDeEBg3hmv+aWk4wfKHpCY1LXfmfbB
jevk3jNIoQ6AZKUs7Ma8Zx0yvEMDj0n3YqLKAdrBvwXLJLOgh7SCvhRF9bXU8ze3eMhhrnCQz/aB
NmGUhws/+H034yZuWWobfQeFmcw8RJfCYckf1eS/zsrvM9ILmpVI78MC6T4R+DClKEq+bxGTcoF+
q87DpvmMTSuPuPt+8J5/afGUP/oR2kvjsRSZsoztWhZfFq8TO0vaIptKxBgT0ww4igqVcvUIl0g9
OyS5kVLsDPqibvs+MalpvO09T0A8D+oBOnu9L3gVp6wdLjIy52jWNpeSglwg8bQ3hcfyzqy460Ba
ZzEDt1jADJgj97XKZEyRfVz4J7KyMXdd5eGm8ZPcREbukrJHy+ncEZTLU4AeRvFcMV4d9DBGudXJ
yRl738R1/Lom/McYVl+KUNbpGI1vJhCbcKEDPNGvFkWrFhpRRBmmo+DLOXG430ZMl1k7LydwSd8V
2oqmZN15aL6ep85/LofF7ZzqFDanhiHFpBiPYT9A9jSFL1U1NZlZ5nqn6vnDRHxMHRc6R274dTT2
uZf0XEf9qz8H6KX1q+FOqFrvWyfeqnkUexuHZdokBdoToKXMVk+duaAxqlASk80u8CDDkG0uA93u
eOmgjkSbzCFMFMqQISvfQYIFk3t1ngKhM9xMDR5zAG0jHT6UYcGwAaEfShn/FUM0T6sJ8OHaJS9r
j5MPyu09DC3BQSXNN0t6fHKdf+kCck/m8CdqspYcH/iXYFA8M+s4Zeh+k2k3b5NPUNJd4Zffg9BV
+2bp7pDPdR93qPIFFr6kqNF903RQWTPRs1v0c7R673b1jxG2sVWOt4l2BtdOuxcEoF9UN6fB5/pO
FSpfPXdk05LFVfCGucNgIiCAoWPy0Yb1HbXLj7FeIQMK+wf4ZIEVa5FAZiFeTVG+FQwii4agc2kO
5NfSc7uFN9NBcD7kRqmXQS7zjttI7RGubzMlxiYFrHcbDtNF1nhVAtP2aZrii0IfUY5MLtC8zFMZ
GesT73y1k16NImA6HyMGu0Tb1Mc1rl+WtZ/TaMTTcx7kT6VWP9VVPTwGrkE7XhKeB9f8mGl99fvi
tiTi2wrTTba9z3400TyapzEPShPlEMV+ON8fr/XqfUxRVNwU0UDyXvpvTel+JJyDffNaHLuR3XXA
jjD1Dy8sqhDJ6h25VrtYcZaOKI5LeYfFpDFvLIQRHUNBkvtC3zd0fGmAnRyQ+fesY9Lj11Q3ne5k
VtNEpE7TPh0G+8zRHx6wKYePfUqXZsqR/HIeTXlYljJMdbnIrInIbiVhHswNyfikr8gqvdWB+A5e
BISm/GgZ2rvaCAJiT41z6sX0Z+1NL24WN90apBFqRrar7kx7siOzO8zEQIQ0ZkmJdDp0JKvlDkER
d7h7OnxOuFf7QvA0rOLnlYviAMVYJdWeE3lpYh2mSKH87Od5yFs6QLnA7b1FKl4ejsslMPgUY7n0
cLDCUuM8JN+ToX1dJvW6rMOYQRJxUoZfNGZIFCKKLOAVzdDZ/H2c3TXoaJGCt1yz2o9xLs31E/Ls
edYuIVo2lTEHPCLja+uSItOFT88DoR8kMRgXjbo2zlZZEWKF7CZm8mQs+kzO7OixmuRJW5o0aDA+
9w37WG2RpBOnFxSR48PEA6HfcnDUikNVFW7vmztlrdq1nn1dlFRpwrWX1o56mbeUPF+HNUS3dP8d
h8FNkCBFl/WkzyM5sdTX8hqHmh+V8F2GXBqeqvK+ExbJfVAtzyGb0Xsc6nR7GuRQguBwF/rC6dzm
Aya8eewgXBP5CjychjUG4OJcIhPVa9lBm2BvRzRtb3lZdZkPfYtpJdKQSFfkJ1EtO6lg/kTZpYfJ
Xt7PDYKSQjF1MH0WW/n5wm+w5Hnp7Niw60OLw6lQVd7M9F6PGFLacXrFOnYyGk3eXSRSitLxXHbq
Rzght2cU5Ieol1Mdd2uGYtlLvSBYwoZsTb3B40enpq+dp+I8oE7mSAis8mDBxDyxxUICEJu0q3CU
zTEeWHEC4VYy3iP3LTqPFHrDsl/KPIyr4VzFyAY3sZyyFWuFmPVPQThaVasJ+mXsPGkz4ThumPfU
02jdNZJZMOPDV3TQ1Tmf2KF34Muht37xSU0y2gTneI5wAHrFPTR5CDZEFoanyq9RWbcQ2TuWuth/
GHxzDT1c+y50V6wi/ymt6/cgLACcHBY/tAZDbPvr1R5pO0jT6rBt90F0UJ63m+abyU0Ha5bTv1+x
fw8d/OdXCn/9SmLVapk5XkkDS5F7HfwnRm0Ltvgt2P7PL/AbbJj4IkFzEVCKpq/2QDmPi60PYljA
KtI9FXIXePxZqeCo/mP14+8Cxv8EHvwGLhp4PSXhhlm0e1eeggoTzfu/f/d+73MC2fF3COY38A/w
AB0M9QbBtHiicIepH5Zs2RGTBdvI+u9f7feA439+K7e3+p9g9hawRBVsnA/qxuC9QgJGSto+9fR/
QLV+D3T559f5Dc8DVy123621uvFQdlRjAG17sp4Kwpu0CyZ3NNEK8a8o/0oI/6/vy/8uP839X6+K
4S//ha+/m9Yh+l2Mv/nyLzfye28G83P8r+3H/v5tv/6hvzwbhf/99lt+9RP4xf/3hfOP8eNXX+z0
KEf3MH327vFzmJrxl9+O/8TtO/9f//EPn7/8lmfXfv75jx8/lNS5HMZefh//ta58u3//+5rzi9F/
eJ7U7//Y31rO+Z8giaebuTCGKH7Dyf7Wco7+c3y9cegYiJEI9/eWc5/+Cb42ZIwifIWRjbf8e8u5
H/4JNj6KADQOHhPxEf+jlnMe/csV40PjTgI4sWG6BB75m5t8kJ2VGMz6E1aDjCbMoqGhXfJKluis
0/GUwzuJoUeOSc4hak99Xj+JJgguy1jpnUvU2Z+i8hAX4iiIFPlYa4QbNNChjZgyKjM3edPNLJUt
+1w0WVD6o94mwuZ0LSXfd8UKWQAf472DV/yAvzxCval+bMt1zOEmsGkUz7uIWmyv/sKzKWYSpxIL
cg9KJDnNyXE0w1vcqjJldRs/FyN2ECTuzVnSTk1OZwxhXQTvMtS9QR5tT/1CoKPXayUSdteSHjzZ
I8OeD1FaBbLJilkmqaqixKZhlDwTP1xSOL2adCzXr5gEgZiWBo081jw2/nBE4VCQlZYWuwXjGVAU
TPVKtWe/JncNWtV6zkBNOjGnfht97fBPD8C10M0Kko0UybFjpMpUty2/BAW+sFD16FutxmepqMos
Ohgu/QI1TNcVy45Fij4WSsNEJXuWVc6aTEKvmetg7aEwAQhDyBOy+UnG6hpzBXGPBrxUVgKgLOeh
uXh6vZPeQm40a28Ww/wcZMG1XKOnmQ/XkKAjuxTdEd3tz6xDi7HDYuAVGFtCz38DhO+fqpLh+QXN
HXX6Miz1Q5SYG88FLG2JifaLaLrD1BUBoNjyrV2nwypgkCxU/QXJ5m1al6tNO3C4qZTrR+eWE62V
h7A9cpji6kBpIbOOA5z2NcE3jvQ7Cr3bzF+XH0GbnFQffPWW9Wcvxj7z1ummT4oJmCiCRX09Pve9
DVM5LVGaxIvcT3UI0x8lHYKAp5sm8t6568N0kvZ57HvMeDLA2udKlbkVVMM8j+9IQloz3CoKu6XX
nfTSbktb8aE9dRvp5q1dfKCSUiwak0ZjTlwYupsSfueP6OqNucCsSSqar6bk96xLsGqrYkERuIWP
WUbygoRlSH/qq4zdo2xB7ZblS63sj5jKCyiJV1R8XLGvsv3cr3DPRkm0Wz0vOcY17BsmGNcr9MzN
GUAYzwonQ2xaGAlDMa+51MPZut5lgXbkdo4itaNl/J11rLzBEfTDOTlmoXSvdVJfSlZ+o2YOUrhs
w9T0AqDnWEIIIc7SITOXdRaWRQ4+GIL8M9J0vMfBB2DlBw9BwPWelvWtaiTebgdYHbvfHcj/w4rg
aegZVqDpIbmAY6kz5syRuHI80jY4WmlCoKnhsgsrDBNuKiE0VnDmJ0lykNzNOUNRElBfcwU3lc6G
H+tmIR/L0P7AvONlAZ2RFMoYOFGgCTPocRa/+cU87krrYLkBGrETFXyrQQIPAdwKufCGm0ku401X
stMwJVfFXZlOEdK8E1McJ9b4aVvYD6FioKHRFKfUFcc1GsN8VDPHIG+G3F/QqGooyJKGBcgvD248
P97PTXGZe/tTAZ2NWvJUuyYBOF/OWLo9gSdc7x9lCxQID6aB2CntY/bVX0qUUfnvPDJvksTQ1KL9
0ZtG4FmReZy79YlNzQsADZcbU/2QbfVaAdacq+RpKD2yt8IEaYB9FFai5N4E7kPy8mJUom9qO1qI
ztEvO/QJ2Y3euBwH3y8zVFDnbMBzA89JvNnlllC+HubGsBzH0DVsUdtUwdiPjmlX760GaOVJcTMw
EES8Lao7xhJ3Wee4zcVqDd6E6qnXC8NLoFhnXXlzXGgzZAgXX3K0XSNtF1qG760v2Juaykfpx7uZ
Gpp5+OTnHvhdFX5bJCxRvbjinn1bWfLk+9i6yy7CObTAw0KneMwW5JdmkbNfY42pBtPoOSGjynXr
X+Npdcigg/o1wX2cMjx3ojYeT6ZE9VUhg1NXoOeaM+89rsRtuO1WMZv8U1hBT+qVg0qFBeutkzH5
WTiCT4lPX6gzMg8GsDiAzu68RPq5z0dIlfzxlblWYFkJQnSUIiefYXk3Pv4wyd4qCfhG6EKdhcQt
Ga0hA4bHp7yGlXE3e110V/fYcKRQeTzNSM0B13PW1ZogwpYAh1U0Qx7h1en2wavkXnXwsLMxynC7
yMPc0QzVu3BrFeqECfIxMUteiPalivD8RJhynUH55iM9MnyAOfLcNUF55+Zu2teEHjjD9VUFeJ+q
Ut0zwsqdhEY/A9J0pbGdLnOkA+QQzBtOq+CogEDvVHTmQ0/1d1PAxiD8cM69qPuY7RLg6um8lAKk
HEv7WZIG+FWSkmq68NVc+fhMULkU4sHWjSpLinsTfy78NpA6FZyiW5DsUJHgR+KGtlUqXL3Dsd8D
Enf+/LGyeyPEC6IvjyUL86YITnOn3uK+xFl3XDzv4i/+wXTDviUYWLwnEjUPqo3jVNr5U+FKIDfW
+RcNE0bSVa8d0tgCW+6srzOUZyIyVh4CilKWRy7IeaxREJXAMpsSC+R4GH/MVdvlJkSQwLzwRw9V
CMAtLLrWO2AvkO6u8nUM+S6aMcKzjt6XEoVnJX8ONWCjKNW9uFFhC6jMALy1fdYAsE0Dd63Vrl6L
71qFAPIx3pbDS4jseHUuCxLhavkpJv84tLhR4WFF64Bdc4O/HdKmnNnouYjcPen650TSB1Sr3FVs
uJ9K9tRS8TqEGOj5t5AjRhTvb1jRvdc9e2E73LdriEp7ZHRWaicSeWq7huyMFTJVTZLGNnqUXH6l
+O/3dPg8elTmrOEvsUYUS2BHMISq+VKTJRcoex414MgK4D3QIUYFfIxTjQ8t6oFUdtjDof9UybL1
2rQ/Q8/LY1s/VQzHmTbIZfKaWyWCOe1RsZQsQBlabs82UHcc8lBad/cB1AgUjQzeUQMWdgUe0GGY
ta1/KtvwoOcffK2ORByqdr0dEFZoTbsfAKbiQQskR6QqxKfPsVuxZJfU/mcJRHs3KO9OQVqwb72u
O8c99HZ0FXUu4+LkjQi4HhDc+SCS5C0K7AC6rA529YSKzQFcWYYs6xJdHvFH60/fcFo3mQ9wUeni
oSmWMI1YAL3k1C/72rfRTV9FEJ6BbE8DLlyuVlllE6P6SKP+a2RAkED46p0agWRhVNsDhWsbcq5o
9z2Jh2dhcSQ8B50HIDlUkEbUN0sAxFC2Nx2ZXib1AC7lZVDd+7CC06LhOWmBwa8EdBIwySnk8uTm
lr2VywggiCDlAFHJX1jjKtyDHVCRHkWYJKouA8OtWRbhKxvDr5EFqGdq+SVRRmSRmG75mqAYGG1F
pClY3hstc0pdfFgmPWdNtUC9GlQQ1KIq5NAE/o+ITyUiIwBh+uhby4ImkDnu8XVPaAcLP/aKNQy/
j0105Nw+2059sYX/1a8SlEUV2BZE+TomSmemGPt0oULgb1lMqmMf4FDke7hw/Q7BQOWUd6xp07ik
6DePAHkBfJnwAXqPRVIdrcHwan2a9jaA0dVs50GJ4wyq0p8LtMgndPX2QKm3IyoavkCD9t775lO0
W4T/XOzbWoE2cmOVCVvZRxRK7uDsgIoWaoVd0flzZivPxxMMR8ei1wv36mszj0i5JkgoZ0jphDPC
7pTD/FzHPEoHjSclY82x1eXL0pQ9BhcfKKFCvAyBWzSFWhLMHti8tBuYe0lcD/Fi5d8azM97JI8H
GJJDmZVrhW6mvkCwqe2hiWLNLVubck9aUu7MMNU7QL8n7gV3s+xB4kYtBmEo4bKmbOJTNVUH/OHI
KAlWeYC35spKaAGaGXdsKOQX3s8+CCB/q6mmeIQFoE58LtYsMFSn8Ce/dVEd7DuqL43EiTRFwFup
Fjeoq4oz45brGCabEq750mvMUyo295UCZVoQe056NFjVVfIQm/jBd+WTEd4CVmwbXBoB+jN2dZ7I
9nX0wh81gzakm3yH9VPBBkNWstEaUx6NI92XCYgGfxHRaYirHnHI0WtcoQ7D2OJacylwQ3gT3tyN
sTFASo3rzr7ETcbRBnBYR61Jamb71pn6r/HX/yPg4/chjV9hIIdPc/uhPof/b3CPTZL03+MeB/nx
h+uH/FfcY/uxf+AenIW+T1EzRilhv8I9oDcEtEESxEaiQfkfuEf0py3fnSdhSOGnDre6NfBso/jz
H/3gT0kC8Sg0v5BvE0Aqf/wb9vMreOofcNUf9KTujdTj8Oc/smhDR/8BbgIAQNYN/OMM8jvE3iAG
+teIXKRQw4dAlvG0UEjP4OXEkcWIy0E0dWewLgyMYRiWAJZJ68HeWo5751mdjRTP4VC9y8RgzJG9
wtzmvaO+hWbQjUC0ots3qqBx79dLWPTQTbQN2JZwycMON2gD+ANPlepelOaA8xjUtFByN8YFpkoH
BQOFgKLhbY14besgzwETHzZKZNzBbTfx8GVcun0TkxJMGpgmHdXI0w3623IIngUl76NNkm1OvA9j
7AJ2Ar3es0q/wzta4rYqpguriL9XRivQmPGPKsZZGzsPc8dk4V3Tc41fzaJdGygQ2Ygv67zlzKsI
y6y5xn3FUjOOY4Z6BrrTa/ABGRuOSXkDSAdLeyCuyzyuGFuQ6WLIgtokV3yyub1JAnVfleT7JjLK
1FZxXzUfOE39VDYFxH9QMUCGVeyJtuQI2hvqcSj1+xr4jSTgY9wyOxy6M+bHAglZiVOPAQd7PA3+
iyooiP4Iuz+YlxEYg3eLyZccF0jQds5Xp2aJVqgOLdjvpXigYwOXV1G+e0ldI/ETnowZC0mGuQ5c
oEXql4c6PlDm8acXqKMl+tnCEVvI1mAtmsc7rPlm569gEdoII2brw3HS262xDbcDgI+lPFQzbVIB
87qL8DSeeCQguzcKWtoYg0e5rGpfNhb9e8Ftjeq1ncRwcQZVYfGRwoei3VLniM5p96xKzmipXHdo
CdjACuZtf6nL5xpyd2Q63UJMiOYpPeB4h4wP+MbXFWGmR5RodJnAZV0VQZIvXrUHXDGiY4A+VIwf
h6GDZHmqTvEqfqxxMZ3KMqzvhwp0fy9mdyazdfu1KyqcZWV8Rr8y5uQwqTPe+p9QmYm85RVHtbIM
wLcN5Q38LcjHXqPMWt9esDVraDcBOCB0LcZcO/co/uvCI9H6XejGfi7Yw+FqVHNe1CDvyzUY0iHy
v9oGip3Z4xg3ed3uZtjCstZnWAEiOmYeW24so/G+pDBZcj/w8qKAtRLqKz9fCDgoI6nIJgV1R78+
rzL20xrpndnQj89BM70Y3qLODgNG2sTAK1VLm93gFZcRBtcsHLCC9hqRYiAHsA81esjHCUhjxL0z
4dS7UTpieZSQ4QJEB8v98oJCgm4/k+oQMPMWdxO5hX73CTFGFwCcryVFkXYkE/SbODel4Ti3UHYh
Bd5nas1x/WGWnbCNtcwNOYoBoU4p2ZInmF1zyEsgBObQw0QNRndVCkzDyZBBOgFvz4C3T2yjRCLF
XcmCW9Sp3/VEt/uZ2zJP4MaN0GS2yV52nmS3STV/9sXwBE3flGP4wrwRQRJRO60eTOJuFqX8A58b
9H5jZEyRTUxue6ERvgNYifndmg8BEJQgSYIMykcAIxsO1W6IFNuwKbKhVHbDq5YNuVo3DKsDmDUB
1ELJ1KUByBUAUZX0ZwXsCxvwFTh9OlZWXjTqELI6oFArbJCZ28CzuC6inG6AGtmgtREYG2eCYt1O
9CmmSPYYIYAZs5nLt6ppkADLP9aw5lkyhN2pnqza9wM4zFn077KaAe/9AvRtkJ9AY1tugQJC3hUC
MPHemRlu1AYUKgVFJkhcuY99tM9qArwwALIIqhBf2XhCRex0YwPT43qcf2rgkT5wyQD4pEOVbNYD
sWwpAOZ+AzGR8SY3lO4wAN8c5xJAWTWfUIPz0UHVlTYbGFo5r4VuTn3RooXfH4gp95NXu0GobgNT
GyaifbEBrFEDiGeRD76HlmUgsCgaadJw9shpXde3YoNp618AW59fVmziXtkde8D5uQW2G43BEwPW
m4ClwMyHxSLR5KYAHiw2YFgAIZ47LLnlMj96QVxdbQIxIbHuaR702zogjL7aoOZ6A51pq1g21WBW
+AZJS2zHu2GDqSEHiy7VBl2bDcQmv8DZBfSwQWmBzm1gN1n4Ed0U7V6W5rndAPEFd31bFTiu/ACx
bEDNF+3uGqDo6JQmeJdIi7kcELvZwHYF1B3Y5COSmpEUtgHyi51hSVggaAaekVkHcW8ymzSe3Co2
RSKHzgbIPviBCDM20H6qaXTgKvwSOZZj090nGyUQFaO7JrIMcrm2UAls1AHaUBtAZKATYJMzUAYg
jU/aCtpK3r6JjX7YRKy9xtaBwmzcvGzg4P/bdTe6WGfdRmPoDvH2gclV4Udp12HDslLH+05MiPNr
GNvbjQ5pwYu4jSABnPsJqTSD0qNv8sHDJRJthArWdyhe8Mii4FrIRrrIsTljZ9G7hA8gZCL5RAa1
Cet1ktdlkEC9QiYox0DlmBoZmo2NbBqAoN5JwB+VQdw15AH8MAn84Yz1w3apPjse2+vE6h+CLP1V
rlCZdkK+CT26rJ6aOa8CpNqbgV6ngfQpFWXw03d6zYq2jQC3B6z5Dl+dRdlt0/b3DvoEwHBlUVX4
XkePQ0MizFmoJpZpT0YCQLCeGJBdOGsuZm5Dm7MW+mI6zXcduHscgxrPtRAlugBIomkI0y6Z6jSs
PWA/JtzxQr/jJkF5lcZ6VmPuz8KFvtelhGaD24e+6E5J1La5G3GD2QB5IiB8n9ewwHOj+2qV83Pt
YfUoAnmbdBEUXTG/L+PkoR/4HVJFKiQa0BeFXsdwWBH1oJpH4JJQU0uaz0aRDJRAiwcyfsXEKvBN
ENqn9bxCPNUm47EhgckmS94aWia7MhySh5CuNdQfEGDjAi+goVrUCWPeBIkT5Uh4jh0sRd15meVH
I1Zo+WYA90x8Brr4Ae/wbRs03ysEcC+q/KRr8hIj3A8Um/0GRPG1BY1zlAmMBRxl1qaxKJeplcmh
DZJpXYevaJfcG6TPxfSEZ2UejNcisMfRx+gED0ydGzYfOK6taOuA0bLZ+wxdPqUPRGAa7kVYZ9C+
bu2Y/dWf7rz1MihpDlhhkfdVl8dY4DKDqNGeINJ/D4l2uxnu0zDWN/3g9gYf2RiDkE76WxmefLx1
FnFFCc5bVWPK8t4CHNyIokCpM8KAcqrdsed4hIrkFfNRXhiKmPnVvI5Ra7OxDIEeoP4gDZfKINnM
0VQzqNQ8Ta+JkBjRqH1fBERbYVX8RN6VuOcI6tJlToG1gKvAPLIYfOhJORTnSAvonWL9RpPhzcXR
gv7x+AS8f0AjmftI/OG15f+HvTNrahzJ2vBfIeZehPblYiZivBsMuClT243CDbQka7N2y7/+e9LY
XWUwXV1jXdQ3MVx0RxTmpJzKPOv7ntPc10XU9C1woQWwp16ztmkIXpOGlKUtDinIZQdIUKBjGRXg
+s5Kpk8dRdi+m5BbdBo8M557PSaHNA+NapK3STuwEspWbaQCc6cZyropVl8LL74FJezOAfsQj5gm
WJ4qzUcbYzWmW8sHuaaasrK1x7AhDcN2FCPCGqVHPMbsO18N+7LqaUPDJ6ekJUVyrQSbgZHKxYNU
x2RrjPIGdJNOsVIHY6U86oZ5ty4ybbZKKNTgkkXeBA1NR4FMsqbbVrnVrCSaBAwRs0W9SGkXmi3f
qXEwby1t7GQx3RxVowKN08xlupkMMnpf4vzcpFJU9hrJnJormvZoJAl38ef/4nDi0vfj8EGaeBcL
f7k+EYnzh4dI3Lhk3IWYva0phr5r5XFAIBiXik18roNCgP+nEaMnKSUywm35EuwTVR0AVI5NDQhx
h0hcvmRYqKlQI1DJfxnOzwTixPuvAnFbDNYxVAYL0DcYQpYAKHwPjXHsYK1o0nYSrRtAAdb2qrL9
0homcWENHYf+rFsGLIHcrdWZlFY0f2nFAO6oDql6yPADXdGwSPa3BQh+KbuyW9npg8SldBBuhsQv
MzcvITba1ddyRf1EUpgL6buq1cdM3qpMNwEARwUFFDJhUhVdVbJnXFWGpV+ZugZPTqNnnBXR3yZa
l9ylRL1de9FEq9cBdSD1s5Lb6ZXHnL2P3MF8xABiijBpFPRIpSZjN9HHQU6QQoKkBI0Q3Dj1prxu
jMC8D22SecSKoyYuTJo/1omNZXNLb+ysiy0TGEMHAoWRgO/KVnX+yScIGhZqKwUjW0EwkxGj/Cpf
N/VkzXiERWXQ2RlGSRpuHNCnqj3atEmj0teEJDuVJwnEt6TITE4MWvjm+VNUFPrYsYxFpUrpSJfi
T8FWBifaKkPLa77maovvnbvStJCjrFfrFMzzklAtSykZBlTfAPONLF8a04S57q+kcNQoLoXZhm6W
/kSp2y8plz3LaViFk0AbRQt5anlTqsWwzc1rqaEWkRbuHxuX6CajTmIQINMxA0ZK4N47TnAnR/k0
dlbusIqJ7ltqyT3XTj4naaEFw7RkonOSGOmIPEU49+qGDlu6tXpwiswfMBnRHZBM3gw37cZ4qKq4
Gdb03m57GvxDTHnFrpghI+ssd0HTgEfVjyuSMLZD9LUJr0Po+PQzwoVkyAmVlLCiA/MuTxKAFUFl
Vn3XD1cjCCZwghqNz9h2LjFkyKAakAa/uaFDeL1SguuQSYzTbWbE82wrWbeWvC0/SKkK1kbJ5QGz
LXmvG0We+biQgyTflovUyepRDNJe4EFz4FykA5pUzQDoGx+stTpyAf5GCQ1y3WDOxIr2psl1+Xbl
idO9Vr1mXFiRNQo2IN/dVUSV3cofyzwx6TsElSTPAJPYq4fWtpZ2ULikgqKyHxXZpxSsDT2fMV86
kxlUmY5kwVCype18LUUB7WWspeuSYkoqFTaUEWvQJhyDmoEOS2+Vf6Z5VUV7+ML+lKQh1eMApofI
yhIdDNabNFh4aqT1cz2gpBkRRHocVrwSXVW+0HtDfiFa/pRZ+K/EpQk1+b5d6C0fL26Jqd+aBfF3
B7NgXmoyzRoskrNkWkUH1G9mwZFBWhHSakz2EZiwvVlQlUtarpOglbHrNHkQFmNvFlQsBp3Y+Vd7
Z2XMn7IL+q4NxvcJWhOjBILWtHSFZyRLe2wXIjDYmVl58ZVcuoNSnSuuOoeiPFSr9SjHzYLLQpED
1WxV8zh/9iJtBvZxWsnagw3wYeAbf6hFOwH6P3eDaKJEqwFpZ2gZkCli/d710n4cAjujG03QbK+2
wMYTpZqBiu6FGd1e6U2nRfUtUMjeNvxdLzUuTXnna8yuTvMpSUo6e2b1bbQxAeAyl1epHkrpUafM
lIb41Alkzzqkt0xw46k1AT4FNtUmQbzGGGz9Fti1S/10Jcn3hqTMqM/d0ZwfsGEzC91oAZ3jdyA3
8HWjjTTwVt6s3tYhmpdp9HRsuIuoTva3sCe0Is0maz1Z1q5FbTXmQ4EjiR6W+qdMq0Ckx/oHRvcN
01X2VbVI0bk4X6YMH2QD8anWGhqz4OtZMpk+o/H7rWQbPfpxicE+11bdxgNIndTcCvNTY4gCbx4+
eBmU1DAunmAh9UA9DCLPJL7WKS2uN2ua/mj0jZeJdSR1WlrOk5lmY0YwhFBsGGipEBNTpltUQYqm
wIzVzi3og2FhaL/JRtH2Td7Fyo7LYemGQ2OVi2p6IcHlaYK+nqyWCbnWcV4609Jt5ranUNBWwCDs
Op3b0rVJ1FOUzZCU1VhuTWts65BXG94aCP6bIFphypwH3REJ3+Iht0p4q07fa22miq4NaOgB7m3i
fc4Cr+jXVbRMSnvgJjFMrba42xTuk12pI0OTR20iCc92mbufY73+yJy0Qc0XGOgMgZGgVRRgHIaq
r31iXua6V8Xq9Zb/J4Gb9JQVz+G71KWd1IRMa23m2yyb85KvCjYqiO2UzDVxPBOFEicFDClOVuSN
Sb2OMUOgEz3thvZlk40a3YQxQySkYuJvGO1QlW3PpGRPM/IRqKOR0ppTBjxPawVmSh6E/dCSprbu
lf20ImWzyc1+2JazQPWmjkkewXWMXg15IfTy+9zIhquAJpuWqsGATUdUTYYmHtEKeyHAdsx079fh
NEoUEnFkSaovq0yC25EOGi+7xk0D7DbxCMnbvB4B8exXCQzO2rlLLSp8VTnKS3lQZcHCJvXQ+NKd
F7n9VbUdrhjvrPmf0Qwz4J5DyapvEpo15a29kJtMAKwGqWRRxnQHVCaeNZ9E6Db8DMWSds31WHBE
Qj2bNaWW9grR88c3HsySXI1Jx+hCGayLclxVGV8Eqg4ksRzMW5z/BoMbqHRQXNeS05OczdTSw4+w
WB5E+zHO9Fi1JXr5WT1Z9wdhaNNmn4fAU/GtdOTKwEeKz43yWJdLz3KvVE8B4bd1J1aBuVxR1lFN
+taY4T2YPdVpp5Jffg5d3CFG/9Zp9Ae8n/422dg9xl700lU+cTxYGN5N7m/uvRWHidFTOecTT8df
Sz2TKbXwF5+ctBiWYYRS/BBDQHaf1S0OpKHkI9sO7kvd/hpSpQH8LY/ddX1XQOYbCOpduqFbrC8D
/zECbSDl9tfGhdmjefWMyWhfQj24T7IsH9TojXYzrJQvVtJSSDDmsuZNZIt2pPBdwuTJykFoWDMn
qkYJJLzMKUZkdWSyWsZn0Xqq5fWIZvESgLuWFIoVP0dMaQcE+rCpyrGl0yBZkf8oHeof7npGWvaj
kSr3oYDUDZ31g7mNhqYikYYFaRCTwI/x7Y38KpDGsR79nlhZz7P4yl7rDU3d7a/daLrVqfdIcngl
1ZtRTgORcsswAbBU0jrq6dAzmCcwrDQLlzKNFm4CU7mqVn6P5r1090kHXhnPctucb3Spb6zQ/8AR
jNW0stfXSZWAp5MB/0ipGBtznVFDquoQSl3ye2B5wDDNoVemfe41b2Wb9RsSwVnBzShK0P911Lc3
+hfdjczeyr0D2AEoMr0tJHOsxfpTHMkTxS1w2sq55owjsh29jYXaeco1goEomzHTsldJ3lVTxleN
nH2Q1fo6grC/4/9TPoVb1ji9QpGvNFfz+lFbjuzCo7il3tVeMyR5ALeQ0kM4o3vbMmEIcWjZo9KO
ZtuontTr1hqmzlUWb++tjQcvaT8e9P+DY7Z/xpOMgRdOw55PsCseL+iN9opz8Lc+dChOi2XeCjqi
IDwStZaC0OAFafK9ywYk5JWXt5O0oz/8lYRoyRNXT7AbYAvo5J0J8Cmcix8ERiQNDr+W7Uua4Jiq
Kjoc409+tzdvH/ot4+I/+8zRo/+Af2G+9nPf2YFXYr7tgKpe4sOSW6PYv/tB4NEO6JcKeQyLzMOv
uQOCFnLk6f/0DiiXlgWQTdb0lx3gi77aAcPE39cUaAwvR+SXPAmvM2E/vQ8ysYsMHEUTYHLx82of
zEsVYAO4APvw619yH14jc352HxTnUmU2oqpZNP7av/BX54FOYCYJwZe798vpBNFo+bwbIV/KusFI
HuLfw6s+2gHjUhOD0gh0f02dYJ+7Awp6n1SrzXl/2YDXWtG4hEaI/RF0tV/xFhiveXk/ewtIVxgQ
72ibDhTt1C0gO+KotinrP2EZ/8ZV+dN56PtB9LTzLYLn4jtG4w8/cPAs3grYG9bp0z//IVyHow8K
tuOL6G/sx38dWc2d8f/ulwdnYLfO/s/3X/Dt0kdrHb7V4R8nwXO+zB/9dveLdv+YAhD5z3+INBUl
jGp55PlIApnHDUQhHxyik3TNP9XAXy0xCJ6Tix7/OYgSG/RtBQFZfJ8Q+rdWmCyrCzCRiXcQ9f0K
ijA0564gEDIXc796PIg6WsEG3XjuCpP0gtd6cSMW6kOyPUg8WkigOM9dCOAoKy2rg6TjBTp43/0l
rFw/PS0fb+rcLzBZXnB2D3KOHx+1dK74wTK8uMVHP0g6XgDNf+4CPfGKIQP6B1FHK5C3PXuF37jO
3psM9OHKKWYHx7W3vLgPltLHSlRA3zlMRgenVbyN2TI87MnRVhmdHCZwSqeld7JLjxfXp1WrIkzo
uUdpIVTrG81nUVqje+P54r8IxX0KZy6ConOffadSZ68uGqkRxrvronh+pk1YVC1Pv7sJB2Hi8OwX
6GBzFvnyQnyHE9I7OPfCJKNFxfudVM8n1uhATYBcQBNN0uVb8cLHP/sN+FiaW0+8h4Owb29ApFY6
WUBo04Oo78R3cbmW7Rsd+nJ8jA5Uwwd6V8xO7XwHV+tD+njB8Ty2YftH78DdejEvi/xIb+7Fd3Bz
99bLO6V4ujApe/nHLsT+8Tu4VS/iTx9Ls4NrhRd6gWJ+e+bNDq6UEP7Kd3vZGbODC7WLNd7ZmA5O
/a3nP1/8+9TGdHDm8Tjf+Gz7nengyAszePrROzBUsyWhxanLJJK75+rgmfA00WUHSd9UcBeO7Ezs
+kkXQeAVzn32v24fdKb/cS1M9xvX7OXIiCGlZz/8+8bb6uAyTYRjf1LNWB3cJnwOMgKnDLfVwW2a
4HfMfXGlXgfS++3v4NyLNQaMQT8KE/fiOzAixLiLk/sjUo/nHh2Ev3MwBRf0XOmI/gty6pm36keI
2y7E357SlXYHinggEhfvnkpRADt37/uo+t5Jv8/p4Nz0lxc3x6H+y4F3OvANhDZ4m4fcy+9AXe7k
492kj4dd/mapnA5O/U7+OwrB6UBj9rAmi/z5xMN3cDB/gFc881IJ6bPguTrx7B0ceSH9tDajsHBY
8j9PXv/7PSNuyD88laey9X/W+N/m8A/1/VN/dlygEJ94jJ6X+b/+DwAA//8=</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7HvJjt1IluWvCFo3PWweEhkJtJFv8HmUS/IN4ZM4mxlpnH+gF73pT6hadqF2vaxl1I/Un/R1KaSQ
lJGRiOxsoBNdgiDByWf2jHZ5zz3nXPM/Ps5/eKyf77tXc1Pb8IfH+cfXed/7P/zwQ3jMn5v7cNAU
j50L7kN/8OiaH9yHD8Xj8w9P3f1U2OwHgjD74TG/7/rn+fWf/gizZc/uxD3e94Wzl8Nzt1w9h6Hu
w2/c+9Vbr+6fmsImRei74rHHP76+yX/65+KV+elfbf761bPti365Wfzzj6+/+eDrVz98P92fffWr
GlbXD08wlqADjpjCDHP08Q9+/ap2Nvv5NkbigGqiBGJw49OXnt03MPAmv4fFFL+9lo8ruX966p5D
gOf5+P83Q79Z+jd3Ht1g+5fNy2Aff3x9Wzz39r55/aoILv50K3YvD3B79vGJf/h24//0x+8uwB58
d+Wr2Hy/YX/t1p+F5uSnf3Kv4vvi8xb9HeJCDqjgiCgq9cc/6ru4sAOMiZJC6c9f+ikuJ/d/dSW/
HpUvA7+LyZfr/1AR2f/0T69u/v1//vbr+ftSBasDorRSSLJfDwk/kFQSDmH5NiT7+1c3f1OifBn4
XUi+XP+HCsn7n/7FAnz9898zS/CBlIJrRH8OCSTDN+jFDrjQiFBMP4Pb1xj2/hkW9NtZ++u58mXg
d4H5cv0fKjBnWf4f//bfXv1X+/m1/T+HL6wPCBWCUCl+vaywA824kBh9lyuwlue/spJfD8mXgd+F
5Mv1f6iQQHW1+av9T//r/u8XEyj1iHFJBUWf8Ov7ZOEHFGvCGP0uJj8vxv3mWn49Kl8N/S4uX935
h4oMVNlX//4//uPf/vvfs7RAaIhAnFPKfz004oBA2UEcqU/3P78Vn2r+y5qSv6nC/DLyu/D8cuP/
6ej8pcV9TY+/+czvpMeYHjBCqWbkE4yh7+kxcAIOOAcV5tuQfOGrf3klv54xXwZ+s+z/6wT4L5Pj
L+ohue/vNx9lx1f8+LfvfnxE0EPfDf0t9fJpvw6ffnyNEdcc6vpXIXuZ5xsVYu4fX50Uz8Pnzf92
3PN96D/OcwAC5mUqIiSXCkI1PX++QyhhWmHg0Yy/BNG6rs9/fK0PBJUMCDhWEHqhqHj9Krjh0y2E
tX55JyBnJSNYf9F9F65eMme/bMrPP7+yQ3PhCtuHH19TLF+/8p8+97JaqRTMQ5CmUA+ZZBjDN/nH
+ysQl/Bx/F+ynk587uywX+pwLPOGqUSWmiXpEBEZd75ZkZF8GZVpV7vullW1J6qYxWUA3WYC1fKc
+twmqqRnrahCt6mCcLEI0a6hpU/4EtLSWOR743qldtFQFbdN/a4aFm3aJiPXebWcclatJlclux3q
sS6Nr9cyifKIPcl54TFb/XFGq9s69Zc+iPd0me9c5N7iMpyXU79xyJ6WOTsqZLYfmKs2GbanU8bO
UEWSEZed8U167kMRZ84ZmVebKKqOIudnQ3zz3Fe8jdcZEcNtf5Gy+Z768qGi1JuWdydYttigbPyQ
YjcZjrrRtOnQGh3UW163w2YoxFY3UcxyQpJCoJhHxWxsR4ZN1+nLlTTHIeex8+NowhLFWSTf1bKL
Z4nPZ9jPgOmlp/I9tdHOVSs3qR4vAtNxbZvzvhB3OGvfYI9O3DJucyv3fT5cjNNyE7L2XeVo3NTu
jZvHN2TqzxzPo10fCNopNCsTtcO96xob476sjqnkDw0ddgNb3/Kgj8m43LXNYI0smvd1jvY66rCp
IiROrat8TGR3tMzpndej3zCpjtPMXVZD8AaXSsahbKq9yjrkEzVUbh/5sGN9tpvKTsQ5qo5UnvrY
FXIaEyZdZOYSV4Ysk9haX+xp71zSVwRUOFu23VBBcMtDJMtLtfrJZC0r4pTKsxYTl4y1Og5LZk1X
5m+GaOUxttloSt6TJPgxdv0epbCnbW3EWE2Jtu1q5DrORqd433VTHfe+fO9018esrwrDCnceIpKb
AVhhxqONUNFzuchDrdhFOtrjhnsV+3k9Q8tUxTMbKuMJhmlw/bZdxJtFqRhHfWa0HI+CLwoIubjS
C5tNQXqVENXcRxRvR5QHo5WMjEaZM0E1p96lj37oalMN03mn6X4IzfU4DcNxNUd2V4z+jQ2CGboK
bEbf7gWRducgvxJWlsU2tVicpasOZzp12xGPS9zoxhkytWQbReopnZDf5C6tDF5aa/qKPqLOnYRK
1cYXzc0c+XerGthG8/JNNLfnxZoyo1m1GJaLD0Ndsl0pwlEol3uFl0OPo2dNRX+ccpue8pHFaETc
cK0aY8mUZqYdJEzNu3wDnlJS9eNb62vIMerOmhXQceOKnJqOp3fLlLPYS7ZhpDkbsrQ8G5EcY6Af
6b0XkbvgtqoPqWvbrVCQDYAg3a20ujC0wSFeOrfEiEHsx7yI9RQXZzoq71jTneNq2GYFOp2ZQSvg
VB11F0PWn1Jdr7HO6MPCo8tqDYeSrziZV91t4THyU1ZFLrGDTreqLPdszut40ZGPgS/BO+SyOyJX
FkdTmSdlvbhDbgd8mpP0psNjOO5Diwzl3bEYmugoYrKPq3XFuyiM+2IK9+uMeTITRgxr6Qc6jWXM
1xEneV8TUwZRxSqnfFM5f2fHRm31MOPtzFKj4E3/2n/6pgA8Or90RZb/7P19+fFPp58NxY+e1C/X
X9zDX366cQ38/f4jL4X6y2d+cbVeKuMXi+u7cvvJgPwLtfg3b/6uQg117Yv1+OeFGqT2Tff8K3Ua
hn2u0+JAapAoSkgNFZaQX+q0OEBEchAvkiImFAiUn+s0RgcUeDHTcFVrBj7mV3VaKqIU5ITA8HaD
C/B76jR+oXrf1WkK/g+XDFahqEJATL6u030T5ekYBbKvec/vaCQWFGe2xLtynurJBBvmuI+6aGen
Zd043K1X2ciG47QbAevqrHOJGlG2C4Tgk2Xt977z/JQFXjygLkgD2VHt6kDLWKqu5UkvqvyyB6yK
+1UBlLCi3aGBongpuL4oi7Lf52v1nNKIJTlhZVxNuEyUIJuq9pU3dV7Pd5nPsz3mrjsVeAVgiCgA
aZSrySXIqf7Id/3pLC2wgSzz74WX6DCd+jyWUY67jY2c26c9/Bzpeqg3q64vSOaaY4RyKOmW9PhS
5310EqztOjMqN75rwswSNvM3mZDqjLoyO5zXbEl6QI0pXkWqEyZIZHDe7xwAuVGuGAzGSierzC5x
52f4tnlIRKYENxGbs8uORfKDHLO7XuIodmw6aieMTO0yuUd6oIldsyK2CrebWcvofIpGNJiQegeI
OghrTQYIiQzvIvhsnaa5aXQug4kI49c1xN0l9YRta/IoLNQ0EunO0Nz5zri850WCwuQ3KtAqmCAn
/eE/QeEje1e/CQoJNBpenf1iwP3C3l/GfUYFecClxIRDklMsXhL8M3sHvOAIWhQKY04oY7+gAj7g
imAAEYYlxoz8wt4BMLjU4BkygTUM1+r3oILQsLBvUYFymEVhDXIBUY3Rt6igOQcHMuvl3vczSVKt
HpuOWKiTdTINYTOIqdv6tUlSgS+DaE6w92g394GZlkTP3cp8rCqVmgW6PVmtp6Rsc7arXFfsGihm
Oz65Mi7U8GblQ3u9NlZsWF/XZl6Bz889XxPdiSXRnjhgXoRB5WWnusnYLtA2N92Qn+BSXLhuPS2b
7Dzj61VKOkAblp3IuUwymqRXq5yvx2auk6DbBbg8Ls24LpugQ5dg2d0UciyB9VVLUkWUmaJdCmB7
st8KPJ9bWr/zRXmh8+G6nJCMARuOyTJeDy2eIH3q01Y2u7XV29wthzltysikHb7JLX7T0/RdAZi7
tzU6Xbr5zHUTjjMSPRWayQ1p+zL265qb3qNnjNwhHoCESNpsmyb1u975o1GiPrZD6Ha1W5e4Btgx
68xb42QWD3SIa+oyk6ps13Mbz664Wxd1KOp5NNjnt/08z2bC8MTVLMtYDKXdOoXeOe63BefnTejP
WMM30SjPUUnqWCAdt7MbzFzbpJw6IIbtGjdq2tYycnGlx51WLTE2ZbdFaO5K2Z9mIDFczd6vlDvT
Op8nab7usqU4Rz2SxtYTNS07bYtDOojVDEXUmWZGj5lrH6ooOofHgc2oxHHZkDaZGJ52pPV2E+Vz
lZBsXeO2zDesxm7fqSkDVsiFabtSHBVIbqqJHY811Yd9mk6bwpbkThe8uRkXLx6gesBjO9U+edHO
MCjbpnqqDnMMtLqMfFJK4xmPS7kbUd0m8xAiM+XNYHrKFyPq0e7XFq9x108t4DDKoQS9AClRvfG2
vp1XG+u5Gg2K0jhtyw+a68NhmWrTz3VjWp2fOVQ28arKY62zwXR0Gkymhjsl2ouV48jIaZ7jsDgP
QsE/WdJN8TiGHDg+y+PV2svC4UPfD6khejyZ+LItAyqMC3lvFjEl3rLcpFO5c4y2ccOKk9azNhnm
sYuDEGucEnbH1dyaxWfw1KJ5Q9FwCa0HGqeoBpnRlnHPyqu6U5GpZ0o2bijepyq/6n03GLvmj+U6
73tb3LTldFdkTWZ8Oxy1XV8b16nEs35vJeg1i3XSNDqOKsjvCGiw84kf+0McHQWMnlXEXJyXaj9j
XCSjxSD6p6VJMA1P0zidlpXK4ta71QQBFQ/4SmPYYvd2gbSMcjmafs2f22J4y0X25GW3oS3f9k26
JTXeTln3bpT8OqLzfQr4acC9f5OrYsNW8Vxj9GDteiG5jseuP6RT0cbAcKttNqLrdHJdzJl4mNlc
xyEtIrOk4zs0y3UrfFluIdcPCzIU2846scMufZu58i2vonk/5MOcgPPxjDIQ7qIOTTzYm24IRoT6
2Lo+hv45qMW5TbKIblXbZlteiIuUlLXRU0PNvLT62M7FmUeWmCwsh4Urbgs7vRVabMcaJ1XwQ8wH
AJy0yB4LTLRJ89qQDsEroIZrXYarianWtAtA2byyN9jBg06hdocVtJdM78Y1EZ0689Nykq80OwJS
OZgSWR7nhGaHIy7uEW4saNv82uXpPujybc7XbAc5rDb9sCyxAy5qZKQuMOl90sr0UM+63C8SMFxb
0m4aHR4VkcO259If6rG5KgPe2KylMc/CYVEjvgWJBRjqljVZCPDKRdrbCelTVruLrF9OqMRpYpcu
AwalrcG1vC1leiVC5k00Qo4s1j4ukUbiOLOVLw/nQaQmnacnniFqeFq0CXf9suEgxmEv24cat6PJ
LAevhfGTnpE3ZV0e5WNZQlWaNkxM+6GqjqUQMe7KR+DBGyvcw8jQhnY6xACcp3VbQzkqRYwUlEIx
XKAVdP1UN2f5zO91hne1XYaYRhKYV7+JSpJAJaSbtcHbkGtTFNM5z+RhW48PILTvdGeneEH4eZXr
c8XYlZirMzTRyrCQmjmbL1zKEsyiXQpYSwEujKUhDu1sTVPPz2M9XhOmTCDDWa8XcE7aUz3Ifbra
k3Wh1iibfsiaZtu16qxQ7SGTUJ9mmmTjeFtN6dtFDIchnY64DKczBQ+j7sQGUvne4uGq7MP7DhVn
YJrcdR0+KjN8PfjpncirIe6COix8O5mW5hs3jodjKU5dmV5SslYm9ONxXuRHYLJdjfBMS1cfLkgk
PZV5HMIaL5i9mfAAPMAf5brd95mNS+t3gtLz3LFE1PZiydbzStnNOka3QVfHIdOblQEDb3q9TwnZ
9CXdLB0pwE5b3zayOMwwg7rfXOnQ3kdgLsI3vU8zksa4zva6sXuH9ZtizQ9XTRJf2aPMgu5XXEGB
zBIaUrAW3T6I6GmsKguFYd4WYUi6JRyPPGzHSZ1XbbRZ++JsEi1MXV1ABUjaiO/mYrkqUfPidJ2l
Kd1S3G1xUX4op7YxUb3sZkfOI20veUpOspRUsOho2qUj2a5FAIaSI2Mz8DfGIlxWCBIrt641g7fX
5bA8+2Fs996211XR+gSO+Pitxg2LMZxrScqC3AIYn9plASRl5TZlTpi5ne6sxwGwL2yErpK2ZR9q
G+WGDlAMrctp4vtijQECTkSO8hgBHhmhe2ysggpBaSPA8pLnqR6abVHXzKg1mzepcvVGDl0Zt8PY
b4muhosZKvAsMDkf6TDtc9YsxnusrtZi6M1AnT7RkEyu7K4KSsROL6Xc+KIGEtPVKGYFHvZrh04G
pNy2m9i+WpsziifAH9UPp/PQ76OIr9toVSopSL1d7JyZbuoWQPcubipyNoX0MJrTzqiKejMDoTYk
SAI0a95w785htkTCtqgOg98571YvzkrGr7qy04as2JmqARAGTXmdFjM3oh1pMnaAJY17lq59P0RZ
SDJUZIC32SGc6nmYmm7coZWmSYqCBDHMs/cImNNbPSxoO3qIJhi0HbBQf7XoIPZiat622Gd7Vren
xZI9FX587+aiPKk9T01VgxbOvTjXPIp2nR+fKscq8B8j2PQuVRugfrwwc5Fmd0vtlFkGCQRALeUW
RAJOxnTu3uIOlUc9rbsrpkK2tVPpzvzce8PAHzZM0CYWLY1i0jc+CQrccW/L0zmCQlXpBjhFVxmJ
hgJKFdXvPFfVLkrt5ZIJSPouV2BWtUCUcmnB8Jzug8rtRUYXl/A2j+L/VIwfFSP7TcV4AwltX10O
9zb7cyvpZehn0cgPwBl8cX8YYkQL8Go+i0Z2oBgUP4S44iDa+BfRSMiB0BhL/eI0YSI03Pq55UPw
AQOxqOA2BjMAxOjvEo3oRRR+3fIR0JRBAqQpNNulpAz8rK+tJBFsC6iW1UdVEw3wAgN5L9IehEfD
UWxrtZpqUm9DNZ2NTt/VVZHt7AJmCE2nyQwjuUvF+A739ckEojTOfH2T4+HDXKyXJBckjrrhiKTd
HI8OoavCrW4zlrUyrFmXK+JzBz0JKMBaL1dF40qTNjTdiMyvsSQjCIeqXk/p0C+J6quz3OfvQ+5h
zES1YTgqd/Xswq61c9jruX4/DORmiaIm1lK3u0bRk7nkHfjqL0pxyitjy+6BVA7vx6HlgAVS7Mu0
vnTgBJoscmgzc/RQIL8dyuIJI0p2tbK1oW4ZTMPnJqFDRmNoifA9jvQSe6TeMFrupmZwJzxtvWky
pQw0ORCIhxUDQ5+Ponx6oEPVxX3QyDR5K+KJyiGGftR7OtviWPnydsGj3U7R8M7p2W39bE/GEuTg
6sHFnpc8bIMrDlEp9nkjj9YArndw/onmD/lQgdIb3lI+g3MkbBT305AlUeMXEwlytDLxFvpuzXWD
GaBxS+7EhI9ZrR7ATCDxOK2X3ONEzeiky6B34xDfQY0MBnpLh6PMyk3PxJFAYl9P8z0m2fNE2HWd
gkILSrcnQk4MYuGe20bbY40m2O+l2apFQdsFcNJEPH0/eWdNgdLTirnaWN5lsSs1rLKT0THDChow
8Ig8W1UsU0JBIeEWNrC9oi3OTN8SZHSdQ9TGJ1Tyi2HqdtXCHrICYu2y4hQ1vEuCBXbZjEAlm7If
DONptVF9HkGRA29iEemUTK45kW6yJ5bSS15PIQbB98x6dcvH+nEuMr0tGPrgCEIJsR8BWA4msgJ2
oRork1oCDBhYFS3TixRe5lz0Z6j7sDK1yTNykocKJMvS7Kmy92LBh6CYskM3Qm9vQFN5VK+tA1mQ
hzjTU5FUqpCbhWBgMQU99v0K/chxOKsKfu4CvCG2rTddC9KPiV7ep0KB9mzxVTPIKi7X/gNZe/Aj
GrRlg03jqqO3dgadxq27+cgJ56o9qmh67EGE7vNCFAmp7HkjafYQcow2ra3f9hk5Kyu8T9G0vJsK
0WxSXDVAizw9asS4xkOVZpsIteAULOF86qCjgcBIgBfzwft0BvJRA9FTm3YVu2EG36DDlzwiGwT0
zMxD9a5h3U1G+IkcVA92bQPtvxqafnlZ59s2Y0CVSTufBFQ/TGn51s56uG3TOovl5B+LrkCJFSBi
wVx9o1uQm0ANj4bIQqOTBWKgb7a8SaljsePqMm2y7NqBA2/qqBCbnLsBfF7S7mmDckOiGrp2fQPi
B3zxWM2r2jbdjDd4gaZXmbfVVmTZjSygc0udWPa+bMVG9/lVOU7O0HouN6Ps2jijujylq4Km7Jp9
ULmr7nNZfsi7QW9kUY4nqKEqca3KNqEB82HKJmIWYKhHNdHhckURMMu8nUB/gzlXeU/iMOYuWfvA
geBBb3Fds7uB+WbT+17FgZEAVCMAZ5/nJZaVDDGwdG/yXudJNYEULOiYhJ48cZVB3nX22ur6JMso
HAbIn6IldCeECWgMRuW8xawfLkdeH/MWVDAsGHqFCshBQ3WRKMSxUcSe2zRVO1HWNKmzaZ/aAO8E
PRWyp9BJXUQ8Bn2pUfqCvBoDwaRg8S3KmaW+4m11CK39IzuLpwLkpYFUe25VOOJOvNcZu+tFpOMu
H+HMOfowMZJtSin9ZiyGPV2m02UW5XGzeLXDE6gWH4VTsC2eAjDzfgarp+rLxayYP/CsnmNbgBUu
Owdrk03c0l4DlttgVsebDZmaZpO3TbMjtBWGqxFeLK93WTFBCzEfnsS6XpasKpMhWuqYoOkpFOOL
KZIdR3JNN/PaQPveAwzYqn8PalMnPec7VHfvGzQ+iGYsTDvjDtqq+SWqFTzbeiKL5VCHPsnbniWt
ra6B4eWmaqsUDLv+0DJ90eUTKKilPR96DpYILRLQz+jlM2dQJT3kd+ljQKhyq5S/JCHKNplCC3i1
4rKEnZkmXRrt2gjMq+yq67s7yfyHUs6PBI4UJIFjGw+oHmPh7C3g0t6F5l64ZYIVRFsbqisSLDdZ
kfGtk8sbkhZPLz5dLOkwJkPf5JvJg2u1lqwz61TIJBf5uZD1HcrWK+ThtRazv4pGDgcbsALTKAMV
Mdad20zVeFvnUgP3dymc9JjW3QrnOGwHv2NQp9crXXaqH/FmiMAbJDW68VBlE8gptsFpdRl40+/y
VDambjQYPwu0Tl1l+zjkwoMucqNpKvzS3IUmt7T+RAX5OA3axa0Gc4IPt7jqfCLyZk9EdpvKcgX5
n95w2TTJMIQpmaPmIV9rtNFlFG7BHAbfrfLEaLISU4kc/vEI/ElHL6VoU+NVi5J8XLaeaB2Tkdpd
2bpxyxd+1I+gsQqxXpW1iwnoH9P1yxHRSBklQ7OrAWAMaeoQQxOqNSscc4ibUXlTMejStXrKTVlD
O9/XkIo67Q2fz3K7Vsky4yaJLNGbRrK3ntEbPioaY7y+hYMoMRzA2HRLGWdrB7q1xldRCjOwJkOG
pGASF8U15hGkwqK3ngKlaKftMNTpaQp1IBYiuurhbE+yhBnM69xBr3BZJ6OXuj8EzS82YA1u2il/
28HvhBRz8YbS4VCKZZtF2a3DfbuzDQYNg2u3bXABPi/uh23N8RsoHMWW0lHtWdNeqgHeQ6hcWayY
KzaKDBbOQER7+ZKIwwzHGuAckzfdOiyAHOIO1G1rxkWBJT76PsZuvEhDVcdU59lujUZo5k/g2hd1
gcG+Xm/Bcb6PZBSZisAJm/9flM03J/a+lifwOwEf9+DT76j8WW/8y5G/X86+fRzxWcvoAwbChDPo
NEF/6eV82GctQw5AQQg4OKaRBuEC+ufntjihB1RpOKeGMHQwQdRAL/1nLaMOGFyDzhiREs7XYUR+
j5aBHttXSiYiGI6sQT/+5XjcNwqGgq5dazcfpVYki7yPFrr/ag8uPqmhrw/G/aWZQYV9PfNcCNzV
vp6O8n56pFX1GLXZ3d829ctXfnXSzpdzlLrIzkd9KYHSAKmraDN+UuafYvc71k2/nVyDCK3nupyO
JM+bZHbNeV2B2/W3rRzC+fXKtY8qNZH8xY4cTjSuq3it9Wj+tslfDj58tS0KXPj/zdmXLUeOK0t+
Ec24ASReM1NSZkqqrn17oXV3VZEEVxDEQn79ePYdmymh65yyGw96jYRAOAIIeLhPi8HIy4lX91kX
jXc4zY0nWvTggdSPaxarVNvrtKGoJUvRH+ItLWhjTwNSRt02ci3xEa+qVvaOz0v1KLrN0cZ+a+z5
eWa2amt5tXNz7cr5Wpb9XSOK33zRW4j/Xwr4fwBKgd2fQ7uutb7qNovD6RSnZzu2Wj/sqezUn6vd
d380G94/DhEoJ4/5mKfEj317Gf/5d325Sz9u3lzH1n1v2HhKJv2N9KVRJHkROk2HGW87mbn6ZBbV
G7aPPZ6E9tr9QYsfwFesC04V64yhr9GzTvid9vY9LXQA3sQkZiySAi92RbFx3GeX8XW+r5Y48gC+
OmJxYRQeBPF+Kd/ivJqft6RgRAwE+K37fG3iaMLgFQq2uJDXp77a39BmJoDvPO8132sMHRxJoU5b
lcx/gafR/fnfw9+W3S9gAC71izXTgEvD57harzg/RxmeA1x1NdkwvFW72PSpYm18+e+/dFslv/ql
AMulwZERpB9zzVS8Poh1Ug+JQSmMFj2Ac7qtS4r1uV79wtKDTTN76M12ogUPMMv7Kum3Kl+v3Lbt
a1xf1fPC8kda8AC1qCiUrE1Hcx0K8Vwt8XTtutr/T9ft/zYpJgFkS9bHhpt4vUaDFzisN+Y9KoW0
k0ISgNbjfaHQTGNaJBgnSTnG98MmO+IXDTDbluvOa5et13Gu2vZBybb9w7fFTsyLSYBat5WV0zGm
ZtRLemfk7e1emb9pHzVAbR+JojPxAH5fxsWXKEq2z/OepL/JXf8BSv9iQgor263DYp8bY45OgI/R
jur1fx/6DTG/wOmtQfDnBJX2aptdXeirXJj7oXqWPo7zXryONpXK42AqMBLwAMNoMxUHwHV8VrrM
kVRiW18a3/zwuxS0JRQHuF3atB5XB9z2pXvMRPk+T+d3/32W/tMnCFDrDAj+M8oBV2GbJxnbC0qe
D7TQAWZjwVGwn2scejgKf4OJvrBlc8QpCTCL+sRk5xioWk3cPe9J5x8ml86faEMPMGuSqverrPVV
LA8b3hjTqTvSIgdoZan0eHpOl2sk80OHakaF2gwtdIDVMSmytBmj5Tr2xR+o5X6YyoT0KaEk8BJL
YL3nkZx3jHqNpsMQ8/eNB9eDMu4CRMoXQI2bdNkGlMCuKhLPWa/xmr30H2ixA1TmdV03e7Et116i
BQH17k150nSDCvpy2KvUKZoN/HLdR/0J6gt30aqvtFEHoJzmeXJZi1GvTfI8rP2DXHJSritEAErW
zN1Wodpzzeb0m+u2pzRyxFEHkNyLtYtM3y7XpGNHtDMc6om2tPGy+nKuW1Sq94SPy7Uupj9Fsr5V
PYpWtMkOEDkvm4+mel6uvgFT1E2degDRrLujRQ9AOaNnr1Eek5KhMS1HTdDIlPYpbwIePyc4i6YF
dIN1y5XNY3HiRfRNFPsP0rBvjRI/x0bHfb9mHNtUkmVfm216I6eFlPTBVXwZenIVmp/QaXbF3Byq
+jteuGlfsgwQOWcl0+VtrptoP0zZ3ygW0L5iGQASJep6rGdsUcVYf2tMgxd0p/+iTXWAyM35RYK+
s1xT78FlHcz3KslJ2QbdJi/nuszrolW91NdiSx/WIkFHh6WlhDKAJNdzgopiv1wnF7+2C/9cDa35
zbBvH+zfR7d/Gm1/Xn1zGSV+LrBJeTOp+GBU39VH0Q/q+zCkbEDjXLmQLhZFGeBzG3PwoxO2XO3m
n5lOvxYpe0v6sEWAT1F32+w1Jl/PfDuIeQJXKcoT2mIvAoTWeopXvyZIyWK88FL/sVlNKm8WRYBQ
t4tcogkWmW0rm0M5OLxcDmb+zce9retffNwiQOkkb29yVaSuW7Ld1Y0BGaWnwfTGyfl53QyCJfXe
Ik2g/QidDQJvX9GUfqR9zgCnOHAazQ32rRLNotq/w2H2RIscoFSLPerEgsjLnIGUzdBx8EyLHIC0
jm1U+qTCXHMOoj0v3k948/7NCrzN6q8+ZJA4Y5vFNfdOX6tEdeuhmDMl3o58ZNPHyrDiA+1fCAAq
FrUWXGJypK/PHV+Pqqxo834jd/28XNKmx2UHXKOrtOpk/Xi2OI+TRs0DdHYa+9aaluoa6286Xg5S
0lYhD7AZ71zH044x53p4Unl3bue5/c0Hva3kX3xQHiAzN9KCfFJgqsemODiLRrdOEo9wPMDmmDs3
6RbHrMLu8qy2Qp+2Saa0bMRv/9JPTw9o5hEV5BnUtRyLY2+yQ4c3WNqnDNAZpda7ZsKM+1LeGxWd
Wl9daKEDeGJy0bVTAJ7ryB7WPntKcOWkhQ7A2emMO49OnGvp+Unqd2AyEucjAGTialM0ClOtHRje
ZXk/yv9LSv1fVvnQIPLyK6agNmVxi/nIBvRAeHFAtZuWdVgAyNhgR5pxBr+avkMHN7arOiGGDiCp
8rHv1g0LJMP2bdL+abMNbYGwAJEtqO2j5Jm6RrtM3+YZntmXTKbE6AEkE7xvFWmZYy/J0KKRLMV7
LX53Gbz987/YS1gAyMLrZq8NCoeF7bkCxQ1FYXAiwBvPfSG+oStw80cf56AqkhY8C2C67BV6JsYB
WOIJOtv0XxV4rcTYIU4rtSlwb5Zrt+zybq9KAVI9GrZpIw+gqkwSoV+oVVfnt+uAFpJ+yYkDD7C6
ySQGaxihJ+PfoOXpnWj5E2nUeYDVYWlFYroE872rK3pJQP6N7mmhA6yWHSiSssaZXBT12p3iXoj7
tak8pwH2Rvf+OVmgA81VHlIP13LYxWFocaXjoKbQBh9CdoHKQCRA3UzAvToKsNtOxZAx2uabB5Bd
IGBTZcOsrmyvCqjOgE4XS1rBtrj1Qf88L7nZvYduEFaLLq/gvM/giA0DcV4CfOKy36V2R/6HAAB0
XvYY/U4Pop8mT/yB9OXozbBBu2DAV8XV6Kha9JlMGTF0gNCo0gXfJWBU2O6IF4vXq7K0PTgPEFqZ
WYLjJRWmRT1Kv5zwxHtHWolZgFAdp8LJFStRR/FJ8Pq+Hoc3tNABQn2ULGkdD8vVMd3f+gZA65/7
dPybFj4AqAQZg1X9BqrE0CZvfcP8We8l+06LHiC0TCsxNFLhQCfT73JpPkclCGu02AE+ocbBU5P0
IG7r6k8eLa90a6ixA3i2TR9NjmEV9ov4nnTqOKdmJo47QGdsDZ9yjg86RXGV3oEUPG8nj9YkS1wx
ATrVWjqQIbFxda1IwQ4cHqyWxOUSwLONsn5LJmCIa/dqH6pLrjjpURuiMS83lSlTfd1As+uaR+mn
hZVXY393r7jB8BcnpJBx1GQdj6p5wa2/3zR7k6hVgS2cRVgvg0nselDNzj5KC6LnXclmUJGbTGtL
+8dCRhL4I1lf9pO6tk796IpxP2aFopGpipCTFEm5rFbfHrlWATmVObk0e068SIbEo1JETqTLqq6D
2j6OWfkRZ8vPJPSGxCOZpR4dKChNiWmPf9jWFad9maLfFUxuQP3VFw8AbHdIwmhlcAdBc+h669IZ
VrSl0MYeILjSc6VAs0apRzevbTV/aeKMmLtvgko/Hwxi8C2accZiKUt+NtX4YV9TWoUqDbDLQetT
K55Irj4b73xTP66lfkubkQC7a7S3c7ePmO4M9P2qtv3BGmKBJ+Qbjbbts2i5HX3jEScNfxj0QvuS
SZBc9Vz3sitwVW1j9jm1xX3XGxrq/5GQ/KlMIszY71HicNWo87NlbjhuI7oESPMd6k/2qKSDVlfg
+JjWr5eheoZEHa1KnwRptc+1ntBeoq77YKFBYNAL0kJmgjbuAJY4x+Tjfru/CzF97QVEFI8JaHDb
kRY+AGYO1cvCjaiXrL5601b81h5HOzwm6UtctipNluR2Ls0T9EguOusP0Jwnfs4AmXlS8dxmyNg6
c9WBcfZ94DuxHBOqHamoXk22xOqaFt3bKvPP49zR1kpIKjL7CjXJAqH90l7nCod1Xb8lfcqQUtSX
i+UoP89XsVYfUy/fopmEGDo48kZuy9xaAfSlkU+V0R/HEso2tGEHB16v++6mGYBLo12+YQ94UsNI
O0vHATB12nWJWID51bcPPKofh3KmVQHiAJZTq8vCr6hg8r27KyAAYtz0jjYhAST9rlcJ+dL5Gsv1
m1+KV/WeE3MluiJe5Mq19KwVO4adC3vd6+gVWOXE7xggMoJ+HuqtQGQy2jfF3LwVIjrTZiTIleW8
QVQkwwabGSj55PHTzml45CF3aBI2znY7zNdCxR9UHK3Q0Jtppx4ecodWnzq0v2Jpo3vlflsQfHVQ
K6FMyv9Itv2ULRmb1CC7BXeWqYzuzJ6Iz1HhNOmwCX2hlwslqRhaYhbkBZZXD96JPxq8uNIGHqBy
yBQo5zV0X3xUf7Fl/G6MehIDnYf8Icu8zcSOlJMy3R4kdDMOtd0aEua5CICZz56vtklxPoFOJMSd
DKQzIOpBm5UAmTg/JFkr2XzlZnxXruL92vgvtNABMhtsTU2rce13luujRD/kxpeKuAwDbBYmlWgL
xjKcd3Sr5tCCOfBhvSONPCQRFVFvp/FWfI48VD2hsT2UCe1jhhwiiT6mLVpQkGPabQc8LtaHLgYL
ijbwIGG6anUQ+97Utep6jbZL8VopTSu18JBJNGrDdFVjOzQmA0W+k9CVimmkHB6SiXibznts8D29
9vd1Lj8stSYlNl4GOfMmqWQhyYecmTfzIS34u6S2JFYIlOxf7lc1lE44M7jxSCfcoXfDfpfHq6It
8pBO1PY3UdxJz9cWuHFx8zdzCS1vQuXz5chdXMl+b8ALQ4ZLWugPNfVwWutq/l0p5za9/77Y85BE
JHyaV82cz9eqUg/FZt/LRJKeWSBoHIx9aFY+3KrakWqGA9TiIbvhofJGAlFIImp6hiZ5pItro9gT
izP0CFNDB/gEbSOL+h7tbn7K5EHNzbfWoiudNu4gd1Y+19DU8DhTLD20iC2EzARt1wo5RGMuVb7m
4BDZBeLCTdyvx2hjpGoHLwJ87oVdo3LCpMS9fCr35VXfSNJdkBcBPFHQjtioxK1GA3mFftKPU0rs
juS3LuCfC0A13wy6BLDZmtXIU9Hf9DQF7TkOXk4vgy/xzvotluBoFxAtUdPbNI7+pK2TIHVmm4mg
G4F9PM9RoimiNjlqvHnT0BPyh3ox7rZrbrkzy++Xbv0ATcwPpIGH/CFcuTOIuEXzVbXinZ2hZ+jU
R1roEJhpmo6gsS7XCuqFYwKlWVvSYBkSiGSJ58k9x4tTP4BNWbo4gThaQ6uLIdm8XCdQ8Rcu7t18
NWn0gCaK72tUfKLNSYBLvwx8GiLsJxLKfHpsjxBaIc5JgMt+hdlKv9aoy64FlJUbKB/UqyIukwCX
EDLu/JpifUNS90s2mKcc8iy0KQlRucHDYYtQ8xXZAFXo4a3dK9r1hAeoTJVUKah2OAAVTf9X1kAV
OZ3ajhY9JBEllXYCfYi4ypZ7cj8UCtKYEGkhzUpII0ILepoPFgf9On0j0uYh1z0xcgDLIjcikRb7
d6dmd5716g58YumJNm4eYKdONqiqYKEIbh5Guz/6RD3QQgewrHqn5AL1xuvO5D1L4zeiE7Qrckgi
2qFVBwo1OCZCTj+87+5HQSvl8ZAuNEBvimUWG2wh5/l+3fX+0C2DpV01WYDLmqXzJEa8aiyeQak9
us59/Z423QEuW9GA3qhA0mA8PfC8fdg4rTcIrrEvF0kVW1nUkBS8Lg2EXQSqbnBPIY06ZAshB4/p
7rFIas7PqK4/VjFtCwwlENEPUI9zhA+5teuXQSSQbm3zmjjsAJQiKacV2uNY200MUeb+KY9/x/28
hfjFnSEPEIkqIYRiFzz/QtCe518H0GK/tizVNx+bju1nUer49Rbn2UL8X0KcZr4qIbcNUoXIX6s6
fZ6SibblhsShRnDQCCsxX8cJLiOgKn7t2axpW1ceJNAq71dox6LoXvDqrh/7V1mxkZ4KeB7AFKnC
VJPGuDX8CaAvCyOwbKRRKv7xm/j5zFysrenhEzKjQ7X9Mdrsw6ra5vDf4XT7Zr9aPAFS66YRDtZL
03WGpnA/8uWtzST/VG2OtqmH3CE0lgyp8MWMo+2YHfJ1+lNa+bvqyn9Y+jeb0J9nBnWEdtsSlMiH
Ag4Xe9av3+d2SsdjXUHx8VhDAPp1NU3EHSILQNxWyyIneBRcM6k/JVv6XJiVVg0N1YtWM861MCgp
7mJGd88AG7CxtbQWH54FiJ0gn1hprMrr6Hj2o4ljA+qPM8TydhYcepNswdMH6tvXjZntQ1x5+SVb
hoYG2yyAbdYrvhTJiKlxfLqkkHs9TIN0r/87AG5j/AUAsgC58Dzz/W7xyMesHvHwJIajTbWj3aVv
do4/L9C9Q1fYmuOm0VgIwAr2OsosbcsJCUUCF3/HE1To8Aos4eaWK7sceLP/Jhv+Q1X5xcSErKKR
ZbUcWzFdnVlh0Ach+e3VCm5Ce/IeXhdQtTPTe9Ri1dsFGqIfRrn6CMeIofhW5kP32ECYUt5DK1E8
LnkdfSizDFKxDDn2Tbt20xeYzkEdXrWx/7ZGLJrvkRR19QTbE/toI2gTwuLOVjceuacRapFJXn6M
Uek5H5J9RPVOPS5qfpaT+E055hbiV5MV7Aza7WOBqn13nZDXm2Pb1vWTrxfxuLtUgelp++kt2g6r
9tDwqacly5C/lKohTbZ2wdV+WuXnnO8b9sBOSdrRM+Qwtd7Z3PVWXHAu/N4IeDZO0d8k0KXBhtGL
aVxEh9B5Chew07ITZyTYKiBZtdp2QdwaliAQOz+sfXukDTnYJ2yVtFzjQniJZVO+uWXgd7heDV9p
0YN9YpzgfFpzRF+UPPmtPs3tN1rkIMEndbf0tp4x1fFw8NVjOdDa3eFd9RJOlXSz4NUkLqOGLnB/
LAyt/ZqHvCUohsep14jMsvlu0+WTAxuNNB0hb8llI1NmQuhEyPtM7ycUlmkpPGQtNXObozcIi29k
pj7WNV6Py31wd7SBBykc0t1tnaZKXLoaNpWxHV/bETKgtOABHmVl9pEXCJ7D5qlg9xw2LrTIASLr
ps+0R9PbpRizE4PwqZPvaZEDQLJ9SVmfjPiSHQwyEviHuS+0yAEYJdwTS6snfily1h8hxixh6wDX
VFr0AJD5WkV9McgC3OJYwyK3aQ5743vagSPkLIEjXtUR/NcukrH2EbYCcMbZVfubQ8FtPfwizYW0
Jc+KiPfFzC9izbrndIKarlKeuMRD4SOh4H2oPWeX0g0Hy5J7WALQ0BPqHskFovW7teySxPaUTl/b
ZadlyZC31IqydDpZOUxG5sNUfVM78VQd0pbyysQZ5IMQeRXzqc6TtzKZS1qRMA5wCZWvvluqnF2k
s39Uu3/Wjvh0HPKWtmyXUOtn7AKt+JtofzUc3ATLYhJ84gCc9cjbnO2OXQaWvdtW+XrRNJkF+HG8
TGhJic6QuENonE0uS1Jfl5x0VocPyMvIcPedS7AjGDbvrT0n2phzBTNU0pTAXvll9CUtZAKCC7tg
X2nuiyheT+s0NCSmL/vHbvIn7pLeZKbtAOhYCI1DIvLKYMFB+ZZ453s5cOfAVYRtMrvMTpwqSMG3
OWmjYjfjlJ/vXXWuZLK3G7tsSTncldJA4xty98QJD9LlXESiglf9baNi810/tdkxximLGD2AZoTi
qU4dliHalZ4mIz9Ne07KDixUP1rzBv4aA1CvTSn/xJWxcDCcg/g5aVdhIgBnB8NFKKAmGPo8Nw8Z
LnrnZU2I3zSA596UvI2biF1ayDbJCkLw+ciJGArZS2VvQTOAbPtlgsP8IQGh6+hyOM+QFnpIYBJw
KpPwE2YXV0sIoeSqikDBaGtJawhhoRQS+i0LPIEt+WXY55Pdl2OaCtLZEFbYL6HUTwlU76c+hvcc
vNmS6pK5lHQYxzvJy9AbuNUOrRXxpbVotPQStobijjbjIUQh4wfjtTq+qEi9m9P+vRoiEpGGhfSl
YWz6bm7sfkmH9CPUOaCS1zniQklfzgjPIHZf7OV2gSC1Peyt+OQK/4Y2JSE4YYC2q6HZLxVaIlPU
b1r7XncDTQOAhdSlsZM+zeA7ceGGP/NxuIPLEelADs35l7OyNTODdsbuL2KCf41Oj2s/0JZgyFva
q6jLl8pj1DdPGbeJ9+hUJh0NYRn9ctjjDj+MOjH+4tnc3M1dre7XqpgeSJ8zVD9CG6SAOpn0FwO/
XrP2d2NT0bbxkLnEhUs0Eqe7jDMKfXh57GDpkn+mjTtA5sRRG4tb4S7ogwYLiD1Phtbuz0LmUpXO
a7PryFxQqD8Vurl0RU6c7QCYZu4N/GAae2n1dsjz9BCx17T5CGA5QWvOw0DVXCT3d7Ks7m31nRY5
SJgy32CsZnKDFeLcWw7X8HM5wzGNFP1fnKUpG3zWxAY2tAqmMBApuMscTUCAhawlNPZnKQyUzKV3
7DSw5LkmtjpBf/AlKrnMfVtONeyEMvNKmwkeN4aWGULWks1gY8VgCHNRg4ZbXNddor78QZvuIFcq
51W/Qbn60rDi4pboVC+clhhCyaNSwIamarECfQ6hA7jijvdNvEa0MycPjrPMy2Rd4sSAeJbZu0gI
mA3BtvREm5YAlwPMrTO8IZhLO0Zvd+nu247/RQsdALOA2IFnsTSXJOouVTq+Kff+Iy10gMwNjmUw
d1vNBfJYMJUWH9ORRsNnIWkJCp7W4AphLnPXP/RuOxdEoRYWUpa0bDbvIoy6T+P6MBbpY90Xf5Nm
hAWoTHpZoQFsNpeUf67huZSMLe0kGCofjWu/4lArEBmd8PtgHhT7nTTR7Qj873IYYwEm07GHTblx
MESCKzks34alaO9staRfajx0w3db55JWZ2Ihg8mvLo4nYbCZZ+1jCrXMdY5oO3nIYJImFw3EDtaL
6OZjhVaCeEmJoQN4Vns2b+mUr5dNuuqDjuf2qRoKmlALLFKDrZyrAkkogjP8AEdmSAYXj5mfNlrK
D0lMBezGjWQtdtzxppsgTl3d0nbckMSUxXnpMsiwX9zKHzKhnyAISTu7hSymCW+vkJKO9GXXAm54
1XnuCtpNMFQ72js8gmWuWS/8a2nvsokY9oaunwpMBfdSzH27XhIbHVlxs4evPpB2lVDkSBQSux/K
GxcTFRBpkWdI+/yOOXM7r/4C/CFVKcu9jZses9EWa/XogKJzxKWmZc2QqzR4Pju4E+nLItmHbCuH
wyi0oaEyZCvBy0rFYMqvF3jd9leztB/mZllpN6o8ACW4ExkcwxN9KW8O1UVxlp7RSpGhxFEDc83W
1sN62ZP+nUyXE+vhLE5aKiFPKfIZHB5g3XQZbPojkcnXySTEemFIU+JruZSyX/Ulnb4z3506+GvS
Rh2kTdYblVYrJrua9iMoGveQNKHlzZCR5LYtnZfbgq4H7c4cxsV3rFz1bzbX2wB/gZ6QkSSiMTEF
xBiQOmV2dWAs/6nmgdUgMLQqv1sjXSeHTEFVmfh9g2tnvMHUwepZX5o63uHkaNQRJja/oX/8h70g
pCgNq8qj0vb6Mkb7fD9zOZ+KcRhp14qQotRFqx/4guUDd6D4qU8KZOmFqBnMQopSgz7wBmTR5SIS
GOc1w/CZrbDEpK3P4KDLxhQ66qlaLpMoXo3yTVvzd6TIIT2p9rBURT/Ocsk6e3Ai+9Y1E61CEfKE
1qb1yygRepnQooTN8sCdobUQslDRyGnv5AyR5ssQRctpmZb4xHuaujwLGUGuT6Z2n/PlkiTQv+nj
p1VPtIQUsoGyMiudNdNygaP3KS6qwzjQXsRZyAZyIoZUUj4sl3aq7vf5expXtOWXZi+PFrEvIbMd
QwgzSbMTBAOO5Uq8Z4VKRnxv0yaCBNNl6caDEf5QziPtQBQqGW3D1KE9aVeXYarrz6Xz7es9rtO/
aMAJICmmpqzgcKYuNTRYWA+rdE88EoWMoHLdmtF0CO3KZj11m5HwWJ49bQWGrKDJTBFEbBFdJfKh
m8wZ1HBapTZkBUG6r65F3Q/Idel6gtXLeG4MaMSkGQ+JQfOt3yzbx/qSgA2Eo9ybciY+6IVyRq0b
WFvFXoKqkoAtXI29+zjofaDpKLPQLQ3bSVXpBvHt6pKT2ruvJuqJFcTQLS1vygwS+xE7w0L8um7w
E4dgIG3K05fAb9phX2zeFucpMieXergm9NA0ogUPTrgbNEhMNOf8nOsM9uPFgSc0bIZiRvHa5kq1
rT2r1ub3ZVPvDys8kGmHxZAbBHLkUtSstucu4k9R09wJO78mTUlIDJpKnbAVRewz3DXdIV7EM3zE
ia+nIS+od06noHbac7ts7xe4kBzmSBDP/SEzSEQDqhL6NimmhnNcUV6gSE4dOXu5DDO4luXOC3MW
NQRZy9TxI8ZPKyKE/KChamzU+wLBq+odpGs+VY524AzJQcswj3obM3uO+vmYyOZU2IIGzJAclDRq
ixqXGtwKm5NNS/CD/qQtwQCVZkkGm/PNnmMmv/TRcO+6hTgfQcpEktyWZnL2zJR/nG17L3aa+h9M
sF+ukBnPeGnTKHu2cqjuRR0lB5tPKenCDNuCl9FhW5JIPHHY8+KLk4rlh2pXHyjTnYe0IDt0qKso
Y8/rmjyndQ3x3jShcQ7ykBiEs7ftR2OxAJl6JUQxodq8kLaqPKQGFWPcTqrp7Nnp/YgfesgKS1on
eShppJe4Y22Hj7kPcXQo0ukuYjutlJqHikaRldWs4t6eJ41njq3b+R1U8L/RvmaQL2FNYZlBP/J5
8uphH/gBk0TKOnnICYrLdUKdHKEL1h173R7nmma7kosAl9WSbKroENr7/V7Ym8iGoH3KkA+0GBVD
WBzIgZHrephG+aGMF0k6QOQhHUih1YstfrTnUcZHlpm7kdPOVHlIBJIsrm2Cv7Nw1Q88Xh0bxb+T
1khIBGpzIfdxBXCyPb+f4skeSlTbiVMSZMpx2PQiZWPPwyTfpd1fU1SQaPl5qGSkxkmkesJkZ7FH
TmAPtVpJB/s8ZALFkIOdpMNktxqCN33zgF4l0mUnD1WMphwiYAmekmHDPh447EA49DVo3zFIlEsC
pHSDtOe63U9dcVnniZTc85AC1Kd2Sm0UmbNv4OJumgOMiknPGnlIAYrVsql4xO5X33w32xLdzjvR
dyUPSUCilrxLaoxbiOWvfmfvbL9J2myHJKCijyPw5BG7yZ5MUh7jfSdGDt5N+qTZeYyLwtnM22Gr
vs/lJ9ICCek/a91wtnosEPBpTmByH1yvaMkglC2KZ94seizNWXnGIQYCluLa6YgYPXt53GnKjtfm
dtzWSWJOIKd8ym3vidMdpMjbBbtwC4aus+1h9tuDm2gKdHmoW5QUaeoL+Kqd8cKrDtNNOkbURFAW
QZLUbVGhuJGZ85J34miGXb3xwunfnKb+qQT8u5CfhzQgse64Lk2xPseoyMbneGuW6FUzC1MdWWL7
6l0vE1niFXJxzQM0GxaY9TBnl4dF+Ek+9PHQ5od4E7571exeuRaGmH1OKy3mIY+osoxjA/X6nPTZ
I5P+BGUr2mYX8ohKG5eLFBqhhUsPjkWXDu3ztJUcMonaoWa2jZw+d7G58xI/AKFZmkxWHsof8Toz
zVAt+lyP43Bidhvu4Jie0fJtyCaqqiIewPm5HYILhaPTkLsafb5rRTuZhXwiKYemS+IRo8eXvbRS
NU9idZx4NuMBzI1wNbxCW31W9gN0nJ47I2mXMR7kXdbj7GRdr89zUkH2MEl+wNfvL9KWHQoh2S5i
1QCjzfM+D19yVks8idBs2vKQUWSnLG+KtNPnUrfnti/bQ6JoFMU8pBTt+6C6Ej0JZ2/n9KCU3Q4Q
Vi1pW3ZIKpriuvV7gm85J113KIrs1oC+05Ro8pBYZKya9Kow5wZ54VAn1XRcS/aD9EFDapGRlYVY
OoZeseZzvLpLtkS/eXrNkQ1/sWOHTCKbtntj8wrjTutT7rOzKGjdh3nIJFqHdXBcY6mkyZQf4S+V
HHcYetKmJEBm7Oaetdhiz9U6fZl8/Rp72G/gc7tl/GpKAmhax9O6LHtUpUQ+PkJdaLwakW0x+kp1
8ZU2/CAPJ2iEi9eYAUZjUR7cqP+u7EwrSef/IhS18JPt5xT5gsmHVH/xY0nLRCGfCNk9QgMpIsdi
q48yi48xnE1oAA0ZRfU6J/O4I3hTqOdK9Xh6UaQn+TxUReK+myaGrukzz+foNPDuj6iuiIWHkFc0
QABoiV2mz/3t7RZ931+HtiOeYkNi0Zq5fWnnXJ832T7ny3Bc1p6WgkJWUaWgl1NkCdZg3bYolDbV
EVJuNONEkOCD4/eSTfuUYFbKeT2PTXbCnZ70QJeHpCI+RXL4P8x925KkOJbtr5TVOzUSiNvYdD9w
cffwuN8yo/IFi7whEJIQIJD4+rOiL6enonusz8TTsUory8hwx3FA2nuvvfZaAUhFp7wbjk2iykwm
H+IrsfekIqJdl3jItsEYLMAcxVrw7mO9BfaeUxS7ORsgOILHxNECdJAsef3QXvKeUBQmkxFTgAOv
cH66Dtq8K+Y++ZhkE3svc9TnNiNRaOdT2sitrZbRqLYY+YgBmY+d/rvKNYS6ZwZdwre7OZZjbJ+j
6GMzvOyfeEXxaHxnkPAPToZVyN1pszn/2Hb1XufITOkI32ik/HJgx23JC56Tjz3g7xlEAR0w9zXg
0NGQngGhVHz8mL8me08faiAusq/Rigc8yPm1aCSu+YDW6Mfu5bvQ+UbbhrwnUScWtfTMA8sPMluy
jy3O9yJHu2T5RI3B0TvekUIPs5alk635mD4Fe08jigOv+ngY1alRcigMcrjRtx+L+O95RHIJJ9MI
M5/stBcghl2Kjj9/6Kq/ZxHxfs5nQ6U5wfzSHjYe72VAYBjwsaO/W58e+OAyDbk7dTkA8FjfJf3y
sbD8nka0R0E8iXF3p9UFXQW1ral2mnywbH7PJALXd+bJ5N1JD9mnFrBvoWL3sdj5nkvUCPgZ0ND4
E4z8ZghbreFxzsXHFFjYezrRFLIJHdfGnWTqF1mA0xHJMjd++/GxW/pumXKloUHlcEsDnLLd+jox
/44j8q+pnCx8l9hqQW3nVtxSNF7XnzluL6tbtU3ftGED1MIgKN5/CvZUzh9DXt7TjHZHRp/mxJ2S
5SGYAwg9ffAuvKcY7Uq2DDxRd4phjbHYoVjij9kSsPcUo8AzqJNnuEp8m2/7lB7pB31x2Ht+Uer3
QC4ddSeUGBBx1PtQdNMHC9H3DKOWNVB/nyd3algnnlGvB7bwUxj9u6qOkr+0vf5F9fWeZNRLgwlc
kY8nheFn9gRrYn5ekzWIr/iCAdoHyLXR8WluRQcvXr+LWb+6ZIs8dNaacVhl0aHrpQz8l5nez3Cr
gaSO21s+PVKZxOaSToPtztNq/HIz+7bLa0EwA32xQMprqtQQxvbCL8mWXTO4lNFaNRFsHda4hcpD
0cR5+8KCOMzKYccWUA2N0VM1x4ldiygPhu20dAAA7lhog/ggFsLaY+LAm7rbxoyVe+ydq9GpPK8y
ZJ+QRNmvjOjlOv403quaP6DE53ObHWawnb9ZfJovY5iFJCfo+kHdKMpI9jNAPxKSOKhyWogedGl7
iLxm+pH24fpzd5BTg66cNBFsUWAfcaFdFMvvVO3oesXBIPWJ92m/f+pHPrjDkiWBP6QYO50uMMI0
ZJfBnK/mOpaxir5AFt3bUwSrha7MkqV/nlsft2UTg5JYWqrH4UK2WzvdSKiG+qcEjqNdJTQG/ErR
5iop4UwQN4eF7s18frNS5xVRwrNbdJi7rcibMMi/elz06QIatRaWmEMe9Z+73jXkItggbVC5hC/y
kCUybMs8Qn+gTlIX3G7xzlkNfQaflYzZJrn1XacetrDvdd1yq9i9huQEzmZR6k2OTGekNO08ZIVb
eiUOBIo30a3g4TSUBrry6E/tK1RauZIYv0nFBsL/xmwblLlK9VLtDiz0kmwLhdK6aRJINlGm9THL
QbArDMv3T9sMulbRR9kYlBsRLSt2b1NxgOA0yWs527YvMzfZz3YYKHQ9OdnsMYqTIP2xQ8EqOkXN
SNtjROHbXtgxgt9PAPkmWzYm2M4paVKId4My05a7GcNXfMwMNcF0WM8o9MekgP7jOL/YPptFASgt
zU9dPJMVQkQhkHTHsIqKRUWJvbM58w0v5rBd96KXOvJV7JpAHazIfFfOLXSEYX6z702plcbc9Bal
2VxPYwjaLBtI05VhxkV7GJqZuYqCxPy69a1bi4BoDV8O1dumyojI1ydjWfoZwEHDq3GL86mQzdZs
xxn/PJxsFi170Q2GZbdoHSRzAVnkTR8bmeHvhrs05kWQmGEZCgGBH1dN1nL/Qn3OweOD9n2vf6Rd
PuUV6aSNrgZIYf4I986RY5AF7tsEC5UvvhXhE82USIBZdMH00LRiJxCYSbb9MuYbBBnLnk0jrZcm
TNjdJn1MDraVg7rwtgn1kW+pMMUc2/XWrHZQB6ytyJY6nsbvW8eAnDeQ0LYn+AcF/THwa/s5TzDC
PVrCDCQsJ5k+b7EOzmLFvxQdVF3Sz8uYyWGsoZU5aFFv88qG+y5pBvUT3Tya1JCVCTMLLnETJWe3
RJCQLNTaxlyVAm2hMSoSEnW+xJf1082YELYeTcDC7GrcxrdnIEhbbEvt2OJ2oS5sHjHG1tFHYYNO
wbR0bqgpRtMCRUt6OT4rSkj3PTORbL/PcKEwFZkapNhdNyTysoN8t7tQCd2H233qk0+DE0FUCrJu
8WHS3M432E0DV7LO6uSAzmkaFpBfFPIZ4yNR/txq2pyzEX19jEQ3c3seE5f8HGwowd5lqdqulVJI
F0K5zp+TOLdwXeO2/7kM63KnuWvSQo5YUUE576GQj73dg6aiO3KMAgptW1R1yJfMkYx4JkiQ8OzG
5U1LjiKwpq17pGpBabK0jeoUU2ZtNWddoAueznFQ90GwvSYqU+ZCi72KduwdxYZ+59vlfQjzFbEm
QwLJG1bwxkNeeLrd27keu/leBFO+19gSUpxhKxrsziprGDksQ0PoRQBihqZVhAmXT8bHwMtoMuev
E43SyyzS23UyBb0+52kno2MMj4vwwLAIlmsEwLP0Y2kgBWldd51vSYeRlZ7t11mizBVgLUT3CLyR
sPSpavqDFunGC8/QcSmwQPMvUOz0NzlnQ1pC2vn3sDf59zg37ddwJKO6H9Nux5PQUU7LhHRZ5QwV
CIgQy4T0mm+gWRjCBUsM3Ve2ZoeVCXtWipgaDSheQdxH1Xppjp1zJ0Z6XcUccP2cRscpoqTIqb9t
pJuKqNllkUMcruCQeMJz2d8jjbDFgEnc0rpgK3ZoEog83asmTWzR6FRf9WF47aio4nR6abZgPYSk
7yoLQ6QKLuVXezp5QHkiC6oFrm5VI9e85DpY84JCR+/oWuhfYXce0us8G56snyz2c/c1bZrlAHFW
ViWr2J7StdWV6SHZDWWByZQ5vP8sHtusxfYTO3eGol1YwITpSTBUEAF2eIQ29eyzAPtha/KC4eaW
4FDQglF/TX1zpL27zteJ1JC9d/BPlbxcUtGVfiY3Q2J/x2VMagPlxhOArK+cNXsdRVsFWmtTSd//
hB9JVwcWHeUMRmdIANxw4I4fvWxM2eZkKcloEVYsvSMyu7U+PUcjuIJdDIpPnGaqSFt7lMzkVyMb
rlvutipJ/P2gplEcOhf8zhwCgmjF5bLu17RtdNHQ+VlvIjvPSTbV7Zb8FN160wi0i0uFaxgPesFK
0K40JLtCybm/RQDIsrtVYwtSwQILrLCZkG1FcTQfeJSIInN8LcOBByUbzUObNukpXBpoomtyzzBE
AhmUoYx4OBbCTkU/ErwnVZhCWDGZVA8xExcAK5K2oBtmTARA52JSQ3wHv/oUkaat8IUaVe3w9OTF
mO7zXdjQ5OeWtEtb5WsXPnU6sr4y64BGDw170V/RmMbADlZL/Q3chtJqI6rhxyYbuCjx/WhYxoFs
6SEFMuXOREf0OiEB1wVrMItauEln37SPVTX2UZBdZEObfB6ljF0R+cW9wCcyIYd8Mu3nbRi2GTkf
5kLPecgyhydzgi5zM3b7c87QfaozCIOW0qvwM+xh9FRMfTd9TkfT/JwadE4vpbS4OlZgTWE5mRSG
012/I4AAKLtJAjf4h0nljTqnDcnCwxQ2BIxrGSysHukkWZUNqgHbSW3tzRy3sz0OERNf5L6IN8Y6
ZwpEZI7HKhxnv6E/63NbNcuAc2UYlxnuo7yj3+YU5nLPXJPBFuEIsBUY6WZeyCCNRVKVdcOpa0f1
SS+ejb/rJd1+LglYS8WURGDyT8iI0fvdFGUVRMHD7G7lUus6tAN06oTygzilcGh6JJS1oh41xwNp
bIZxzqZbYKHKbTrdLtvW7EhNpkXAh8pZdTeaselLaVVEsbH0ZCmAsMbzIZ/VTotJNN6UGHqmtwZS
/+LRQG5ivp1mQsxhJHbmh562yA3zCFPH5eZCTAPjW6jlsI5RXzFNyAlJc5j7CqXgFWTeZvCfKT1D
1mNOL6HQHiIfi/d9qgfsM59JGO3ue+xb0D31aoLlOI3Q5a4wF9w39wLupNGFiTLW4lL0SVSsK+W8
JGkosa8kjSs23M/hFENnG1rFTmCyL276frwPlFP9LaWJ6qoYKS8tFg1ZqDvULXAJZ/POshq59R20
FjtMNZEMoXRfvd8rm/Lksncs5ueMNgv4NUlqOWiAc9YWa7+bR2ez6ZUZiOIdB/DogzLpYZteMsG3
nzrIeFhwzAY/Kx9AhlOZZGhO0PBHVpI4DFFU64LcvQh0Nl0uvQ5qgUD+ymwUP80mEGcYz6Gg6JU7
Yyuk/CaOFrYWQqyOnXPe9AwlwApJcLbvP8Uaz59Q1WVpMYxTG5VTSE5h2/A6EJtcqjXIDDtGLHCu
1Cuj7n6h/eLLSA9rhb0ue9mtaKEUDldihTU2qpeApJmr5YBc4Mpg591vBdLVwsJ08dAmSpOvZJmj
vUSx06vjEnih6z2nzQOIg3lX70Gw0nPq0GG7bEbrn+A8yX+it7425Wy06o4G6VaPftJmaLWz4WpZ
5RbeDuItMVK2heMOtBL19zzsWXKXNmyvR6/mtET37+Qg6emKGZ6bumgDdh1Pe44KEcYxClYmrZ8B
tLGIVTZhDSl5JwTysTSK7003Bg9iWjki0SLS+2xLub3d43mc7jbq5Ve1KRdirljzoPA8RHia52iC
4u64hzex4utdN4sR/u9b98J778xLSxO9llGLMbMoz4KgwgKAUkAzzG87vDdTjt0+W6bS7dvUHTex
h+c1W7oe6nU7c+WsUQsTaDcNL0jqhqRQLOxhpo4TedzzvP8Rc77dAy6Pnrs03nTN94VfzDDARZK0
JH7AgkwCcu7A/Kl6R9e6TRd+4ujUFdztYX8gyrr2Uqyza266iTTPZo1v4ZXNCh1iaDLkC69TeNBH
5daBwlcnkevE5TxGG5TThmiBzl7jMeXSjDmvF8ea/sb20R4cYYtCrsJs2j63WxRcqyBlSxUlgwaE
gJGk9LRPqCtqaqJoum7nkH91veKiIMhkt3qKqc0uEyrTk8/FADZVuBr0uWnCx3qMTfDJC8oKgAhp
qbJ4ONpImjdqw7dxJTfMjvDxCLJkR04xpEGlUho1x6Y1c1+szZ7f59uwv+pYN2e6NeuN4KgEi9xJ
2l9niOH+K9xn/VrvHjHwuKh1PDm6t19GZb2uzZYqRBvuxvWgWkrGW2ByKMrXEOkh3Eeb76ihh0cx
L2DadntyMtm6Pk7YLC9CH7XJJXFLJ+4A48sfTSZzU47cL1VonDxHcYv8RkzTzZI3EGCDGDC2sTFn
0YsBb4sVIVQT99q4Xd8sY780dRtv6S2Fq+pyapsFZan0JP6Glf0G1pDUBw+TcYNFQZuPV2pw4ykO
LXuZwceUyK/ydasl1ROeKgTFvhBzl18kkFFlhe9THZQuN2t42Yi4ySuTqreQMHSPtNM3YmVRJcR+
7ndvij4eyQPsGPerkbjVXodR5p52xApTD82GEfMJQgi1oTpNLkbrXHhWjU2f+AzbMlx0LkUJZx36
BVeNRecuEmonoPabUM3YdWbvqnYz613CUuyjHQ3me86zFo7DXOaXeth+gPSZ7K8z5tt/qHCFmi/a
kKIQ3PvSBRCCPW6N96TwBNOHKl0uye7qmA20q6Xk7roN+5Nr5Z2XM9sAToTpBYI/aD5QCCQqLgPM
Q333TUZPq9/nx46GVpSYOIKJCB3obC6YzKArn81sfwh2ZWlhBxa+gjsvfl9DG7ETkYhJ5RrFzhx6
j0EoMcDzofHhdj3bdUL6JXRwtDHwjnKbtp2fCbSl7aWf0ZQt2RSG41UgSIaLv3HyJFqyzjd5jLGR
Q4ixFPMImrSeS7l5aZ+WTnc/0WRYdIUQvAKG0e2Io+yY3oEEpI37q8Dh+oeRS+5iLfVw0GaH3y+z
k49PMRikYdHkUC0vto6y2z4LdVyu2NiviW62V94NMj2mYgTpB7tQD5VtCDbSqm87PR6gWzT/zrhD
lxemd9htFuhsiFIzisgHfzes5dHyMDmNqVrFReexxi8wizI+piKn8eU4dQMeaqa7alVM9YVEQOMF
UvkxP/vIhrpAn8ciwSXS8s/ZmxtthZgBW5fYw37swIRkczVNMh8OaaTm7ka3ukHVE67JWNuFr18X
yHGRkq4h+owrz2xWUtNljxBD65vSBEncXZEIiMYTioDcX0Q28vQpbOFb/D3lYOnfbJlY7DkGmS08
mrUdprtMyjH6sbdK8CME/pqf6wIL20uKan3HyhVTfEs7AAQVn7ouuGvDHRIhBeVoRGClz9mEIEox
3ltZL1FOOw57hU8waEqhBLOE8U0EdDOURYBdh92FsSJnovp0rbbUyKiwBBfjssdwTHTsw9yIA5O4
gp82Keawdq3zrFpT+I2UYlukerGLx+6GFpdxtxR44Cs6IcYXTSZIW0I8fWkqqMCujzKC01WlG5WA
sbOhnC4QRPjnxPawv7JNAOTALnZEspvMdLwRsH0Lq2ZL0+7RKRKMJcYryVaO0+6Wu9T2ppbKomxE
CSLFock6mv8EihRvtUqH2KBrhUS7mIFHjQ9gt64jZDTxhoshI0koilZbvh6aFDjmi6EtZ7QAfIHh
DiyyKLg1OsBGK2eeQUMnUHnni5TJeb0SSLK4K5I1DJvXNspzXuSEialY4IX1ygX+jgypj7dCyh3f
A7L60ytA7wRW9eiFLmXbT7hBUqX7dNrwAUOlHcHQXo9cOnklGt42p2GM5/gh3+TW1EmLZ7wIfarv
yEAW8S2bAog+jUPf9lXvCU/BKAgx8jFXkinHvszxHuTfolWPAB5WY/sazN8A5ZMUCytTPZO8cEjF
/cdYpO9ng5eIi75r9Hia4ad5UvmU3QIrYx/txryjqkx0pJrIaTxlC3HVoIQudsX/5ozxH9/cf7Y/
9N1fexfzn/8LP3+DwtfUtXx59+Ofn7TEn/96e8//fc0f3/Hn4w998yp/zO9f9If34Lh/+9zqdXn9
ww+1WrrF39sfk3/4Mdth+cvxcYZvr/x//eUvP/5ylCc//vjTr6/fZaeqbl6m7tvy699+dfH9T79S
Ai1t9kZH/o///iF/e8Xbt/jTr/j/L1Wn+L9+34/XeXk7TvIboHyaUZLTiEA969dfth9//U38Wx4i
5SQpDbMcy+bXX5SeFv6nX0PyGwYkIWnH4I2ZxG8zMbPGfojD5b9leG2YIaJQJBwQq/n76f3hLv3j
rv2irLzTnVpmHDf7Aw0wzRJwXiihFBN8EUsQyP5IZPqHm09HVqD40zLWAXaaki+ClRvH3Aki8mey
mRu2quHYK7D2w1jvtY1Dg/19+ClYhkoffJEiz+16EDvAhFX0tI7RsbnywbjVIQ/JxYIBxCrK9+c5
l5eZgT+ljOohyh5z4I7/hm2DLOafvxcuEw3hNkiihL23LwfiNNA4CNvz2iSimrAzv7iZw0uONiA/
SIYkSEVSnLokT+u2XYeyy7LsGFPwiY2PsmLwbXMd9v4KnoOXMOZr7yCwBTCwH/qbFUlyiaHkgFYi
CCT5lGpyRMeOgmymnAFXxpxgBIfeTS9mjPob+rC9Kae31JGbvLVbtdsuOyDhgWGAzN1QeKfX47Zl
5zScxANrolPK47xo0IWqmyUdj2jRyWNLzVSAjJM/iC2KpyrgWMzJYoHImMYfjFTZsW/MUgWpSM+K
xOKSwNuqtMLzz8iZgwe65NOdDGx7VDPNK5kh4x2Svf8UW3XrBrqi/9F1h1FHT23Te4XaKsFrVZyi
doP6R+ZdXhIh8wqKA8DrExBIi103kNbwckNmQIBTWxiLbchiDnxN+OWcMHU1JGN7bAkQeQLU+UvD
I13P6yiLbAVp1lnHa73J7ojpja4awjQ7U4Bz1ayhks3n/ZLH0sPhfspKJClZuY72eRKtLFvenNXS
x6gVE1mgKxkdBoc2KcmG744M3cHTQB6p9wxYxjQcTIMudxKr62RX39uNHKnkGkAkaw4QLY6q1EOX
Yc0AYyG7M6i+AJQGPnlGk6EFpCqTkhDuC775r5LMF0Gcv9A++ubTHZiOQhK2A0iwZiuaDagLT3y1
j2/Y3la2wCR6t4M87X4PdVDlqa9ZnF5n2f4AZYgTetkVuBIlInXdRtlxFfsx4cFrCm07PekR0TW0
pWrc1ZL57xEZDqSNn3rMgQMRj+5omvZXUzh+J4CkSDs+jlN4jjtTzlSbykwB2qZ6BBjQ27BwANpd
u5ZKXudqvuzeGt3BNP6OmvoLKuZPyiamXjmQRN4FFwQC3cD2+CU181DOsdsOfaYPc4NKFzbYUU1m
NBp6P1/vbb71RRcR9YrsowG+xd3dYEd6b31v4RPdT2XGiDw0RIeFZgny1xYPf5CNVZhBaDPLZl1O
qmsv03HNKxo0uiKLM9eqzyJwCkVa6HS5k237CIHO+5DP/BVf+pTHkb9Nvbbn2UfXsmvumlbCyiZf
OiBOYTmHqAAr6JEs52jKxN3YTur71OVzmWCO6viWdtV8dGkpdukueqPHywYbx1n0Yr8DChTXQ9vk
hzjgebEZTl4gltpVexv0p43Rv/JW/leh9Lr7NulZ/1zeB8o/xNZ/HXD/v42lbyMP/3Msvbevqv3l
pn3t/jmavr3z79E0/42iyZeTPCKw4HgbYPx7NM1+C6MEW36akJSFb1yZv0VTGv+GQElpjrkHRLz0
jSH993DKfosjCpuSPM/wCwoFov9FOP0LReQfvI40SwnmNfH5cRiTPCfvdUf+4X6QcaAosCtZD97m
j36e73WYfUZmdSJbFlwke1ylIqBluijINzAU09wbUXHAgFAw+Ld+qu/DIc4rh2xVFJMozBl7P+c4
aZO7sIVpQpx8H8RXqc4hxEuCCTSQn4OX/45M95eBkHfX4S19oWnEkN/gvz+mFeiatPA4SvYLCCHv
hQvzG4Ycvmqpf47m9LtL5VahrYAhvRm+w3O+A3yO0jvzhr91LhMlaDJHF9Km9LT7Okxrgn62HKtx
3+Zq2dP7YbjlJv267K0u4CJwpcPxOgHlgUf0zW7Ci5KvpLRTenQGFrX96g5sidFNm+LrLd1UuU/L
50Hr+YjBzOdpXC4CO500HS6ATuiaddOXbY4+tfCqq4AAob+Sqe4K4KssIcUKPb3mdwFtAmCT00EC
tzrOfniA4vgPsiXXNOKXcALrD4AiLjFSZErLqa9GJYHBOzkehqCDK6P80QfoXK7QYGl4/xVR8JVY
tJjBQ7iQcHpdQMQ7GTN96VM21WLfbsYsoFftuv0EM6Yr9tagHyk0tH79ggDBhqOJzVM4KvD0aVLI
ZPDXgYFAH7E/YVT0LaN9UMIBYC/AHby3YfxjTvhaAbD4Aq7blYRCW51M/FKI7bIdx4utSY6octsy
a+whTBP49QmToXMoVTGnKCljatpSz/RidPuNzIANjHo6RICzKrTCQkDqaq8W4fYSHJzlYRrNcJGw
5EIktMa86nowXfCQKX+GQxMD/rC6486kK4IQNNJI6598JCBNsLjMIUxyWiPMQuOaYP4yQ8BpQEbY
YirCguTOv0wjT4qIyQHdWBus2YUMA8UqODDG39IJ/jVlvq9TzSUE0QVFKjGtfV7xNH4EYWgsErHs
ABbWuErwGFRQnfimQYwo09B+yQ27U2ZcCpsOVy7P6yUHc8CEjpdBAI3Ffl5XNG+ZLEU8PnWdvBoH
iYIZLXS22x1+bfJhZOYQL1QXzs+PKhu2AryPV64Uv10Hmy7oXnS2bNGbuNhgKwH1oq5oSXvscor8
MzlLkGUqY2fgQRgBLImbRTXE4uSm5JLPwVZFvcPEyiLQV4iH/sWFnTmGFtJ1vKNHB+eBNQDraP6i
AnpQYDj1UEgpRNLVLs2fIUsr0bFuolKGqNVDSLDXbG6BXK9nb+KflKaHXAS1pRT5RTe/wOKomAG5
hGM6FcOi4jo1itSNwZ1jyE5C29+AWvEy+FzWwHzpHcD6pENvj6ZoaPC+ImYIK0zM9mh+7OdUw3YT
c8y6BK/902L8szaYUo/NA7aQ52VN2zJY+NPO9++u389AGZC2DftlA7ZSpU3/Mliwb9CMO9rQduWQ
p0uhVMRewK95bVY5405FN+mk4sJTzQ+A8aKi7cmnTvu0mPIwLs3mb9LcyjOca5CV5PaSjTD6dQ29
ctLd6E7nRRbuL2mvB3QM1g3dccwvhwvYSirwBSFQjFgNmwqdWfTsfQtfchSFZ2hmnraxldfQn/1s
88aXYOPsUGCyaMqZBsMYUNN/GxlmDkAy5vIXpKLBtnwGwXcr5zUZShLGvIzkcjvIWRVR195vokXm
QvrgxIP5eVlGUelg+DQQ/ySJOk4ESSbT9nrOpxFJC1mObaMOxLnrJcIsDFDuwazXydI9R4EsSXRq
k9Owp1fMhm+mEredn84InZeTCo5uAAs9nPEIEDjda7VlhTDyOly2ECYlHX3aMy4v8rFXIHfkn9pu
FYWPAJnDtvcbEGdyaJvkUdHxyMcem2r73aJ3WiV2eF7N/giq2f9h7zyW40aSMPwq+wKYgDdXoD29
kWguCImS4L0tPP1+0MysmiCXHZq9boxOI3VXF1AmM3+Tt37X4pfiYP9QZaRBevGg2cpTKIX7yrSe
mxxCxVSa92Li/QW1sjNiKaRYHgxeLFLSkUTcVQWW5HUPQi6dgZRvSAEvEks9DIYeu/KoTl7YFM2q
yQbbE3qrraCJ7WzubDfgqIRI1n/JhlJx7cLf0T+q93zYf27dOecmLaraaGwvAqm5GJM8XClOxzLp
1FXVhjZ0BuGvZX9o15TNH8ZhfCmLERqJZR2Un5WsEc5cU35rdEn+MijObphAKIP83MzY86EthhXl
AGcby7QsDUQXrEDzt02ijWsIQPQSL9VdY6OTMkWxkwqIcVo8nZVRF6/yUFVdU5U2o95eheR4qzSF
O+pk0WWXq/kmU9SbxtfPDa6W26J2DgEYHQdsDlNS9OjRk/CgQSjI65AexQrI7UwLdmnG9TV2krO4
lT+PAuCVjr4v3HzBhR6YL9AzaTXm+JVrDWntDVmmbHNHXJAxZjeSFpWkN37qdrrWrSq/ubPj4fvk
25dwy04Qo18zseeAy9D5o1IRUS1VXhbPEjsEY5FpZtXK1aWUhXepU27kWi08f5IvJtX4U4r9/+B8
djD578H57su/7t+tc80f+zsyp85F0cxw4GLQrnHWO/wdmRt/KDI8A0tzDFkhGfsVmdt/2HzEpCuB
IZvEpwSKf0fm1h8OX6cQsJsqZTAkSL8Tmb+WAFPoMhQiYIcUeq4KqUtSevSfbqGdJB5ay7m3s2HX
t5XhallWUSi3v+XWeJXkygWfp3lrEG1poU3Z2oBLqgMonqhR/VyaxzHyz18ELERNUNPRKi10Cr86
jJrB8CxA7+DZhtd1MqQePM3O7Vrfdg24Ka4RV+d0YQ7dvh6pJBG/lXX3ePQ+/6oMHlcC50Lfm19D
6d5A9W475lKVVU2TrOSDaezhOv3sSNolhOjxqVm/fQ2qKssMA2ZnqtYyQTILrTRGee4hmsFT8r81
pxRIy0yHCciWSdF1zsJ45YvM41f7UyjlriaSVaQ9gMBb5qWj3dZqfyLVefvYZiqXCW9WodyoLXWP
73QuNe1c3yT+/cev553VAhFDY+Eq6D3IYBfzgtBhgvrRSzeAgFAZl5IYz5QO0qEZ6NfdmE1uF5zV
VvulNosNKoLRJZ5NXX865aX0Z6/KX0vF1imKs5lN9iWVVYMC6evkrnOQCLTw3PftEGUbw4+gf+a6
DIKjvAyF3rjRBJfXAZhza8FqihJRbHV9lPfUUvWDDUdqF6dFfK34+Se47AUWb3azafK+AP1PdQ9w
L1i3nPjQTIxsyz1XuX2uRHBRynQFMcBaYdsTnRWEF+uhxz49BMmmVmknjx10tHQSZyFcQ+qY0W2A
SXSyyhXDrKDy5Oo+MYzHRFEMN5ua4io2xaMdWcRbtX+Qdel8rj54mSzOAfDY/MXeKEr4Clp6GOHa
eAX+MvAsQnkLAL1Jw/pR7yvLpfgAhxuymIvo65zLVNU9kQhJ2ZLul/e1WWLIoAsoWIrkxqnjU7F0
WrD2ylgnqrhGnTBUHsgz5Vh4bINvB2t/qJ5ExkkQ6D1Q3mjEruFQOKOWBTe0g8LSp7blNbi0Dm47
FZq2VtPC0VfOZMbVygaC/USoSzo0FndDBpcmCM9LS9HPHT2M4O6VFB/WkKggiTpxZexiy2hvOjtF
BBHFGg11iiC8GOLiCr7OWZHU8PNyOfegub4IPavPlUB24KwlF3oXtZ+quJ6uurET1PsJXAyOzJVd
GN0B/FMcWsd6GpVG500k4nOfxy/UvwwvrctsIztmui+zaO3QJPFQmfJT3be3bVZaXqEOt5lTW7uw
Gu3rFIYvgWW1jetiTlnvBgF/0pxgfBCMgArqk7VJmh7eXBKdB1X2pAlB/1mRevWYfskN8VI11TqW
axrsGUiJo0g8dj2ivNKOfagWiQIhQQflk9lFeZCcj6U1biA2/jBjR/U6WGFrxVBz0PP2WyX3sltD
zgIsGHYj4jBXauKv5QAQYEjtQ1cm93KeUw7QJ9ceYO9Ufr22Ous2tKvRk8xiH5eqWNHGTfG6YLgR
2LyvJy2PSKjK6CBhVb+OAJArKa0+NZ3ozytZIOLoq5pscbLouuN/C9RiE8VKTWLPDumk2Dl0VrXP
ZV14nRVkbu1DC2iy6k6e88ve2gQ68KcVbfzyuevZZL0ywm6Vu7uYp65EFgAsezXOIajqsUrKUEZu
b8JXjCQ4h2SL8c6K/Vs4n/f0sb6em16tpEinhD8aziahPMCNhSOkk8FM7kAxJMocGMHv4r75bPvy
fY66iIJvukuUDIpTD7shV7LzoR/P/YRmK/Banwe7uhwLqVmxv190uZNddeonqiXKtDPkkP68dmGv
+8x4lhPa6eZxHyHWGteqPsYukP6mb8crQ5KrVa46VzVVwVUgZztNSYqNnQx3pRZ+jmZz94L+ji4s
w2lPW3tnQw62pZxQuXYkp25oYANfVeUjXc7yjYnEajsBje4aPH/XdYO6pkmgcHZIj86yMpX2JbaB
qwhtWpKGkws/fNVpu0y2sZmEpupqHQxx6PPr1tJuEueurL5ADPwUG+ZZYcReWaZbXahXhQptu3Kg
TMmUswal/exI9XkKshZEssxwziO1EHXN9uLUscp7ops9y+2rY1gHKBBIA7o7I7qbuueuewR8fJJy
o6E3dfN9gnon1Bj2quTDu9YPUN9AHXqHB2VKPxq5OkxKACHD2sjZs5N8bsNKdvGfhBRIZwAzHTaa
FW0zB9BulI2VwvJrpDM7eEI445VGb259STNds9uMJSRyGI6O9tJZuTsM7TcoJ+dO/QjIjYLk+5T1
bjrFmzBv80OgledlSHMDyRJuic9vH1HuiCiRlhClFRCTxGunaAvgFqwS7NoA6F0lVz6jDLtIbRiV
iQV22T6WRZGyxTWIBVl+O4b8q+RG0a5G666vH6TROaS6dI1jCzdk+0lD1jOGX6a8XNmSs55YxYn+
Qvddop/hpk7HvdFSrKh686IoL2Eu7sfcQfPhDgnIy9jAS2oOTh+fR0k6AS0ZDJei0ixEzlE+cgpL
qCt6/xHl2gWc2sNoV+k2N8X2Z0JFBO2gBUpk5D5Nve0yNGSSeZBk+6seZk91VniQWbwklDTaEDSH
OvpmlV86/cWMh6e8aA5VltmeaZUPjXi285LNPX3vqbtUenSrFzS56KhO5a6IQtLd7rPfpaFrxc4X
qSnnruVfooEKnpZ7yPJX2lizFUwouEYV36ZycS+Su+GrVXbUqGv9XCv7le/gZ5b1F2X/HFBLydp7
rl7OB9QzdM2GQizcbAgfcFm9UNpgBInLz+rSpKD5LCZY9tCorqPgq5myD4R/ASXys5k5qLL8bGVW
V1ZiXEMeeyioJRLebNSGolZvXLZ6g/jVeGg6ZRvAkTakUeWU6dGqmPE6DJx9nlePfRZBJJEAUFdp
kVZbQ9caT0h1jo/TGCcenjfQlhNjE3fAPkJqp7XVqM7eohS3sn/WzyzM6+sWIh69o/u1GtvSGhCi
9SRotWszlWPX9HM40THrH01Y7ElQWjdGon8SoMI7pRAQmFNIIxmdcpFllCutKK8G6hNuYJhUc0rt
SR0xSQQhlZ+aKTC9CXLNLvKTejVMabEfRbibLAniUVwlHgXowUtKyFd5lVwWSicgOPfQjIta0EPT
5Im2qrKnpw/OLFNicRek/TZrxnPodsXckx4RmJPctzLxAjyiXVxW66rSQHVHPdspufENbaHlUeuN
LuHrAt5D9HeLFibp2KrlVlXz8tAP8qaiQEGZiigJUtFzQFVqPWXIq/Nu1vJAIYKg7aGzIxDzLQgC
6hTsaMCwR42KK1of3eaaeK4SHht6Qe6TbVlN45VfT996LAApoynrKil2MXT4zc/g+f9J++zo/N+T
dpeM/V+rrsiDt4ja/MlfeTtqPQopmqqqJlnZr7zd/APYTLaA2UjRfybnfyNqysxP4Y+myjOwNJvv
/p23y3/Y5gz7UAlwNNPAPeA38nbdYPhXiSnFBH4cvwMyDtWDpbUErHQJTbNs7TrKvno14lwTiX3a
aLd6211lo//dNhWq2QbgilPauyDDQ0hPCImHiDChsdCV1o7yAM2QQl+XqW4vF7edVjebQFUgozc1
FPn6thto64qC+a6JklVTiYfO93ehDHcyMywCHCN/YndAK9Rdq+rJF6LRcPHUv0szWH9qKwrEiOiz
Et24lUvz0hxroo2Kymx2FarjGtwLPhmJq4uVQunGdti4Y8O1TVkar0hPCjnMxpwwS5jZxsoiZzWp
gbyB2b9r7ba70CFJU6HNLiXb2HVJDL8zUs8DE5/O3i9lD0zCgscaQ4XTVHNbxvXt2NVf/V445yJC
b1iUin0b6DApOq0bdiRP6pWj2esuHLrrsuvbTS4InVWlS9eQGGnRm6a62zVKtoFNeKVqmbmyVBq5
mwKTH3n2zrZCOfSgvZ7jQg/Io2baahIS4XdOdVYk1g80FdRK2zVjU6S2xLOk0y1S2MmG4jfeYA42
LZH6GZYUGQ7RIJ9syk2D79aqyqu7qusr2hWI71ma3kU5ZBOba58UsLmJyWbckGaIoBGoFFSYH302
bgOJFs6mz4Px8xsn1a+CTGzzCaMJuuz+sMxmI/naRq3ky0jOzpRUvi0lY0v6tnKC5Hoo2yfRRpd2
G2yg41zVcr1h+Z2Z3Hw0G9xMBR7FrSl9E2mFwsi/pA3zyjHsz0OgsRrk4iCYSDyB4fjSJz/Ld3Ia
7FTb9L22mZ58kjOq9V8kNbsddPM2rtAClBHeRv2+qPVtAqjjxVMLOFbS/Tb4auuI9BUd4BKlRb31
/QGJmhgezGq4iWhBs2rVrN0MEoq4TlHppV7RuwTtibmZqGGZ8pSsdLQDYzPdjFFNbVcoYp1LETvB
yjaqYyPTrb7B2/0yEKIk8L+g+NSPFXFxADpg99Uhsp1d1RMlmHp9p3XRtS1N6WbMfBCI6Cps6x+O
6L9ZsUG6iHJvg+DKXEdtmXL4Cx2q82hDgRLxYZLpMYUrerZt/by/lyaz99JeqTcwsal25YG0Vkv1
IS7LkeSARTQOCnhpk18WqUJERE2gVCLg0dI31r7BRRLYeFgVseJvlDRKXD03SWpayJ2ocGE5svvc
oR39bZ6W96nwVwQRrRvW+SNd7dnVD6Fuu2VH3iDjatoeZq1KHWYyamlSME7Kl0wvr5DGbzl2hr0e
DVdo176b0OvR41Ny1oxr2Qk1lIBxhc5tHC7QvxP+21N+FXZOvnai3PciLb8w5KHekKPkm6L2Ja9s
qn6rxabkUeKP1kM5HAwQXMGjjhPwT2RXhNlycW5oUgNzupXQEPZ7YNHqjvIJjyXs5GifyOlXGWf8
S7/Mqiv8sRIwu2ozS74BXPUvaahvqqTEgbOXhk0r+c1NblnVGnbhRQ0w5UUNPg6NZMnABJPy0gVR
fYhQ1sHp8rXaRSxpETzEfezabRrBzBmi5yaq/ds46T7FjQz2HlYvNSJZ2MCqO43lWe/ocKntKaa6
Z1yQcn41jPomLjLyev+2ahB22SGC3/pKacP8UAyI7HTfPLdyROySf2ll/grl3KdWGhR30ELIuTZ8
eIxnzyeKirDBsmJjRsPDaOYUSzH/o99QAntMKzdRGZQuvsL4MToDTzEoUJe1OhlSvA9maYMtupFT
isROViG1WxPrp0vr+05O7jBOl7w+7NMNXb6Rt1BugUAUX6dG7Xt6m9iuPmlfJWl8ohD4rOUmZcXm
URjKlUD5v6okLfbaoCbHi6FvlF03galMPfUVaGE25dALFemB2ysuMrtDGXbKWjjRzRjgOm32rAe1
TyuPDPvOVvJgHVJk80RZW+cin5x1DcayygoBHpxCgIMm3W8GuZ28aOYAVmqBaj7N72ChXjh0HkGE
oyHy1PI7S+ssT1M6/6Ir9dzFS+3anADRyrG9iceBvt2DIjzdiuIZz77GxwHjEWiM0MW6aFehrNjp
CAZW8NSitVop/loxx4c+qqNPupxnh7gSUCPJdFBPGZfJUFxWQJCu0ZPZGGxFM4GziBnFD3L+g24j
9cllbD/iadpqg32eB93nJJe/OpC/uy67VQdee6TpTxxilMPCT9gaPMc0Z/QCv7v9f1j4J2mZovh/
DwvPvxT/8t5jWc2W0X/HhPofJoQpBIwyJQPQnF8xoTYTpjghLFhExk8289+cZfWPuTYMywruk/Vn
IPlXTKgqf/DviSXQDtkwjo3fCQmXFX6Fgoxl2eBIYDlgTYtKeGInAZUgJzyE2Jogk/BELDbmbhwq
zGimdXPCBGt2APtV7Wac18MtfdnkODAxpmE4+7uVJVsxfi8EOW7/Z47yij9/jL+8BjLhnikzFRup
g4MDoIIq93VRPdTaeoIonB4yKi+qhjywx0RFk9ZoI2ZHh9XRK38H7nl3ON6eSkBN+GEByR13Iq4G
qp4RByF8GlBtE3VA+rWiDlcU0X1ndL+Fkvw1uaPRZlToqO9xwzmYC26rgw9ZqYLYLElcVUp+4hku
QJI/x9EBlzQI9QZ87TmXOBpHtwMTrdGYUiax96XRYvZd7Ftqh1ABdmqVf/f7B92ULnpZPKAXWslU
rVCnf/xoX0NCb3/E/PdHP6IpMKiWhiE9VLGxjqgQaInYTvEp/9t5mf9al38No5g2xDkdYHXZ/iTo
aX4Syl16cJTkfOj8NSQxZFqhZxTKLiqmx0m5CqPin0xu3hEsGVBLeQFaZg52ZAHs44Mu7wJEe4Xz
qA/FCb/zd58gCadNxkfXomWjssYKhqkRRopitrjw435V1jOZsr77By8KYQYJJseZvdwDSJglNMFW
eni2mymExg4RRXz5eAztdfr612s6GmSx9B2ps8F8pvQQ+piRWEBWNHgau6tGDrJd6IjwqQxpqSnS
3HTBSG4tuSzP61htIbcUl1bgKNeNLSjwKE3mTkavYQ9AegbbJ3QAWGiGtifaegx6Sd2hWp9uw1I5
a6EWAcAl3U1At3FPoseZ19Hi+FbGPAqrQ7OD1yekEyfl+9vvaK6LlQ9OBr9NN9NDWWTSagyah3Cq
ZiwGg5kgwWPRb27jLg1cTRPfg7E9s+bnPkYZmoFTjv/vbY95kSqcqrbFVfF6F+L/O2XayHmKhoJY
VKpcjZgPlccDNdqN3TUeojjglUw5tTEX/SH+fOXHQy/OVjM1kZjCFOSCas90pprMcx5LibJlJeHL
RpxuCwzR7Adq64eihwdcBeoP7Dlvzco21x8vwXmFLQ8KywKfNkn7dXVpDZ9Q6VU4KtODwMPHzcPn
uhGnQGHlvWVuAYCb3P+Gyf3/+nGDUEH4g9J5MB1l2tpyeauH0ouSW/EZKYmrhuKuUCyUx3pxH5EC
nyvNd1k95U//3q12/Cvm0OHo6M0cFKR6xZkYimSkzvO9V340uVzSnccuXGV6/AdP1rFRH7HKVFgc
r4cjkclbgUrtUDdR6zohusawzFe/PwgZhSyj0DJtawn8iwA7jUTFbkKoEmyyfBVyUvyTIXRdN3Sq
fRCtX8+jDKuiLRotOUDvOxtgqNrO/uMRFnqsP/eEDfP87yEWb0YUKQReiSFUrfiaDV23wbOcariQ
5AdHMSHuZsEzuVoHqETqb6M7nSv7l3UHeOHo1QUOWl+dSo7cTuh3ITm/p06PkqrvnLqxyPWte71I
X7RJ0CfDuhnMHODTzO7gkn9q8vQF0m7qDRIZUMq16U1CGBD28nTta+IatOcctBNFralObj0CQn88
/Xe3x/H0FzHr6ycslcZEnah/JEndxHRPd6sS/AjXsq409upIywxY76kb9MI84UX73s3qwJKDmG9w
vy6vPBwnIlwpgpQsrL4eEc13KcaBUfe7C4p6HQEtZBUTQxZKy68XFGCTZCiQkA+FXwrIU07hRu31
x8/0dRrAivo5BgkFqYZuocFfjAGVd6QiGB9EIfZTF37qjAIjrP7BaOUbnCwImvsT03p3SHUWNhis
BGUZcqV1mrVK2MaHKLrLbBs6Vu5O/XWL/EmxdNfGR+AfzFGDVaQYhgzNcbExk7bJGvZKfKhrygbl
4MlhDYj1TQw/iQdbdTjVhvLNApmf6tGIi4Wq0ekDSvAQH1TjrILskOTU1SL9xH54c06/HuVnzf/o
nM7nCXe0zjmM9aFDrlfqew2CDAJGgKIfHz/Dd8cit1JIW+m6suy7gtC8koJmimFh39Q9JTxiMcp4
gHTSLZ4wv3tazzM7Gm3x/EbsL0qcWuKDn4eU8UI3VcsTQyhzjP3qQv85BqgMuZsNoXGx8nUJU+ME
L1Dkaf139Itr2RmeDb96QWz73emTQ1OpXh1NntDkCQea5FQTwHcXiQVx0wH9AQJaTLKa8O8jxplf
n/kgte2Z0KTZivRE7Pw68/5rhzskpwZ6Kjbd4npNy7KCXSFFB22yn3GmmzrsVJsnKfr6+yuEcsJc
TID0Yy1bXPh12Ui95UTYKhTNunGUz1mURq6VWdjTxeW5kWPf8fGQ750k9sxYnpmvNujC68NLKTMd
rjdDQm2+Ke3ggc7Phwxh8ACjSk/bNR88MaQzh53LZUO1BHonTQd021ikbhj9ykGn+YypRQ9WATsv
Max7yU77i7BsvwQh/RGHMaXsXgXbwrQhMvS4HnTZrk6SLQ44hOwF7dpgVbhaGsiuIoYeX0HD39qx
biDeUm61WXQiavgPAbHAF0keziq5RD3Vq9lGaMp+cGhfamBCgkHUl2DobxAAH0Sef1fK4oVb/xmS
y7qd/G84OBKIIHpZ+fm4zdGD0X8cu7EGCzgzd87pKAMQVYcUm/Xp2m71+2rk3zbYYprNUzob50nO
BrPui0yp4BK0xY3ex5f4yV6o0PgoWH4ukx7j8XF6lGU4T+AUEYLmEnrepIB6QwHgAqZi2oTfW7vA
+Q/alev0Kc65VXIDZp/DM5KxEcr6fRvCF1Nr/SwpJZ9Mchh2XZd7ZV4BV0LYqPXgSpJLtGROeZY3
puJpNISHFImMCNQIjxRUI71JFfXjdfbeFjp+5+rrdVaI3nZQ6ESH0emRIpFnVqseo1hjFOuPR3ob
4nAqHQ+12K1S2yMDx0vvYGJYllMhk/DanSYVU7zxe2zS/TXr702aFQoLgnMuX3T8jo9/wzzEcoU7
qqpZGBoQyNqLg7E1U1WeqjY5YNcKspnvAmK6/22IRRxbmRAtSqlKDnkQ2qvYz6Ao9qdIxT8Th7cT
ocxiyjY2DzNh/jiPIaFt8b9OkoMvhvMh4ETPD1Kw7QLwTyHwTU62XVrdWn3+gKzMq6CGV/1XPxdE
wz1KsK65L0ywLkIK2GNYDMYlfQJCaEfYXMLmK0p8j1SjWk9Nchap1d5PrABb0wqYMNRbr8QvG4yq
wJlqRGAT6Q8fP8X3jj8UVf+Z32KtTANNOWplSA6J2btmGRUHaMabEpu1aNTQaBvRWaeXJ1boe7fW
8aCL1RFruEHRbiQ5tDgjUoTRDnKD5WUTnLhO3l+FvyY378mj4Aa7S6uqB8ahKLEVegimeOoCflti
YLNxYeEzJOMtYiy1A6nGyTJMTnwYYmUD0LkvsTDbCKOFCIFiUsPBmF5K+fM4ZA9Zn37Nsyja1QaA
nYq7DT7R9ana6/tP99cvWpw0OIsmGQRKXBEV7QlyPqLMAYNtWXn5eOnMN+PbrfFrnMXWiAdYbMnE
OLGCfiMYBOYeANu9HKOjkl27EzcGluqBPOw+Hvjd10oFhbhHY+kum3t3cmhIyCaTA7act3Jr7xMy
yv9tiMW2UPDeH7KpSA66mLq1rdI2xGFPfzzIe1cCMdt/5rFYnhIABC6gWXKgVnzVRpMbYtfUJ+mD
HxW3Hw/1XuhNNciCR4C/DMXc1zvBQoKBm6jKjsOlQgdHR7zoWZj7SerNaDx9PNi78zoabDGvqvP7
WDUVzkpsyUYqCg2hQf5squOJHPrdw+tooHnWR/tbrRvsKTG1I8z+pkEm7/ZOHKCBizF7Nt26OFVP
PDXeIlaU9bK3yoiJRTneK5KBS0a3RvaNI4i8T+sftXH58ZN8u9Kp65NXWCoVJ6hciy4nCnUaW2vM
6ADb8IffXctDcuJdvZPCzEOALNpUnMjeFy8rq6wGpgXBAlvqwmzg3vvO3JUILQMY1ORvO2x5NEVC
tykiLvHEQqhViexExfrtAn39Mxav0i8NPdQdZjo1c40QQiO+DF0K1VR2CFf1397fr4eb3/TRytG4
W/98sDTuOpfBzdHInGo09t6UVKymMIdCjvRGnKO1GCqoAVMq+/CQK07hTYN10ZoVlTOc4Sivydvf
Xy7kTgj7QIxN/ns9q3goiBLCecRkKuA8JLgXorX9zUFmeJTyJ20nKDLbS3mabwwRXs/gTkhqm2GT
fvr9rz8GDpdzwGIQn+YhPSTe2bf/7asXFxY2D1YRtXy1paa7Ukc0rkcnHs6bo4+Hc/zrF/eGGqRU
PyKGKMWLasfrtG/c2PlcF9E/AeaOMMfFge5jY1HXEQXvqjrX11jSQ1n/+Gm9CSPmqRyNsDgYYM4J
wzbBEZKLMb2oL4r0xOn9Zn/MAxwBmIs4xentospM0JDU2RXazRSu4uIMKl51qqelMh+TryKVxUiL
F482jhpsw5KtviT2qpronuC2EMdWuXTiwH73oR3hpYvXkmmQ0y2hg5eekVnndzAKP34r7y6wowHm
h3p0cInB6sMgAZB1xJlCtdgovhf+tupOHMdvbrr5iR0NszgffYWcua9R2oXOfsRDrHGzXZlvtRyT
7NXHM3pzxy2GWlyqeGEbST3yyLJb0IDfLVzx5RSt0HXBhIE5vThNwsbQ9WCChkCEGCDMvJytU6e7
j2fw3kI+HmSxkA1c+tMhFOnB6B7Vaa1+cbZh/c2WTzyon8Lo5TI+HmexjJ2wCKgHM5lNy9oyL3Lt
S40tAqTZcSuC8y58svonKdzlxebjCc6v4O3AGkECt6IOMeb1osM3zOpqgwkWlw1GQf1qk40bCH7d
/uNx3lsKx3Dt4m3l2K/mRgFqXXe0KVnhUfIPvn8GKGQNWyh7qUgep76HjzozAHo3Hn5Yycs/+P4j
6HXxnOha5kzTfPpjZzfeTOmpBTAvpDfvwdFtWVXMd6J4SIuRsDt+v2E8986ZyDeNtYc1qynf8E1u
v0Ob/3hC767sI1h1seJ8uroovtKmBwB7t7f24arSLju0Yh8P8957t2GyyHNTDALdxakZRbgOIhb8
GVI4ppck3m9+/1ymV34BVItpRIXVS42fx4eONikV3bxOXMZvDuXF98/zOzqUsZ9S7D4GAKNZLf1P
1PhzIb6pwwmY7c1Tmkf5hXlZi6NfGWuhjgWYV7xSts6JKbx504svXxz4SRSXUxDw5VM7uGXiDfdF
t5XpI3ViEm/v4sVAiz2SERJnclTHsHAOUfdJrz26B5bIPS6m6AFfheHE2npzI78eb3bJOH43eZw2
PoSbmA5H3ACPgGjTqeNROTXG4tyaLGWS6r6JD7Z9XfZ3VnONRVBEK+rqBFp3YgksWXXGFFn4UM8P
z7nSNrJ++w/2ya8VZi/2iaMnWhhWfH2O0h3P2f/xVSy2iV+2Y1vNr0Kr73N5h13N3ce//9R7WJwj
8YT7tNKxiIMvME0sOO4nDpJTAyxi4glTnzoeQYErRChejmhi9fEM3j1Jjt7AYhuiZdF1SjNsw30y
wYiHMZZcj8aJUU4to8UetBNNnXxmcvCxEbuJnN3HkzhxljiLLWePU9Yl83bwn4Y5yzqrh6fkFEv3
xByWRUDatAVK1fIqyOGcs1CceERv37QO11o2YQCjdiN7f31s6FFROE5PWSRvmh9d+aUd8Mptfq+n
94yrEk3Z+GcalqPTD2qxYCuaCam4PkSHMJmu1DY694v4n5QhjsdYLqliKocOR7uDZDm0x7l00LVh
doDFAnHjqfX7DvZEzmhY3OJ4TZrmEhGHCksXoRqOtoV3A7RCaOCY6G+tXWBdN8n1JCPeSNQdjQrR
8J+q2prvVONfD7/YoFacYrAum1DEA1PQuRusUrKHZCX79nCOGy0KHyOxVoUcrdA90xmuDeKtrmbq
IcVqaBXK4yMcdmQ6UXwDxlqhF5/bPvhC38Ek/jyFpemOQ3gWKkbmpcK4l+vU3NPP48LMusuJ+A/7
YO1Hh6dANwGQC0Nb15G8kzTQm44O5U5NMye/CGDR9lPrFWbQrBxUk8QlKJVjW9lIWQZumauBG6Tw
pisNyLvPbRUoD7tGfOHcmsZzHhYtXhH0w5Y+mJ+TpknXHRQuSv1+7/Zq/kwHwdBzgvLZosmfW4xV
tQ8QYHqWMHPXCOVdjvZSdNWuw4psVSfOA6RA1EQZuuhY3YYAB9Rt65hOQtpdGxQ0AxicxFg5Fe6c
STn+yCgQ7OOhKr0mH5KdUyC+zqXuxi6Km8Juelogyr0nC1ylFZx+V+ABJmZpEmSdSP2eOPz/IktK
WjU7BZSFPsdUL69XePtvQiFZLgaXDWKn+Cx16tqbcvkWiaC+VUKQM5RmhptaabIqlfKi1LTbsIgA
WwSTbItrJ8U7vBYB1hYdXV/kvujdwQayy/SUpqaFeVVbuD5mGILi9xmMCHbkyzqVXmIJAlEgzB91
Q0fLzlHXUjrChJn9LiB4p1u7bDpXGW3flfTImXXTLKZgcjaKUF9slKz0B5yNEnxRIvUrU5q9prGr
9jEGM5ZzRrORGUiIun0/Yd+CZvU2M0yK5G3iYA4pyyvsFaxNXprmxu9hGKZjUZ4HY9NsdQ1CuWTW
W9ot4/mplbanVbS7ka3uwRBqcYOYIXLxgmkPAx7Ym7KfPtOE46ZPIffjjKF6VPQoezih5Y1qQQ8Y
UeLRETSfmwFOLG6SzTqfpGz1b/LOZDdyJEvXr1LoPROcB+D2XdDpo+SuWaHQhpBi4DwYZ/Lp78fo
rkqXh7e8M3vTwAWqFpmRQXOSRrNj55z//+KmTl66GHegKb2NO2aRqVTR1wxzwR3OMxFOq13q6b5V
LEAwGUszyW7kCW89wKFXWZWi+azT7tA1kb+tg1TeZHbyWJeANOKqZyMoMesZs/yQtQpjNObXIqra
6xpQkzvFCd1AKBbdqioNoMMT5rEiatakPejTSxp1qaVMTrWmsloWqGRt46ofMh6u01puLIYXUfIr
awNnjrnxGovLq1rzBbieOL1R6c7GIQEHhb4YQek0PI7KfhbZ9LOcO39x/mnWXSpDBKJjtjWUcK21
+rg2KXRjr6A+5I38QkMKhpTPkCxfjaDcS/C/UBujU+2j5Dqy9aVO+ySehyYmiYm9IT/R78OkHoH+
xKYXBX6wVBxIUlRZR4glO5nTVFWquxBFmds09Ds4W6EoHl7bOCJ5BS8VHb7lyY9GvNWnpl1GdJ3r
QKIBtbeL1A7vQ/2qkG7yRNnqJjVORUAilPFCKc3qNrdg8xUSXj2JT89GU6tUsendjLQuw82m+8LZ
ZWOKDmsbetE9iEmQ9tQkX1Tq8KzOvSW6Fl5XdY9Omqw1yQZcTJMWDW3sSm3zHMXZ19BIDu3AVxxW
VD37wdgO1XusTLuiLbEKve+w7F6F2fTdHgxAmFHpDr79EAXya2tbt1oKO2puvDDmFoyykupFVXR4
EtGaYcSW8KDjbjrbP8RTjcTYTnd2b33ppRjkLJQHz1F49WnbNFt9rlKgfrzuJ8DN/gyfQjx9J4mh
cHGsICnb2MtUtvJFJ5UHAZRpUWm4mRaIYhaiwzbHCHplaU3tszDKl8Sx32GYPJFQ2OYRagHWi94l
JyqDmUxf6wCYrhlEySLT5BvRGik2U8W2G4drOSf5V4PLtExtiegUpmPIOESmsotTKvbqsiRJrgPZ
wy2S+ntv4f1DFz5tPbha8HFsJjVb5zSXwQ9I31qBXXxNHdSjIRUrmxQnETUKrzp52Eat/1XDm9M1
zXZnD+VLb9lXTq3SBVbZ66ps73MiHBcAY0tJR3vBij8FIArHsgiUfRmYL35D/5E+TKuETs28RLov
6NC2M/km9R+AyD075ngV8DKqtNw6yp1ajbclbGgnllaFIQ62X11L7HD05QjL3JnyjJ9h8jXmfTKo
Ge5TylPW+A1WdthJTHVD9qpYS2QV4fUtwJqDYi6p0HcHywBi3shXyCqXqoq9hyIWSh3yW0S9NjVf
usJcMPil3PeSwUYxoC/tJL9T0yjb0IUkLQCwUvSePAPvfjdUMnvJ/mx4mVLHtOBp6jKvMn1faQwa
OFm97gQcLoxYf4LGPMTgCnamFu3rxBgWqd4AX2/oKhFDo3yRxGzI4syfgQTHoR5wKlTrlARcV7E1
NNCGMD11AYJmno2nl4t1F3OzV/zriWZnL1RbZ4HlS+FNNpQgE1Qx/i7AdtDEaHs6TtluQEXQ6lZd
5cq1atLB3tva4KpOhQd3V4w3WoauOxJPdiRWmD2YmL800lIzwwTLKOxU6qowcaDFSwsvcD74yDY3
9DEJF2HrrAgeqtVYlN16aORtWNTPzkwl1rPJf9Wa9LqqpgEjL3E7WCWrYF5/A29pr1qRwJHMk5sU
7oMH7S7ZmDzz1SC3YDz8ksmPZ9kg9zg0JSEdVVig3SBotlxDq4xFk4NQy1tbXvbVQIdHjguWGQ3v
ME4eJ618G/A/2/dD+EOY0b0CPxGrKvrNnRSvIFx3NroYB1jFprScJHbyILNfBm3IFzYvEg+VKT6Q
eu1XkqU+A1YYd5KGVXGoDMbaGOHepiPue7g+Wm6pFnuzzd5RFMtuMkmsgJNW7OwQiq0IK/+6t6Nv
ZT/uE7m+UzrZX8cOGLu83rWj+MkGHsObVu5qY4zo4cmzKyMDdaVq3JNqFnS2BYMnxrT8oUhl84BB
i3UDUJYYsVPDVQ6qGvBaUHmKyC1PsbJHRMSCKZnD5+olZyPXHQudnWMW0avfwsGWuPi801gi2jVq
DF9jiq8spb8JquRbXEbRUhYOCNax3E8hFLWkHwsvQpm/4L4HMJ1YDX9+qvv9aPoxtD5JPw1aHDch
4cPOsguMJuaxqbEnt5J5IUV05uhF2cmQwe1wNKLd6OPRiwTRkKl44OwKjXfVzWs8iHrFa7E7uHBP
vxImHzKqqq7QFG/iXKvRrXaaU0PNFmNUxVjMwVuSw486nY9og6J6VfZNuybwxcG4yb9nI9GGOn0d
IlhURWNP2EAMPylYt7OKvd6USMDwAs2vlaq7l4iTTdzGjFHkS9vAxtnKzPdcUc1VGVsebr5fC3DO
KyLEr7Zg9kTBbpCHn61ubONUvPuGcWcG6hXHUvtKkn0HBkkkzy2V/TrHQx3WBwRr2HsLqWfDwJ/6
RzdvITl7CV4cuNDP24v/a6dp5k0nCFmzwnkjostgWbEzTfMW1bJXDexZkUx5JGUXw+mcxWbe2DR2
OH3e6uD4EinP2x+sh23OfhizL5bsjyb7pD5vmOW8dc4K+4WYt9Ny3lhbdthk3mp5Vgjv2XxxBWS5
mTfkbt6aP5+cZ9KKH1/kyaRpez9LJizUd/JT2mYHTBPdHB97ZzZSoYX2qYx+WOPL54Oem6hHk+c0
tdiT81Wr1oh2aT+tKm10HatbO+yvnw/zezqFW6NkIc+d0aphnmTl0nLse4QqJAmiYT8N4+04wVOw
9cdsyPa5X/2t4aDE87kjHztVWVdK3ZqRwZPM1GSfFURvgGQ61U2GgwTk9PN7O/sIcS+ykAOoc5Xu
47c+4Xdd67jE7zrl2jJ+phYU56hbfj7InOH47SM/GuQkKRBHNOlNZh0hu8Obp7VfevFq2k9d8KUv
lEdStZ8P93tmivd1NNzJQumrdi0w/qC7OwFYp7xatnPhqZ1NcxwPcZLT+fOOZilVpz32wRezfO7E
a9Bfq8QoGi3jQ8w+mmATF0lgnwnEoQN8fqO/+tQ/e7AnHx00P8gRGW8vHIxNmPkL2yneUpW+q5rA
0klgGhZz9JnX/b2ZhtsZGwQgVV77KsTiGooV0kRcyPzS8pw5qu3n+LaaI12/Md9HybzJ6mbpTA72
JGBl8SBqCRDEc1U7DuhqVPI9ulw3mKRbqw9mlzcO/igIcOTJVlj5kIo3r9sKM0GNY1yT88MqzgiT
ZBxq20rwrrG3vm4+DJGjwVNKS9w6nFe7GuG+Zni2BXW8N7HOufDczsxHJBvIFKHgUGc/eWxxHQca
pbVwl1XOPhXRa9lMsESkC7XvM73LBPJ/jmOc5GGteMxQnzOO40v5CmwBNG2CcVvYGaC18b7sMdyP
q4hkBGkR3PeuIUktG9v/qmjwOaWq3UcFDqthq7/iNPeIy+pTr+VvlR1hzzOle85ZOYQ5YnI5TG5a
PCIhKRCGawDbYoHtkVVCK5i0+KmWNQiWTUUwagfbhHv+/JGeC06Ob/WkAgPxL7DQw4Y7Q3pv5mHw
SduUUvGYPXw+0LkFaxbS4a0BpAj5xscFq3W6gmxWGO0ieY8hbqI9x/GFIs/ZIdTZfAIDd8KgkzUx
MnObZmyNuM+WXuAr9IbAjPVSXezcoohI4F+jnCyKQs1SLbT0aJeE+WoySeeh/3oJdYL86tHq7z5/
bOfWxOPRThasAu9Pu5pUktATxkHWW9AVF57a2RE01bKwjwYx5cx/flSDldTIpxV0IgBIij1ZIiZo
sP78Jn5tfafr3ez8PQuhNDBoJ7MsNlIjbWmXBGWoRguj64xt3xtvht+vcjDUS79uGteq4Pcm1JjV
trzrps7HeNT03bKEqjHgKueGhnGTG+ntIICjNIHijUV1SFtt2zVytg10ZRtaY7gISEp6Q2ms+tE5
hJzlJFy4Vn5PKlLPLryeX13qH+/sQ23ZUU+eXm/RKeOImAKBB4IuGW9j+al5r9fYq2rXAblweEKe
RtNi6TZo97M7S76ERf193n/8DSdxTon1n9yRV9oB1NWqNYZp4lK3/u+h1MchTiaJjAWhElsMoURu
2R98NwUOA/Huwsao/P5xfRzn5BNu2IIqVaUQmb3p/peyxuE7+2qTEiS9Oi4T+yatD1a2AUo01suu
Xn0+T3//FBj9SDl68mlPNYbUNVZhuxfpWXv8/Npnn+DRtU8+ZD0HWWNgMLCz8/tc39QPfXugvvP5
IGdnwp+DnG5cfGQJdlcMouL/uO1Jd2/+ZwOcfMitXYU4nTGAaQITdi0vcy68g/kZ//ZBHd3CyWSW
rBiQzawX7htqOz5G87s4fbjQbXjhRZ/KMjMDrI2YXwaq7mFzkYtx9vK/sK3KHEWcLneVmqTJAA+N
Xqx34uX87/z6o8ufrDlRmbRWjDHoTv2Z1QQHy8/f8ZkjIZ/B0fVPXkE+iWyUxiTeyfmzOi6c8s40
3MR54wSets9InbzJuVRZP/vhU/jkvPZLKHsyJsAfKy9pAt0pj6N1yDHyTxaJ9KhED5/f3PlX8+c4
JwvMKAMGNR3Gwdjf8y+8mLOf39FNnKwfSg+b0aZWuhMYbN4RKP7Pfvu8xBzt1HllCmqK/PbyW+eq
Fx7M2fXp6LefrE9Ua1Ejtlw89716r5Lvx9Zzc9G069wjOlYNnwzjlBY2qhmPyGkP96axHpsLW8i5
9eNYw3kSu9eUg6k72NGuImmUt1dy+TLkFk5EF9bzcxPpeJyTCRv1ytRHOX0OU4k3l/iqBRcWwksD
nMxUCclraTezpBtXgSctWf71yXT8+0/mam/pYzh0XH57+3esM+AUQQO3NBuriZNHE6cWBRjSwnDn
Fn6x6i61ws3HvNMtguXJ0dBR0AhyepSAtRDnrT+hXgJYR0d6qv7oVqryxRpbF2LB58/p3HdxPNjJ
hAV/kpuoNhDkal5QUWHblmKBpb4qLryQs8vusfT35I2IROJ0HyK6tItDZspulu2MXXxQCyjHbvVm
txeChXMT7Hi8k+Wk8UtzhCqOZU61tZ+V8m8shseXPzmsUzVpVKhraL6e8eZNTA8jhAvv5kw656OG
dL7FoxWR5kt1GPOYl6MuVtoQLye8WtR60wN+B1d3obf/3NJyJDs87YJu1E6i6wRtI4baYtSB+L23
MAWH589n3Nn3cqRuPFnBAllkDfXgZFeI20i/ytpLBYmzU/poAPXjUysrWR6HnAEs63tsri6ew89I
43gtRwOcLAA1pbXMjHhQbf1tfAZ/eZD31UP9JKgzPpX6hTPYhdcy28IfT4KQInwjFJTm7dIUPzpq
4Wm7Lfrowjl5vsxvq86RZvJkIQB43iEhQQlqY4tS0qIRkSU0L8zo39898joN/hfdbTiNnkaOVCgl
w2xZOuPZ2+GAPfjnc2v+kR9vYpbv/UsXecr6MqCm0Fg0ixZf1GiTSnf+y9BdN2vVvPl8oN+fFgNR
E0HebVA0VU6mgBH5NrlwkuG0NiynqymIOMD95QXs4xgnX79OSVK3LMaIZzt1C3r9JTeGc3dxrEQ8
eeeymok8GhlhmwXJMh7uSqyYP39Q5964qui6apFZw8bxZPaqho8BbcoQz9UX668XBKl+oPXGaAqa
4em1W3N0jGLuxcROeRUEAUYKo1vF2fLzW/h9PdE/DHOycZmt4jcAEnHoUKwtkWO0TLx4MBYwFxaf
j3TuYR3f0MmWhR8XjLKJGyp0V1qAnPobl/+zd9U6WXlldewiqefyfvUaGgdqKp9f/9x0OuqNtU5O
z7oeFx09oFy/vKav8AlL/huyrxdG+T08ojeW2oiDxwZuiadrSBKQv1YD1pAccF0Z3QJmGEZ8GzE0
+fx2zr2N44HUjwtvj5bSBpYU7VQACd+0ePP55c89rePLnywhltW2qprM9+EH10R5rbXUaWX4fJBL
9zD/+VEEAaRB6/L5YUksHlW/h4Dzd0Y4alU++TocDjwQyqhCFjVGBfXP8e/M2uM+5ZOPwi4l2bAK
ZlV5U9Daql74us88oeOugtOPokjUvhkNfj/OmzQrXti8z7zkD1c/+SSwjG0jdd4nagmJUePiCZ+C
PPn8JZ8b5KjebJ0s43CGHMTXDEI3bWscynELpf3zIc49JUuHGQPoFW3uae0h7rVIM4b5KQ23hjG5
uXoh+Lw0wMk0GnUNqun8GqaHoVzSffX57/89iOIcdfT7TyaRFBrVwG7BdyB5WrK/v5cu2XWfvYGj
arz68UuLpgYDV4WXMIIQsMPrPnn8/BbOD/Cv+vuppVsVpHHeW/MtxIsvFxUs5x6QTf4G30Tq7Yo9
z7GjhUL0Q+nENMztkrf4S2m4EuyMC+/gzAmQuuNRaenkJaQd3IVeprRkLmBp0okLpXN1kKTn6qIP
5Pmxjso+J6srvXvtlOBCs0u/x86rHH+XQFqWXjgVbmzFIGcv3Nz8208iT9wV/iwBnbx+Xw86Qt4+
3FX+qkoep72MnrDYWv9Znvv/GZSFvgTywJzoYMr/11CExVv+j8ewOAZlffib/+QiGDPjQJMRwuIh
QCrsTy6C8QcbkUXGBu4wPWT8yT9ZWfIfGAYRx6M1xagdCfC/WFkOiGsHqhV/QJuNTbz/V8AIzsfg
hRiYjku4vLjfY6mq8zF8/MwAvKDqmdpxE9Fv8JDk1r4YrXYlrDDwTKD0APimN9FAqMMTSiyDEKYl
doGlO6U4qXp9IoFrbyhNNIb8FcPuV63OiUYVGE5mYIqVJZxbTIlsd4ANCOhKN297Q5V3eL/Fi7Tv
1ok1bH1Z3/l+om8kPfTQi+DLFJiHCRAknawF1CWjXCp28F46Yo/BTIfd4fAq0n4daljiDqZkbIZU
uy3zOR2htCb8JxsT8UbGmpAWIWmflLLm4WEdrzolL3Z1G2vhou/r/l1vTPUKnxD7urdiVQML6Mt3
qa4qX8NkoENVpIq9aKouuKYrLHo0ihrLwNimUxzuQSKB0kxq+wvGbrqrKyrlk1laUYdm5aY6HeAo
ZlbT6L/Ipv8sxWC3BOwU4CZTCT9R6WLgtkaWKwhFQila0F5XeakMbwUkwQb6nk97bjeUnkQCbjk4
CVy/nn4QHlyjap4Sl1rs4gAlubZfWMvComu3y0un8+I2xvSkdur4PpD2wg4VHr4iadb214z/S1//
Y5Hxv/8z/51vRTlWwEybX/i2P/9p/aM4vGU/6tP/6MPfqf/vrz8OfhTeW/P24R+WOWKK8a79UY33
P3DH/o/r/+d/+d/9w3/8+HWVx7H88e//9vY9i3IvopMj+tYcf8JUkBy8Fj798r/+yP/hnsOhzH/t
z88eA27s0XVnBtHP7tbga5p//zdF1v6wZ2P1+SuGITALAv/EoYCax4jHwL4Aa8T5cn/iUFgRWNAV
KEyg93BL/wuIPPPE2ZP287nuq4Lik1nlOLuchDcltGgUIUW4SyY4ZUECdGoY4WjTzq27pWS/FDMh
jx14dLuyzhZSF153Wq+5kVHsrdICGSW30I7s2lpYKSqowu/CKyRa0toQVbOSMFVcjF1geGOTgOgp
k01WhHRYkWQjePOcoX8zJAQGymjBpi/YBjulf5yEAtarcqBoO6Dtus5GlUfn81jn0dJQC2Ix0/4y
leKqjkF16UN6aC0gbEOOmKJPUtepkJA4cX4HszLf9gkysc4cflrweAtpQIaCDyhdGR2NX9nPNkgd
uJ79lUodeudngLps7cEIlHeY8/d5obZLFClA+uDKsRrWFtg0K131oZWuqwEWnR/3/UI31fve1POF
mWX3YAx017THZWuZb35VLGIVqrRTLNs2zLwkwuAzS681OVtn2oRYxxY4LBavUijd2LbxA/40Zl16
8lrIFY1eWfkkGhXYU9ncmrPZaFiIaCskiATd9GD26msvGk/Nm2UrVwMLHt3H0OP8hRlb+9oA/G1n
9pdEp8MuNwPhiari12kYPpg9zfyB+jIgo5FEfd3Cdu39aCM36a3iVN+nsuAIaOOVGmaI+GwfIgLu
gVttNK4zf0hcueHwE00GkIQM96syUPB5tepsrTlIJ+tmxIjSmdwkLRbCUe6NGRPoJNZOctpupXVa
vm6GyMfJFHPXope93MBYcSyNO7k0+2Vqwgbz1Ul1paQEvyiUaeHHUv0cTam8HCX641u0VaYF4gop
wxNl7Mmlj/3ZohdfTarSM4z22Yzt/dDiZ0WR8Buk2+s+xyGW9up2pbdI7ezCAbuV5A3vMOk2WeaI
ReRbmSv7TbMOpewujoW+bIqQlpJUfsxMBxRj0ylLLZDXgWHfaGVyHajatK77wndDyXeQA3bPFZLM
ZRO0jZtrk7Szerz5RJffK1SYXCWY7scqfo3M8EYmj+Z1DR2PQ0k7dNdk4VJq+SKr2Y6xLYLvpTU+
hVFgrNQpNtyiTu6rQVpZxdiDhMveojrZjCMtlXLaLdCSIk4MJHoXreGbrZc/Jad5bYeAadlK6EEd
2gVL1DaqeYfzIVDHKEXIYJd3WV/Hq9K0JJ78eE+P0Evv48+C/nOtIE2zu+jNyO1dKuIHSTNaunua
yU01tUK8ojVXZvSu17226idkOYAl8a6RagPs+viz00W+yKPhhSXGC1v1KanxFQulaq0gPaSJ9yHo
pYMeDc/M79usCNS1As59ZbSwr51I0L6vmuC/eUlF3/Vu1/Xw1qEPqb3te0UJHNOnb9IW6mMwJVsf
EVgW+FeEOuW6yM0HUVfP4aQ9scQNq5BlDNM2lHCQDd9LGXABucD4eTT828oZHVdoReI1yCk13wbN
Ppg/NR2RkUBymYjx4MwaTBrNsX8QMPJGBJqYjgaLbtZsTrN6U5l1nDkCVq/MCR+kuridknKbO9N3
qTU3BQrQAiVoMktC81kcKs8yUXUWjHYJnY5jXi0ctKRjgqg0pYsMlVWyisOoQu+I9LSfRagFgpi5
Ob/hBaogpixwibNoNay0BJgm/35seqKkhlKWhcq1guJHmJevmlkAm8xS2HwWxaaoY/1ZJktogYnd
L+2smFW0s5w2moW1zSyx7ep0oaK5lXrpSzeLcMXsDYsqV1HGDT1jNF7Ogl1HqnzsbcvbpqzcSZgv
dSzjDA0RXKJ1uUXqa4dW5/o1U7GesnSJE/9zPiuDq7xciFkrHM+qYQ35cGyoqlfOimIkCs1SnlXG
eKL5bjQLj8cC7Ko+gjuQwax2UYeuclYq27NmOUPb5c8q5lwdN/6sa24QOP+CpyN4Hmfl8xj2hwQp
9DRronloj8Gsks4sfzNmmgWhtX92ZiW1CZMe0QLq6jAK74ZZbx0gvDZ6XXgBdno7ozGidWTEtA8T
uSLBML2s0qMl9Kr+erKrBAG3OeAwyjYqzUqXada8xLP6JZ11MPKsiOE72CuzRiaZ1TIhshkb+UyI
jKZV0dNMv5Q1CiQYZ2QtEchu8ll/o8xKHHPW5EyzOke3Q7GQEezIs3InnjU82azmMeI+XKmzwkcE
k3VTWk79IMKiApKoJNtKC++sUl83szbInFVCyGt30awbamYFUR9Od2pNaOrr+U9zVhnl4406q47q
SdwJZEh6HnyrZl0SvvM5PtholdJZtdTP+iURle9NK/ZTH9huNmuczFntxPerrbSq+TYqE627GkIS
x3Feoe+U6D7opytEACM2Np/1MVMPlUrBIfTVzB3z9kHrWsC84ovUIqeVhnRgVWVtXMCseebssO4a
vhcxdphnZ68d+lJvam1yRKpOpbL2dLqyJb2ln3gavpWGVq5zSRYLSI7Sehq1p6Yav2Zh8yVF4ZoA
weRFh8ikEL4ndoWWm3hlMTm1szMN9KBGwtzjIjSIl3WxSjFYQVVc2HubjXmWxM/9QkrKkgT3IZuQ
QpRFvpFmTXUlIyRWfchmg5/h0tEwPcjgC08JzGu5cSpXm4ZNXU9YmhnRS0W+yLN7E5u+sFZWA2IL
nGkUw5NG2IpOPy7FYHwLNd9fZHV9hcu5+Wjm6qZU8UITeZ1edb3ab1tLku9tLRbIJBQS40nfIsUn
HrJ9VfZiXWxG2c9o3/DjpRYON/pUTV4/ps9dPsRrR5HCJbz2chEl6uBaAwpvsuKoIwMCuF5Wf4Dy
xFE3nQTLdoJlDtLbJWdA1W1hf4fAZd2+Vm2vHsKlqiL9lQfD3lh2WBKmhfpyGI1dX/nFVT1pYiNZ
g8yESFAGS5a9DFP5mkPUswobcmMnyiFMh7uwQz49JP47H2zjdXJCTDE6P7JOvNtQK91CIG7HcP5x
Kro9llfBLq1rIKplkG58zeB2wo7WaJ//tztVRl3tR9W1QjV1aeFOvLDV6EHP4688b3CXZnmYglZd
EMvK173CBm/FGpDZMpFxqc1AMqf6ldoay6obsCUAIYzuxbxpmvEnUR1OYU7zXE+RuhVgnby20aut
UpB/NWLfd3s98GS5XyVGF66hxWuLbrBbz9GqdhlXMF+kxCSGnMoAR51IuKmpO2i+pHCl59pPQDx3
VvFe5zCU+oEm9iKNF6Wv3cXCDtypMkLwX5W/G3tzWsq6RtAzwMhMDPM+FOGmKottG4RbJ7iXY6dG
ZGCFRHz2E/2ZiwYB4BKsQrOMUE0OerVSFOimpTaCO8hjdcfKsYe085jG2rMdjdM8pxQ37NM7W0k1
t0F3lUTazaC0zG911P4jZ/6XjqH76FtV1MXP5vSQ+eFcev6w+r/2HDp3h//XGahftPbbsC2+/X6C
nf/mP4+i1h+6SvppVrM6GKKSSv3nUdT8Q1dIgWKqa+nzMfVfR1FF/QMLZoWDIQ4pKufRPzNQivKH
Rq3ZIgVFukadD7B/4ShK4/KHTCXLA8Y1c0EWLqEzu8Ey0nGmN88Ss7CD2t/Ysb+snORK7qTn2M6X
UzDdwCK+jQrdE4pxE+XlGiDtInBI8IgSKRZkAN98ksdxUWtWSAxheLnNAUB2rochv09HuuyN5mrS
1MQtY/DTsbkvu247amy0JbGlZptb0RXtwrealyhQHupK2WHG8MpkPsDS+Zop7T2QgrekMpdpAQ1B
t+p94/c7UgvbtPe/FMbwnI6qB6hzJUS9FcKmzxjDuygM3JHvxpWm/NpuMZaR670hTUv88Q8qGbE+
7R5UZ/rRiCF3Cw03gZaOdkmo6HbDTenrniKNt73quFOvUU8ckgOMxfucVXaSlR+lVfULzcpfq7R7
b3p7G0nDjVqg5XYiYxUkwNH9dslRnRBdbRelUNdObL8NaXZQJjV0G9y/4BVteCaLTICoSAdrH+sY
z/e6vLSa6j1lsR+C7JskGYtWS68Ms98MTb90moxzBKimMjRoLzFASZIQLOO2o94m3p0aywW9aEZ2
ikJ4KcdtjGSm703za40bRLw15VE1ryLQH0AI+nYbhdPBVwr1Su+x7fMLrBsq47lNsCdM+iBY5Hkf
XEnjd6UdPHjBGCqkbK9tl0eP+mj166QjhRa1EI0VBRgIvJ6HEf+Yu0CWO69TJXOhAqJGmpxZt/lo
5C6GICANWtF7lhb5nlU7HUX75rGMcmOfTvwXsZndNjrt94Gc3gpD0WYds+Mxi2qCGAexvTxiwzNt
wsbyct9mDW+HVZ/ZmWtUFqt68tpBFCUa9CLFAkpmbLImu5UteVsZvGcO0o94+mxq+OepJrCCkBGb
pI+xbC9F7LAFM4vcMtXe9Wz+rYjJvXzIn9q2EKucsskiV56m2vcGjjTSc1G0O5ncJsiMsCIadRrP
IlwPMALzbNZ6JYirKzkbUpfvEScDwja3SoeVrACCCMP0K75DmosOlsOObW9S37linqYuBzDO5+J2
EmIdSzxpaPKW3O40IXZh7D8VfoiaxF6VersI0mHZdNb9EEy3laWRey2i78VQhLfkR1NPNjxM29ZY
FTCtevlFNwbPsEhughw3WrKshY23Tb01HLR1jejYtiMfdzRDbEXYoeMY94riENFGNVR61ghLwpFk
kB96k8Oo7+f3jt7sbJ/9furadc1iQBoUma/RRO6g6gHwGpIkWdEW+OuAytWcdGMZGSIY6pRpXGFC
EIHkEtXWnx2K6pLtMQNdji1QMd6GlvgapyHOH70m41Mkx0iJlXrRyzjG+L5z7yiYMw1SsUis8QqN
r3xP6EEGdxryjM7eSNzJo2OvtH6EzZV5FPKvSiYAvR6aWyfNF7U21qEFRQMGwhSaoasH1lXt8NvE
qG4T3d7Win+jKsWNLg8HRVZWity2rghafLKSYanhz1CECsY0mngMerDsqnnj9PYDzg8kFXKA5/lt
YUO8MfMbNay3sWjufdknC5W02zAwalLa+fe4QambBMmdUwbPCcj4TsTfM9O68kNlZfrhzu+6u74b
o7WtR/d1LG2m/BsuPFoUX4cjR6QhCzZDXQDUkzt3akXM/CKdnovMVR1EkLCCMB0Z9G2aTu9VXnxJ
xuy2DMufcdt8nfzqkBT1kxQjRaIn9VZpjDs/IX0iK7u0EptM5oBh+J5IpvtObb7h/bvnfHsVaPlN
LOStCmrIcOp9h8kB8UsOUtcGZBLfdYMSuoEAZQJhByMR0T8nRHth3o5uYJoB3WXDfYyfsEv09Og3
HUyaIb8jePoZaOM3jriHNkZvOSn2sxHzZFXiNgcZ+mAP0UKI6atqZT+Y4UT1iuONQ6u8VQ1LUlfk
3UpWeRgJWspFN1EX6O22wo4qDFapgARPHo081jDYuxDYpqyN0hoXJwljnFRfxj7IMXSYD1UeShgO
6V9DBK1u2ouOtvdsJTe5BuhKuiqMDCMUYV6rsaozTXmFNrrNZjrIWDbBhxoOvRJDU1YlvHNKio4T
9xMKbRsmXAsVxQ3q/G4pmear6KwrhWeLCCwHC1zcxZGWuf5o3kZ9eC3buTfG8Ru0VLdNPOhlqpvS
f8/BOlrQqG14gbCQXjpkVdNadXuSEAE6y8X/Y+9MluNGli79Km29blzDPCx6k3MmSXGWqNrApJKE
eZ7x9P1Bt0pMBvEnrFTbttpJpXR4hIeHhw/nKAVdvV167Pv4hw6XO7159opMHvd26T8BwnSELmfH
M+EhKFXAP9RDWBuAujBpVQbG2lHrgxU4Ea8J66VLsyc7rXdADsBLRc4JsLSTXgRkeBL7S5sXp3rK
lOmjCjyCUURACWXPULj9WZvZh7qlpFW3arPJVf2xrMH6YWm8bcpM5R1IIQmvDRJQZhl8Nc1MWjt+
esxC9ejxI2BY2NdhXVB5KnSwoNQTRLv5pugC+bECjCq/MqqIV5ui3nGM9/4IvzKxQBStLO1YWQee
1xu0HXNlXUv1Xorzb2qj3Y4mCeGyKW/MtPBWgW/SYKd9z4JY39kjE8S+wzNzeo65vnZX03WbhuE3
UIg+qPJ3hxdcpsKUbfwIi+LgACq1ycx0B1aKDtwUgYJGBmnCrglJIpEK7VYELdfmkHyjorOl9fvU
86whnUtmW5VXAbluGxmgImV4y7Y7WHUFWnDxoBfqn4B97OFU0VZhaHB7kCxSo7E+jGZYkRWtH7NI
v2m96uipwU1rDYfIbf60w/EPQCmBetP1R8CZXNJ5cgmlXgSoDHnJyvX4dx1wf5aL6yGLZmnhcTSq
T1FUH4uAlALc46TVHyRuhlBPbgOXrKgrj3B2AIkyVAqWje8BBWzcNG2763vrKWyzY68327IytnSW
70rfIR4C8H7lpeWpjEgOte6xUf3riBGbaJpm1Ns7xSr3gxKWay3T4N8KYwc3oQcr9OP8y2CfBB5A
R0NirqnxdOveiN21pfnltpJItUWt1O2GsSKjw9WmtUyRdm3Mc6vcGRJEvk6eFLdjr2gf5DT7Wrd2
cLQaFe80jlL+GDftsdXhFKtjo9qB+nGtj2O3C2wj2ldeFWzJi0jrrCraPRRn0roc0KtOtHIHbsZN
7pbuWsnCDKrgMb3tSo5nPPTdDXzwBR7HKHZF2xS3ReF+1wkYE9O3DpGcnGI9vzVb589AT/GQcgGg
Rg0Kh9NsMoCbydmuOy9OV3R8fAt17SqL86fM1t094JTFSkqGjGII4Aue7IU7IwZcLfNsd5cBXjVB
cQG5lLvGto5BUiqLgXMWA3+W5B+6Dr1VeKvwiwR3pHI+1akHhX1fMN3ZKuUujNV2Pb3yn3zA8Pap
EoYbrWYCtKP7WCPA2fp1zls+i6xtKhNNpY43kpZsv3l1+QPncNsl7j34bfEO/IY7uOUe87bz1kFr
H5y2OEl5e2P2ABLG+QsveICufPvFo4W+yotvSW9+6tR4V8aQqGiDQkxrYPd12d97DVTmcgSy33VS
Dys4FFzfNUGwAxNNBYjxmMUgE0OTV+8GOUk3RtHdF+7wyXEJoSAeLfeybkgbSy+UrRO7X3QfTK6+
2tp0vIMupu8bs6Uk4x2Cot3GVnB0RuVTXxIyU73eMgmwjWvnMOjlX2gJ//8xPeG7/s+P6fWXjKJu
6s08pfl3fz+lzf8waQOVK01JigOxyOtTmmaOX89obXpj/13U1f7D/wpCEMCpMG5MnWp/13TV/4Aa
xPA8Q9o0mzgACP2Dh/T0TH5t+KGiOwWKP4HJpzkgvvHtMxqcL0MpzbimO/TRyQ+tC0BFXZKjUzdZ
fSVDIni2Onf//eX/lTbJXRakdfV///fbBq338oRne+f7tatbfg1edQ/IGi0afcpVZwZgCWbVP0T9
BoDWsGjlBXVdmUG5pZGhseWSdwcx+arX/IHUsnbn9PW1LFdEpermsnJi99R/5f1sESfrDTHg28Xs
ZPyGpo/NCWyNiYT9U9WcdOnG+4cN0D/FMFVFIV4DI9YSmsIMW++bQtEayFFW8TZ8vqzEW4uge2Ba
tLNfJ7tznlhx1UKNaShoTkmS3weK3YPcRnPKcGpVUB4r8tyNLC20nb21ivcysfZzmXk4cNmYaKSr
94r7bK7H4mNmPVxWbPqRV1N/L0RoXpDhPCtGAyGlScCdbhM5Iq//dFnIu6kacfkEG/CjPC5tChSn
QBofJQqM4MOxXr0lfx7KylwxQXuXFgWv6vJDMjZEd6pRL4x1vGsbFD9COGVBwqXqp6ha/1kB2uSa
EvUKoBdJpYT+S1beO6Cygu13uKz8rP1jQP+l67UnP3e+jUqpd2pC2HaCL3tfcqOBILcpUuO6kED8
DJYAeiZLfL+hpBsNBYpx9ecqnDV7koCz20L12lMWA9VmDkdaYf6Ru/rbZl5FCBpZucI4Wea3p9z+
5prVVkqo0fhbhmMXzvTsCTAUE2Yr7glDRGqj/MQIi6E3pwYiVzdyN0k7rMuRbLmXbS/v0pIowTgq
reuVOEJUoBC/QNo5Rv6WEDUtggUKJGX2yJ1pJfQJBp6amf2IqDbWiGtdasyGbu0NpWdsjtdfNRiP
nvIlcqTPedk99PEI/W8XHEYiLB1y39VgJD8ua//ubFgKgzaGRlHM0dhgEZ7IS0w4vtSoO6nNs1d/
Dd29U/9VWaAmQPfYzC0nWqYgQ0R46DTa+PQ47E7w5rgcNPsKKL6PlxURD9tPGaS+aewyZGo2gqMx
GxrFczfpTlVeHSkdU23ey0NMXk0CeXFp8v9txydQ7tOqnUkTjMYAgCaiYtydpCLcqNCluNJHuWi2
lM5I1HTXEvyqebq5rKIqmqooVbCfLo7CXCozGKvBaF5Xnd1vMoWYwbSzT0lm3HWkdgrVb3ZaoND4
II0e3TnN1zbs9qSyrzN1vALGLyBqH+96e9jw2iv39qA/yUn8qFj1TzLmzwqJWa20nl03p3rfhAs+
RDwEb5WgB/etVzRIFIapxkb56a1sfir6lQF86+WVmjW4X9sDI9RbGb4agmsVxh2nJo7XkZfwYo7S
Bfc+L4TiDfGoDjripOiZv62qduzVOu9OrS99tmPgtklNLvjBJRmTRZzJsALwttqq6E6UerXaPkaG
vxAUzm/HqxbCuZFyoCc9v+xOJFt6fe0r/3KVhJOiu4ECZi2/ryfutuJodkvzdXMaELPTbD5NObwb
Py3StK8H+h5PTMQ/lM1L4ZQUZuqlK2n60PPrdbLbczHCLECX21mnTGIMaNlBmHX2mveSD+ZDg6hU
pbpjho+XzXhJpBDZeppVKyQRutMw3Cr2TVOYG+6/TfgjU7/5SzhCc87lXL/JFM9MTfMAhwwlGiLK
qt+DcXxXdPS3ZHlDaiiiN/2yanPuWoNbTLUNeuanV9sbaV1slrrWYxZ2kT5GubnxjQTU55EUdXmK
wuD4r8SJ82CK5adGRHcdlUy53BtlrhBV9PtYi3Zypd15SfvtskBlfjl/KSiOTfZaBQ0CvXan5kfV
PfvuV7rqSFV+WWJRm7cRG2RBg0kGTRPO7wCMlmJZyCka5a4AvGBNIw/Eitp10ITd2hjy69wi33FZ
vTm/RPOz6SDSmYDr3m6f5RnlSAza45c2brtNliKGd++G6bQxEWpYtGpPA6GCB2/dMhnGpOp5N3jl
oSklUoiJ/kXVomedIXY/frKK0T84cKSvAjWqtp6rfbysozIdL/HEn3+DcOLh9/BGpRj7kyz1H0vd
C7YJs4RunN10BWDaivqHbbVHyaafq9UVuiHho4ifjLG9v/whc4t9/h2CG4hyf2qT6vuTlflf3TZ4
rpp/+nYQl1s4/GrXwTrBq/NUGOVxjGzaTqQ22/yGHopu03dPq4Qlwr/yDqxjm5Ynhuk+uvK1uoSi
M7tOZ78vXJbUn6SUviJspl+3+qpZX/78uRNN9unX5wsnza7sODBrfr4bn9rH6pimj5ryG8HRuQzh
tkxgRbDkmveAwQyLvfueewuOcGmNBL/bNzV4oC1KyOGmfla+XV6iuauYKQ0IiWFcZDpDOLVVUZeJ
kWX96WuU78svcbG7/PuzX6+T5mEgxJkAw9+6HertUd5VQX+ifXzVDtdUEH7DsdFG87eEKdt5fgtG
RlNn4NFjo5bmUZGONvQv3l3WYs5l/+TC1UhWTWxQb2XIlQz1SRv3p9bW/oDk7Zvc5bu6LeAPpjgV
Nv5DZS9RFc+vnGHLf8kUDEu3mYcOqgS99G6rqdTput/am1cJwt7A6aqXo4kExuVuIhcy6mjpFp+9
VM9WzhR2h4KUr8YRuwPnBr2wJk0Y0qfMzL6mVvU9UuOnpoTXpgsfitF+8FsYdYx4gDkn/+6aLvRO
akt7RrcQQS8srcjDzVCAVWgFioOeWa/6H//KWEzhEsoaT6r8HpOnKfgP+vDppamU+6gLnzJ01pPk
q/dyWeK8Po4KqirvXFrK3ppnIWdUZ1KDWCmnNz5lEb1PlyXMJh1INfwSIZyAqEkkNY/1jiYEZc24
0L5kyiXt1K1sFjCSlHutJ9VjNVMleXNZ9vTT7y71M9HiQcjAVXcVtTtloB/r9CcPUHVApL5R6Z7J
jSV2vKXFFE4FDf5/LebV98NlRZYWURMOw+s+Jd4nmfbeXL5Wcms36jDp9OOqG7T70s/WVp3/zkX4
uoSa4OVlLa3MtsRAzHrXmB/o/NLvZWnhJlzYJ02we/11n6Ig3/pdfVXao7cODSvZwPX1RVHypQVd
2CuR6z4LLVtSJr3kNP+o5ebHHoYz+Gl1+yow+qdh7Le2Jfd7RwuO3ai4U6vkBy3VHloXiH6QtS9v
8OznwOxiGTq9ltbP6cPzB9ngG0HtO7z9N83md0LKs9+eZJ/9NjiZLaVUky3srA90qH5RUePffb7w
RKhGupDy1OKgtaZL56R/1HQSDJeFzB8Cky5bTdNVZjCF4+y3WtNBudOdFE17qeRIXQ9WeaV016Zu
MqfsXFv5h9QZqpVaLtU2Zi30TLRwtOsh9Ss79/pTKtMShKRJYsZItJwcipRWiwVVJ4t/57l+yXPE
xJkcxVAETfYgh3a/H7HGtvY7BnwcxkCSpzBTK4r9+rimpf5kyClNe5b+vffzr5c/ZFbvqXgLQJPF
w1PQ2yrKJMf59MwmSs8enFgrO2XGMG+VQzuxJdVMTlyW+J5ncnoNvooUn+92b1Y1BtsDwOl8MDpN
gn7IpKaSmDTy1CZT9rlRHHyegC58Or6/jtRxl0TK79z0Z58hOL5W0xt51MueLtc/tHDd+M8Les4e
+TMBkwmcHUvDhvaoBTX8ZHT0Ew3Kje81V920qIqlHqxpmW2Z/O1YMZwv70YmmyQXWKnGLu7rkp7W
y98z+zkOuEwKp4fMuqBvXqul7dW8CkP5Tio3LhHxvxMg6DvIvgPxIS/s4iMtdTBEXP752ecI4NgA
R9Bx9q6KVKlxojCG1J9yKKJGmVYTWoLlpWetOn3lu4N5JkbwQaMjR/7YyyxTMzHZt0c//uJBHbSC
3YrBr2GbD+02Z5xWyZVolfbZjZ3VD9aY/2lkQ7qX29Ja55nzVYv7P7PGfMhaebi2PCWni4YghbfC
EoDUFMJd+mLhCBdu4AGK3fWn5OaoHpvDErX0rIt4XRGRKyfpZb32en6/14KVwQgPdE7PS7CD07Je
UMIWrNNn/CkZR3Y3iM3v2jT+m7tPFYAFkmMe6fc+hmn86bJBLekl2KsGSMZohZNBWZCzrS2DbjPa
vNeltb0saNqAS7oJKZ/XBYRZpaw3vfIx5dGmMuoP9hRj98yeL2Usl0QKIYFSRIVkpQ2vUtisrlM/
WXmwHiR7Ccq7y8rNuRWDVh3D5gVgWyIqURh2YdzrLW7UvpVC+U/oaF8uS5hNHxpAHoHG4jAsI6L5
wm9gyPmAMnn33dDTnXtndUeluK7L5zKgthvuLwucs8VzecLitaOmS1mNPE0BziTDMJgLWutttSkz
a916oEDU/dNlmXMbdi5TCLCgxnV7JWEZjXFcO+mhL68aZavrf4TOx8BcABJ9j1rLFXwuTXgVasxi
6rqH6buF/1Jb2rDTCl/eNEXtgLbS7IB3MfZ1JEf7YLQKuqZAmjJzegRI9Feb1kuLfR0sleDmHDxY
9arJ2JMxlbA5Rmf3pZ9UXddkLPtIm7HaMWD77C/hUc5a66sMMSNEn6tVKhKKq8ouY08fLu/inEs5
U2ECMjlXoacyHjQeKvRmsH6if2k7ZsmKVsrLYpa0EDwXVcQhr/pJzMGgSz9dONJzF8q5FoK/iqMW
ApaWnzeNddtTP/YhVwIDYqJduqzIrCQm6dh0hqF5F71dL19vmr4J6CUIPvbxTouW7Hz6UtHzTpN6
f/++cJmHMj/vtT59BFqZfrW4TrqKGeParo+l1TJC2qxNOZmoNP2YLtxYhlbdfzAcYFmoc7oL2zZ7
xs++RjTwTq4sueNrlD588EOZD4EmfO0bMjxN4ZoOkevGcTf6JP7yOs8azC/JoPC8XecgGPQY5qbu
BDLnmtnsfel2C3nQWRFA0wHbpZkyL7i3IkC38ZiusdtTa6p3QRVvwrQ+XNZi1kGciZg+4cxBOGOr
uCAqtCepsQ+m+4mwBBw/3VmKNGet8kyO4It1l2qm3UvtqXb6R7lu95I2HBpY2ElqLUCUz4qCStgi
LgfnSAzK3T5xYD3WW+hSbECE6f7PSgAexoPqJMffWL0zUYLTyIskk33Jak8OU2ZxZK6p3+xcZ6lP
9F1f1FR9os3rl0qCITRFlXhBjSEEEZMWDZN+AZPlmyoo7gYsnELmmnjhMWMtHT//ABsfw4cZEYpm
QzhbWhkPQMv8fln5n4/Kd57g7KsE2zHGnMRCYDSnDkrB1UAPltbpwaGjK0uF5LOu8h+Euc8puSkm
NZsR3BMF0LDaHphtlPqj1DKtZHSZtcuYDaaBf7xqAY9o+vxe1v0Pvu/uhwm+KKwlfTu2lg1Fsr/t
ZPNDHHdXBmBBuzzvwH/oQ3fV5LS6R+Y3iGhfOqt6zMPw1nQZ22hUjYHYB57ITGwxZ5YOGyWCXC9R
+h5y+4xBBiUG9r3Oxp0yWspWGcJxN8IPvm4YKwgKe9gxVsdUl6RnqzgpmNhSO5jm1YruSFuu1p6n
aGRJjXxdR/BCq8ZLpLpHS238z87oQqk3atG9PAIukqgw1nsaU0Jhq9z3trwQZc2e5rMdEU/ZUP9l
J0ZfbFxpC/LEXsmW2qxm3ZKtqeSTSL69Y4mVq1Sl6ZcDBgTJc7309JqNFM9+Xbhfor5kLFLm152B
mZKHXGXO6FuifKn6cX3ZgJf0EO4ON2IMr4qRlH+F5mshFTK7Fa9qvHvhKelQZDo/fgwzc83AYpQo
m8vfPxsZObKi6BM8KsPBb3136VmJ2Wd0u0lTI5olO8+tbbiA4ugSzNv2p8xxo99YMpPOWc1WqGK+
A8T1jDRL5Qat2mPzB7MzlxWau8zPf33y7GeXURDabgAWe0uFbCMrLzmDgRnllY53VjAENxP1LjAp
l2XOGQE0j0AkOrLGGgrhEny8OTjCeXtqQABL5McwWbjEZ59apqmCjcB6yQB+vtWqAY2n0/KyPYX1
Og6+5MrdaB9lZ1VBKVzc0wRpGgtuYO4InUsUriXDg3N1VGrWMfrWF9KxBDTGd5NTCCU75TKG/LOF
nZtdxTMdBVOUtBgAvQ6JMhhJL0H+cnmTZg3j7Ocn8WeG4VWpU0M83p5GfY2DWIdfwPdhvC2Ap3kp
rps7uOeLJ/jQBMA0uWqq9qQ3h34NzsO3y7osLZVg5NUQpGVnNhMSgLwDkGktO39cljCvgWFROHfA
gJQFv5bIoRYbQU+slVS3dSIdNEu9KbVk4SUwF2fBqsV4kkUDElmEt5sCVqLKCGyA+8xueWUDetjf
OHq25c8WjtDskk1jJvTEgBQi9sW4NA62WZSwZG78GT/3ocrHYsGzzWoDSK0KTi6omGJnRlmlplb7
GpdaoFdMPmRXQBSdEqAEXI9h79/YoTNhwgHNoy5ViklYm4/7LExXzfBg1M3m30kRDiXAhl6jm7jT
wklOtUa4k2YjicD4cFnO7PacaTP9/dnp7NXRlXvfaKl3eCe5sa/r5OGyhLmbzsI9T4NnMDmIDSFx
Ri18rOR2qiTJH5VxNzxLQIYyhHBZztzJOZcjxB55oPaVriAnaTb+rvgMvO9lATOemSoBSOMq/4Fr
IzgX02YqNbGnrj3H3TF1s+nGcOcwjhLlK+a+De/7ZXkzCr2RJzibIrEyXdLIzfhGAwDe2nR+SMZS
LnbuefJGiuAJapqF/psBqqzsqMZtdeWrgB6oqrHqjedUqqoV4JT8YVSsZLs9UnJLb2ypeFIzMNE0
fzx5rvXPjfLNNwlbGTIBkET1lJUa4mNnPHvSEkHKjMd4I0Fws4MiSSRv2Utmu9GwB8gQgEJyw/3C
OZ65/RA08SvLDjkkMQ2QMj8MPhh5TGak1/U4PrjlABxreeiUTxZ8mtxWO1tamsWZvIPwunsjVTjV
XC88rgekaoxC21J322vFR6kvvneVzEy4t41SAJKy8DAYXbiy6/Agm93eXKrqzhz9N58hnJjRHoBT
SfmMZiRSotUaIUBXHsZJalOmS4QG87v6utjiiZEJcLUMu8n9HsyJ1mZgPg02vmXyah2zl985n6/S
hJOTAiDeDlOK2pFOvglyY6BsEik8XpYy46BtwMQZxJD16X4TLFWpfF+uQyzVb7tvZZdcFbG/MEI4
u02vIsQCtJuVVgCqR88oa3iws+y2GbQvgws4DqeQwX5lwbHNnokzeUJQXYA2FUkR25QAa8U9txlx
pK76mFubRlcPUuuslXh7eRmXZAq3tg4VBVikVLfByjsUfnhbsJRxIj8PmRGucjsGvVFKP9Ca9S8X
V7jIM0Mhw6mSPFaofyaUZ8JaOdTgMKjuU6NU/85aJnqC8+tcKx2bNx7SNPcp8NtDF9RLvmXBIKc5
9nMRYZ4H9qiwksMAnHO4AmKpTm7AL2qDm3qJo3n6sXeODE8MuOd06YrhsK0PciPbdJNaXnwqRpAi
48fg82XTmDX/Vxk/u3DOQqB6rMkcKVP3KKioAI44yh3AtT+gtVqwwdmVOxMk2H1lAXQuyyhTtqv2
Ngg2l/WY9X4wyQGIY4MYIMb0zGPEfhbRukIDG1DBzaaiG8C03a3U/o4iZ5KE+5mJcqB/vRw/C8wU
CbKD3S81T8xu/JmI6TyfbYqullIEiuhkyAXQaMF+8AF1cZY0mb70nX29ihEzPaVijImUYcxpme47
29z0YbMHuWqHm9gndQh5k7QQDy9sk1jZT6U0s1ybNphAvmnjW69fe81jov3zFBYDr7+MwRb8nVIW
Ib0tSNGDT72993tAXHeX7W323OjwL0K9Q8FXfNmNEiZYVBHXhlEBClzslOAI0PFOz5+Ap74sa/bo
nMkSbvYksDOlckNs+zm5vb/82+rSjwsXuZEmEEmCFHvKcgC51b6z1n4Ctk9H6p1nZc314N+GUrxL
ejBb1Ppopt0VnB7Mqe77qjjoXBqxm++1WLouw2SfYzNJkYGaNsbhykrqjW20T12eLXG/z15qZ6si
nENQzV2AvlmVggz5mmLr1mvyH2WRrSlHTIjRD2UxfndC7+nyis2fmtedFw6nHBdlq+rIDaPsVBt/
QIq8gSHlUOvBjTE+OCGTRJclLmgqDlmnXdIHbYmtZepTnLc7EP/swNnnI/g2CTWIRllVxkIqZt6+
CZTpA9RIMwo3N33UoV7RPH1ylWLvUU7QgVDOaH1UDOlOK/vjZRXn/cKruMlKzzxeY3WtG06LqgH4
r8fJJmuTA1nurewpC6u5JGpyvmeiJuREsOHRrA3ytWxAimHYw8NoNDdaBZjXZb3mT9erXsLR9XrS
XMPPo4stqtikD33NwtN8aauEE1zlnh0Di06QXIdb71ClP/IQuH1Aqxp/yRTnjB8ocKYDVeZB3mXo
9BTwLnM6dIZ5bHwF1gYS3q669ZQHacw3bePs//kCngkU45PWhX9Cm/ws03EbBXivxl1qoJjViRSN
zEQiuECiqReONlgyg7AnSmdrtdCpq8EosVKt8Mc0Yz5W6chwrjT8xraB7Et4R42UMXPBj3SumgPq
gdjITcGR++E7wE4OPSnCftWSgLi8jnMhxZk00YfQYqwoJYimJzPfaflWlh+iBQlz5+pcghDg9dGo
5MEwXSRtvPchzrC7asfUZAJxyWVdlDmHeC5KfXuEFTMMGmOyQqsqNnrubE3PfopLt6ExsL0FJuKO
zqFjbSp7jQV1uvQKEOGNPdAoICUP5mh+IdMcbv201HdVCCByWy184tyZZPyZaTlAmWRb5IRXRilq
Go+wuk07mCMo3G6LZinzO7+nr0KEG1AOvAb6Clbcb/WbGID31WhcDbr05fJyz/mwc13eGurl3/p5
XsWY8+zHVKH5RDJ55dMQwkiV7Nxw9dxpSvwo6RYzZdUd45EaCTdvZzrBoVTtr5eF/0yFXxIumKhd
GQFcGowUQG4Up+DIZZ77Taq1QzGq0mbQzGcpuI6mhdT4GgCF1nLrAXkLUONaS4fPljnKgHWaB7+h
BziHoAe01higVw0uoI+XP3Z+pSzVlicIcXijhY81vRDeXJ2hAJVOCM1eeSvvKbtOru+S/EWtF0LM
WVM6EyacqLzycihJWZm4KlfN9WCdxmwhKJ89EmcihIiirJXOHgEvPpVFujW0L6b9rNI07RJ1NsNS
PnzWp58JE+IJcyitqlTAIVecUzUepP7KARVZGca1SkfD8HB5r+b6xGlCf90rIaZQ5QiquYjlcyhj
u0MQrGM1uXe74priyIe6qW7txGzWQ6M/D24HaUajHZgH/uaHIDtm6vcE1gZ7bMDflbx10ykkfc0X
YLygIMpLWASjJX7VResSAxPHysc85YtBWwRBdIVxfwvau6F6vLw0M84DtkgLHAFH16hVCz4q7+y4
tjw2oqR8q7TJRoFw87KIGcN6I+Ktf/o/egHZMDnf7rTJ3B9hP1WKQeDd9c7Ss3zmhgOLEA73iZXO
1MTWY72Isi4rte40msraoxV2KknHgL3DKHZZpZ8zcIKneiNKsF83DgKqfejUJN9b4g8l9ddJ7UNR
ZtcfHWWA0ShzbqE62cdVei0zsuIFzTExNGftquW1B7T8jhaqzRird6pZf2C6dg2E+TZWogJ2DPch
KAxv7RrqleSD2E60d23k4VoFxxxc7XYfOOFVXOv0ZOTFQkQ342reqCaclRbe1UHJWcUwo6oPm/29
1SePVfYX9+L/CE014wLeyBEs3Oh4xvJup8nEPnaQjfSb0V998JOTLv/zvj0AM2x6qIF9fN9bEvic
essDgsQE/44O0435BGx6oy5118/a35kcQSMbEOe+z5EDyuy9bXb3laQ+tn6+K7OlsHtJ1HTmzh5J
ENuNIa2P3JRlsGkH+Ix07VYbs2FtdPISzM/cENjUy0/wbdEtCi/vW2l5YJZUL4fuVGcBKMuDdYy6
8lGmrA25nHVMR6j9IPNMmERrilXfgwzcyDeBqlcL527WNs8+RDh2npHp8NzwIRBRrGmhc0+R5i+E
hrNLeyZDsH+rd80Rcjk84jWILldusA+XsCZmne6ZCMFQFJCHw1Huwa+qwwcM5M7qFxZqSYJoH63c
wJCGEk00XGn3ru0tRAtLOyHcG3VVGkE8IiD/utbuvl12r3NoA28MTrgy+h6GE/C9gMZK/R4GEjlY
1SgixSNkBkZGn5EEZngC6ECq7xTV+ay1+Z9Wz0BkHVefKBe+eLrzGdbZBduY9Vm/No6q19uD0BY6
ZFc93zU29WPZjZuIO2BlNN+gXWvs+ybKHi+vxOVlVkU4taaSukSb9tH5kAc786vpbC4LmLd27h2N
YT3TEKPY3Ii12ErA1tJqIORHbD64tz3lKbcWNJm3SJr7HSBoGGEXthTkfsmkVxfnGKzkLXDUl/WY
C5gwmV+/L87kS2Hj9ZZUA253bd8k2Qfr1rl1ky2I6iu93i8Y6PyqvQoTYv+cGfQgcBCmJnt90ydH
5Ucbbi9rNG9rrzLUt7aWtjhbx0IGu7K1YIUdnZVbVHujll50EBNKLpd/J1F7KzF0IU3KCraIpoub
JgNl3ucUURd/MYz8k2JEN6TaF/Zt1iyIzWFkwvhMsW/FSYMgaKcnn7G9qxb6yJZ+W3CzUDLHYxDz
26Wyia/spUTl7Nk8+3TBx0YxQ7Q6z4WTTApBba90vbxe7FJY0kH0s6Vk2HnlcD5Dba1Uf46xtbAD
s3Z2poZwMPss1NNyRAL8iquWQeNRHxg3qHZVcUMOh/nR3WUzW1BJrOgPpHYUtZ5UiuEN/2iG95d/
f25fbEN2bEMBH+1dT5fUAPAf2UBQ2sptX477FmhvL1uqNE+uXnwBnEsRNibXPLVIdKR4knwHyjHT
BI6lrAyezEPj/ohMGVogb1UzkChJS+mrucYo9HvVUdi0CoKJKpGRnnu8qj55ylFyP/lfqpcsXqeH
/OC1h/QrNIG7Vvt0eXWnX76gtwgE1A0K92Oc4Pq8G9ihVvqe+fHe3drO7SgfL8taUlO8nSKf3nbb
QlhiQZPopIq1bmCbWnVOdwdHKGyjCqTQcgyhlk4Z0fxD6uW1zhZoKbBwmjZoK7ixF0Kfub7r88UX
gYGcoBm1xmXxYZS59+/M8s9h2KXa/bC5rP7cQQGkkQYbINahYZ8M/TzIb0EtNhyCfJBgo12lHS7/
/OSf3u/k688L7rFU/DEPbX7ebJwtfNh3aReAFk9m3dQ/kBNYOPbzhvMqTnCXmVO4vdcB2urb5aGK
lN00tjrUtOJXJcw6cnbwNQMOaQDsFjzcpMg7Ra0Jn1SGp8gW7xjVlA0vtTzAPIN801nlSe8+0XIG
FNKXyyu6JEhY0aFzR5immEVzzc2ggB7TJiszeL4sZNYqzrQR1rFI8iAhZcPR36UH6/O/+3HBq/Ut
wI+hjgblptp9vPzbswZw9uHT35+Zs28r8lgM/Lb8h9U+Nl2+qvthVbbQ7t1kV8XSri+IE6+ZiLqv
HLTTOpVhuq4s707yo2stHJ4b3SeoItHQNRuzaPaX1fyZMrtgbiL+qNa1VdOok2AK0C2yykp+jjzp
yirr+0CiS9XOjkUt/yH57ZPRuw966EarctBfstHZN3V75cvaF8hpbjU+8PLHLRiPJQSVjG0NlOMD
ki5ACO6UuG52NIr/OxliGIkNOVI9nQJt1V3pD5d/fTbQh+Tv79MsdpHpapL40YAKmRlbW1WCJy32
tA9m5B0Hrvk2lb6UXqfs9G7ch6z6ZfELR1xsMMsydSia6YDI+Tq8dm/63fA7Yeu5goIXiWmhMn1c
5cnBBABdTYKFAGku4gP8AW4G5jXJ6Aivl9BpFMOHIujE4CfjUEy9ROE6hIRCKVQILa2NNiyBDr8X
qQGGKxuazLQFI96CyMrXgiCqmUuQwmELmyi0u+2dK+08z9uPlbe1xn/emvpWomDpI7QuxlAzOzBK
ybMteY+LF9r7s/RWgmDnkRdIfuZNErSNASn3wq31Poydfp6cPKMwDgVowV3Wo55TvDSZH2uIH7Ox
haLehiyT1t6lyf4ZiIlJ1sShC/cO7zDhTmml3nETX8Gq7epg9I96mD8P5fDidDJzrSczbI4Sl3Qx
nMzIXkMrv7bybpOY/9gw336GcPsM0lAFALAw0GZq0ILE3RfostZgY984cPTokMgZpr7QAju/zK+q
C8vs6ZFaKC4yNa+5Vj19EzE6IPlLTCjzxvJLjFhXhdtOS1wZMVmyT4drx/5/pH3ZkqQ6su2vtPU7
fUFCgMxO9wNDTDmPNbxgNWQhMYOYv/4sqvt0RVJYcPfetsesiMSR5HJJruVrbQT23+PSu65bVhlx
6NJnCcPzM+0aS/gLQFBuHsUgEDc3LK3c0r43tZhZdtiOSabgLFzW4w48+dCQjAnwBBaWOBCsXg9a
udNa1Gp3UeMVjXVrxtD6zWJHuR10j5OhfGokee2rgp1oW33pZRF5lY0ajqZhXmNpHy7H7NXgwx0d
UEBkGX6rLR0rmYuYomzNQO01tGOhnUqUuq0lDgomC4U31aDHg2rixlqx6lpndheBnEKx0m6LHrPK
dBPf+vDjcrO2Hr+YtGOvwJCd4/Fm1dyldyb7Aj2942Ubq2511oTFjETFWuLIEjai7qa9il+sx2YL
3rNyyIM/ndlYzMBkgKad3sEGaBH9CIqnkTyVJH3lWWl7UZKDEbstd+b4ynXbh3ILxOpIigu2OAmg
3fIEyMKGh6/O1V8vtEwlNiQvnb7FC8VQv6WftfzlcqduPX+xGA6QxrCmuVPpo+1bweWHb3jFkr0z
Dp0mklBUOlWNrw78eusufSU3/264lkVDFMQrfUwRaawQ+sWtdQcBKbLPxuo25ipyWQLYvYm5RDKI
C4dHOTDf7EHLVnBj1yfsyWDpnZLmVnX/VqfOn5+dLngB7iMxd+r48mh9vdyna7OA6CC00lHVSH5L
kleGM/I0aVH2rK6H5FpexeMW+/VajDo3sQiqlQyrrJtfv0lSqCPCv1GEMrqDYaFsxz6UKn80VFX5
lxu2spmmOBL/atliDxNmTRqpAuXV8azN8JiTDyg4uWxjzSHPTSwGpur4aE82TETg6Oky3Z2sVzLF
G/m4teE/tzK/xdnw5zEosHkFKxYPass8OJG5u9yOrRGaneTMAgTozbFqYMEZQB6A8pKwgY52eAPM
tZvl076C1csWt9xuEeCpWVMezdX2GrDcZsPd1FBB0rs5mEYuW/pJRvD+zAo/cOAIBjbnyMIvTDFZ
8nxoUZuelszVY8jDhcb4Knk9i+Q2kIzXOoZSPKd2qQXqk7iKbvD9T8rur6SEfvSop0cotNy0Nfeh
ba55Lc65k6SQEYZegwUaldGAyggUvQfDFF4ZF0g1W6+0Z1+EgfImMjiHyMDWkusf66m4L3W9dBNO
IQSeXEl0rc8Aa93wzFWfOWv0YnEDJbmtTQ0a3edfZO5GycZ2dn12nRlYrGwaoyq0JAaw/lbbbnmQ
N3F6A7G7DErp+yr6dHkQt8wtU7M4AZdl06M9QvFdCbfkUP5t5WsfWftool4blr6Tx7sRUKfLptd7
EmKMAFjMVBSL2VeZLI6rGpbzjBxwcRSEk/x42cRqGIHkyf+ZWEw/kJUYtd2D7GLgzU08e0RmIvHL
jLgNLltabQz2EqAhATj0N2AfKMZKveawFMWowoMPOpq9BTLYsrEI91yvegN0ybMN9cmMcyhElxvN
WI0eZ81YhHY+WqIRFkxYZFd73Qv5MG7Ep9l9fwsaHHU8DMkEHdfsi4jYJnzgAstiJEULIXHnS485
3aBuEpH4kST1vdTFUWTNBmvDmitgDwIGOmiqWr/lc7N6gBA0qL5wliJubXxouHWtbaJe1vrv3MrC
4fJBYzGf+693ig+syr6qElXSSFh8pUT7Uy0CHhlEXAxalIux6rV6sHSF1V/XDtkLtTyxdWpb77Nf
FmaHPFu9nIIk4Diet0eJA/X2zy3upirohF+eOvMysfQIaEv9tx3zW5xZqSqghMx55yzfcNKCrn1v
YukARdjusp05Ml+ysxibkhRkCMe5NfNqEhfJ0aLRbdEZftI8hRXySWDN3GjbVg8ulsiyZSiDznGK
5CZulGnjg7H1WFsiuNy0LTOLRalVtgGdeTSNatJHYcKuzJGRUa9/zcpi6lpdg7u0eaBKI1Xe1Jg+
1T3U3G/lm9dCxJlDmAvAzK9OA9YvGO0UsogOxCV6qe+lEK9J4rxkWn6MM/XpTzQQnCsmqPZ1EBws
Gqis0Mo5aNZOCUq/tGqCD9p72Wwx0a/FcfrLzJKilIFBq+EQiT9lTXlM0Rq9B2/C5aZs2VgeF0VL
K0eOM5FUeTWyaVfGcmM+rTrdWTMWy5GTOynygjAB3RGgAPqrP3WmppYFei8Cmh3ADd5HhmysM9Ez
dJQj6XU7DFfTVhXmahITKCZIqhoO1qQlSrGWZkeKASbM2tgTMz2ylOx4X9/BD8SuzdpXc5ru0qQM
TFV9Dk0SMAAUnfGjzsZq64Z+ddDOXmYRb/VUczTdwsvk9ql4wotc9omVO2iqnzd2HtGzSBuKLoMy
Jp5Po5exHOO9TCXfDUnaeArAOBRJvE4zt8VQC19LtSKwx40N2WoMPmvhIgbrQ1HrFp9H1LR3VhS9
hlWy0/LmBTuGgKKHE/T05VavdCrTAUTVDYjuQWl50WidNDFPbWw4AAawUTsXt1v1gGvZDQZCVDCo
g0qHoaz/fb9C6L4kzjxuGqmKg6GDnjHHTQmqd16RwX1OI3bVdxZgiKXzYwg/oDrG0/X6oebqQ8pK
xxsLMR3BkrV1e74yQ9+912KGohSAWzTDDlvf14L5lvwkwmgj0KzNoHdGFtsQmkV1Nc5H9RRAEiIO
fR0PQWQ5e9wPfAVvvVfBdFzegLiKunw4qND0J7SeoBf+xEifDcNi+ti2TAdho7kkw/2wXlZ+3akt
XdFVdzozsnAna2RISTAYiSLLbdAWs9/q0pUNES5pEPC4wRgDiuO9O5EkNWNqgF+ueMhLwKd9m3tj
8pBvIYrX3OPMzjJlGYtmTGwdm1VVPqJCEhLaCHZG8McH5dzIYm6AphR7eVV0J3/v/7UnL7w7ZVbo
OPPhTtipB6ArSP/+ooWFa7OOAedqYiDC0bOekufL77+CkAfFI/gyLbCIUcgSL1wJbEYkCn8SySnI
oVTQGj91GurkgD+EylZ5ILL5SEj9EA3hp15LD6DPKnc9Tk2X32OOuYt98bvXWMTkworrONQTnPmM
k2WXXl5D6/wGJPEbdlbd7ay5i9Vc8C4jNfi4wJs37Ugd5Cy+tmN9I3+yNj/PO3WxFdZJHIWg6cTm
SoW+1tie/cdrfN8P23J6EiuzuzjDtGGuiV5CEdhnp0KyLbWAiNpUoZ/d+LfhcXDEI4wgr7CEs4Gu
vE4oBbGhguQg1m8/GomH8xI2IdF9VwzXYKQKnETzK9SmDDKGzrG1EVhXVm0GyNx/X2Ex05qusUzR
xzjFVCJIU7N0aVgfy3p6tKLqCimWEtoBHy575eo4clAfQtUONGN84S19iMozZAKwMXsYsXBvwPFW
W3T29IWXTNpMvhKGLWZ2+4V0SRBSfpTIgBkJOUGm6DA09Z8IJiD8YaaOrSY1lhq8eQ01arvkLVhS
PhkoX9STLfD3WpedW1hM5KxlA66gYMEUrVerH9LYOs6urUwEJgzwxwK2vSSPBRIvLcAp256I7an2
eG/64ib746yElJ0bWXhbEhMcXCzanjThFj2Q8jNvHxiZIleR643Vae0e8Z2xRYi3qTLyqLDb09Bp
d04poA7v7E0r9vLWPjZ5ZrlVVLxVzGzdJIo+ZsVw2/VG5OWGvtNTe6/pW0UJa2EScqkgMcXKYFtL
CAfuK8KyQqX5Kbd6L+KPUaoCZ2x3f3x6nVlZUgfwvony3InbU+rUX6gefabZ1hF0LbXMzm0slv6W
xUlmzzYMVFbuxUP7YasccHUJPTex8JWmLfRMlikE1DJWQWinhhpO0cu7iWUD0LXkECozkDj27bJG
zx+GqW59Xuof077cmN4r/AX0XWsXnvTrVcqm8rNR+xRP1UeZhIeWMRmUmjoqI/2UgOLdVaatHaY0
Gd3ESnQ/mgovr6hzyyrgqgDue1Iol/NtKz6KpOk3gvm8PC3Xk/Mum6PI2SGQ5VMnqhD+xdv7QgXK
+XTZs9b8lyHGgTobexrkwt8/X4nadCYCaS2r/1Jpr2DzcclG9F4LdOcmFtE76ts0rqDfc5KZb3py
M5u29fzFCq8aWnUWRxNo3A0+sD7lPrMTFpSApJ0mph2LMT6hLtr8zMtCC0aNTPuxIC+h5PJzqg1G
AO3syeVF/xkMXA9aWQZ1UT/bWCx5a3oMi/dI9ZMK90lbBtQUuP66M0DFxLGMw50nL8X97T6rcB3T
0HbXyuLDRK09R3yC8BOUC+JdFHduUo1+adg3dgekU47QFA9h5zet/n3ESdfjox67elN/s430WtaR
7nIKcDG3mleCexB3FO1NOWwp3K9tJ88GZwlaQuGZDs4QdF7OjGvZJ66dc5eSKNCi7njZ1VYjzLmt
RYRhjs2wJnXtCUy2OF3L/VyNhFoUsle1uM6JA+1R44ZXsXKp2NKe2WroIvaMrEkKPqChSgvMH/F3
zR3Hp8sN3HBEsogpnZMWopFwdOthMvey+xOLwHn3LUKBKPici0EL7Lux8sQWO+B6JJg3Cjq0iX/L
vMSySOCQYwucAHzPgROmIfSe9ZpthLTVbgJOn5q65UCbZNFN3MyQhoTUzymiHyCl1et/8fmLfpJD
k1k5w/Np0e7BseBKJHP+xEifNWHuy7OobDoW+DJqBWeqH3uz9BPR7S9bWHXXMwvz52cWoNlit3YL
C9UYNOXBJvti40JqaxgWkb8pS5rkA7opY+QDZUCwld/+WhsWgV+Ylt5TgflgjlBiyTgfXVbk16yw
3DKyDpeNrTaH6tiBcQP3lMuDlwWqmLm2EQul86z9sM0/01sOMRyOs5UDEMX78QDToITQjN2cwIYG
dthTDEz65Qas7o4AXfyviUWEag1tspjiDbaSjfBYreeQqLSQSGgTc9cX6qkr0mMz7zVS5TwZWl97
tqmc2w4ScJdfZc35rBkswijoQqzlzUplGT0q32hzqkd6x3DlUePi3wUIDLX4aguYsjZwZ8aW9yu5
VhSdgO7WqcyqV9x7BKQzNybTatbz3MZi9HoR6maRmM2pNZDeHET7VFKl+yWB1piRU91NO/51SvjT
1HDiGgVuNeOh8So1HUFt8qSgKXK5hzffaDHY6RTlXU/xRpWtH4fZGGOQL00EdRNlmC4honYZssHe
MPFb2kYvOlWnGYDhmhiQEm91+Y3Wwv95Fy2ics4yPWshuXRqe3mg3W4qDqoqNybpHFOWu1kLjNU2
oEjG/J/3s0gMvRPb1dxqQQNZGPuyH/xSMp92+rHMx40V82fu9ZK92ffOomgB7E/SWrO9LorAE5N9
T3TL8qpef5jqPgjb/Lum8geul62L5MbnKLS+klTb56E81lP7JlUvXFOUe/wadcPG/DRE9CVTxR0j
xTHts100jcI1NH3Wi9obOTgoM555oYz9uN3Av61dCAH8/qv3FquOXdtNbY7ztCTyBYwnt6ovJkD1
zeekvcGSB4kodp9icfdskV2V7R8vjEHhwJn9xZpUT6Tno8BMNTtDuBlaD8ql67RqDgCEdBszZNUf
z4wtlqeItHU0zhNEQ1+2c6eCd8cftGrrHmJehX7zEdTZ6g7njP2WJbHTrqjD2GoAooEAQVHdNSV7
0TDUuoOKX4bBD7tiyzNXgh72PjhvIUEAxpVlvswEsqE1YywnzZ069huzbOvhc4vPvL6uozxOrTmi
9rjLmV146OXXPxwu3jVgcehiGdUKe+41EJG+FZgurQSNp9XoW7es84MWw3NmyF7ycYCDRItViZ7q
jfSuRA0Ca/QbbiV+pxMvG+ijpNRXSm6Qr664n+VQixocu2qshIsVg7dKmALcDCdzin/oTlCI60xq
GxuktRMRxFVhBH+Bdm8pIJUYVgqeesxoVOmdhoozD2mGh1Gbeg/4iYM+QA7DlMq4MvkepRWXh3Bt
w/HO+sJPKAWKvEzQxgGCKE7cfK+HNN9pho4SXa09dgXzNNqBzLfgplcMk09wvpZ1vBGlV0f4rBMW
rtSkNZUmx0w3EvvrxLvjOHeEcNTJuS6v9Cz0ACrZyhqszPrzti9RK5VMpjox0PaaQT5YFE8lAouT
OG4jXkpN3reZ2mjm6qy0UOWFO31gJJYcp0OC/HhI5rUo8iC5NuqPl4dzjr6/TZSz58/2z2b9MKbg
ziHwpfJuHLx+3NvDQ/bHNwkA4/1qw2IFAo9EP0KpuDmN1QstJ38fJvWfCV5gcDeYBU5v0Mi8b4Zm
Q1QNN3mI+4c+3jt/Al9gY+8xY1ixlqEU7v3jM0sPaRjh8VH/OSkh5whFhMvjsOLO7ywsxiGt00JL
bNKcYn5nS3HNR36o4scwsHV7T/h4TDc4UNaiyDuLi1HJedyg3BNtKtKDCMshAIgbdRtj2N1pGJ+o
NEDD3qbRiTEjf06KstzI8K0Ey3cvsNgY/Gpyw5KTVll7FEX55bC1e1xvKIgGwWXkgCNgqUWS2aBY
7k10reweVUxFEOe1gm5G9kmm42GynFMdDrpPbShYysj6fnlgVzav4DD8r/VltXnuFHrJGx1LHmD0
ABMMtjvS5LPMQSTpgCMqYX+ipPadxcUiBNm6OgxzWIy76r5r7Ue9Z/dDWATcULE/or0s3eIQXhtL
IACAscKyByH3hTNFo0yibpgaUKsUqBCAHZrGT63KtuQg1w3NrKrgvYAqxWIm9rUZtTUx4LXBwIin
nJ2tb1UMrUR5QIl+2VjMxc7hZQqpTsTEit1amUy8vis+DCA377ncIXg9KAO1Dpf9ZG2f/s7qoguZ
mkukFazWqX1ySmm4Wpt9ACv/s5WaD31HUVCx7/AibH6jSgwbAWGrZxfT0RlFNPYm3KajZu7mWSAK
oNuzbKt31yaEAU0psHHOF6XLnEgjRwjfzROCMH+M/QllIBXcJQ50IfzLfbrapDNT5H3Y7iBO2vb9
iE06qOFsqe3GjzN4668ZWXgkAZwD9d5oDwpjnir1sVF5YDZb4mJr68N5ry18UmRhkw0tvGPkLPaa
rMDlb+IO6TdrmlyC3DeUWa+H1nq93Diysj8AsTpDlbnFKQZrcaAiKm56SE03J9Z9swD08acqu8sB
MbvihYLgWiN/WJV2pTmy8U0iiauHkQ9B+LfIniKvF2WQarpbV7tBe9Qzw0v7OMhHrlxzhMBHp5Fb
Z1IPFfh9E0JfcR+zsSNfu/x914B5sp9tcBxzGutoHp5OKyuvteJrWe65BYKiFhQcUDHhu35MhGem
pPcg7nxL4SGgDmJuihfqlI6Ph/rhcreuOaYJWT/IM1gmthSL7UrX5jicjC0Ock3mtwb19O9kkBvs
pmth7MzIcuXRNamjhqnD0EHLvZ57eKoeevQ4m7s+H8fyOtTURmnzltHF4gN+k0pLFVrGJ1C3dRKD
DToRx/CgwBeYbXfHJ/L1cmfOrr/YwkKM2OaojgBmgS7XHtvm8WCbTQOMGFyONhHUZ8doI5RsGVlG
Rwgeg21BwUiRHcrE2G9qYM1x4rdmIJOLRqDa4zfRKA0kNIZscpwdG2B1u5q9qljzUpVJtxYR96AS
KjzcFMExsTAETUseo7gmniXb26yqymDsAMi0+9xxE2H2XgsyjWRM5U5w56WvD7i7uRshhVhOxTGM
9TvHqF4bJ/Frwh8mwffMLu8iXfZuVyjipiw+xiNoeAZm3rX1gCBTOIHV8UPDcHfZMStQk3UTstT2
mibJg0ygcOTywK7Okl898nNjdzZ1K93ssy5Cj3AjD+op+Zp0x7gWm9De2Scv9PzPlfnMTs+NiVYE
dhzhFK6Dnz09jDvPQCjLsjxzbZZdOzlOlBF9LYRovKgbj5fbuhZnAYLCCcbQCQBRi4igAB1mBkR3
Tu2/O1Ng8Czzhqca8vltubVorS3CZ+aW0JAEODILdZPYEwPcFhbPQLu0T+r+5XKjVrfe52YW0cAW
6C2UAMLMLfs4gMPoS35P9Ht7S1f954XzcggZGNHgxCj4+00KJAY9pRorgWyA/kbhqN3ssSNcN5l9
mGUQ5Jy9GoV7vQv84x2tw31uag8iSnyOiZAJcldhYiShINfI6xEXWBntJu8mJ7jcJ2sDjU0yih2I
gXm+vHFyqlpyI8NARx3dpepT2F2HXXVUzRbdFLLjK359bmqx/Ymy1qggnIKIMrDaS1vjtXfCRzRO
B5ObJT1wjd+1TWO7pK56F3pQe8NwTN8ahoeQxL07duI+ssevWZd9lhoD6/9Npo/Sq3Lw5+ZmPHph
Ur3EtLjusDtxc61rfBrFQPKVJHHBt3TfDXYY9FX5bWxB6k7bpL0DG+txMMhpZBZg4xHEm2uxHx19
j4uNh542Cd4N7OjTREDGocn0QcicH+noiE8pCY9d4nwER5yH3E/pRbVD93nBlGcQFbpFRMNAdF3n
Fykmci+B0ReVM+4ayCCNoPjw9DGedjqE84KhKaadZIiTIR3rIE70Q2R1X+qsQL+E+ZUjsvJYJ/FB
iUpAAbz9rkXO5zy+0+RzZYtvYctuwUDBvNrmoRvX+XRCMeRzM6QvA0HrocC0z5Spg76EQHupqK8L
Aykc0hf7JtRfId6GvCdrhTtO4Reji0MvtqbnWgezhHCyD7yT5r6yzTdLz0FwA6JDXfDJq3MIOfVa
fpgGATIaK6ywrVVvZVWNnuxyHxD91m/rotrV1GqfmJ2aEPlV4WHo2aeO2Z0bm9NrKcI+AJcveH0j
9ZmJQRzMynzs1BC6evqowJaMW68bJABCVFNotw5ED7QUsJWUGcdohNzBxMMbKeSV6CEmL6CkW86S
uhQEORwau+MstmtgqbEhTFvqsnHjkAE+qt/Zzi3aCi9xzPwoG1rvNM14MBHXcyBjqJXsKoiWlcbU
uEWaKp+YNQRGKpCnTmX2McSfcCii7m2nOeTTjU4+2FHksZiCP0DYtyZxjg1UYSB3bu7CQdZINLGd
DeUYIHt2sWZOrg19klIW8HbS3qQi8SeoriC733oSVd9uRfRDD3lglyeQIwtBZdRO0b7uwru2hFYI
sBoPitJDSL6j8mCfzTz7MQj3+7Lf05mB38DsCEHJH0lw82sg6a9KRFZkJR6HJCx3odUFPQj9Rw3b
ylShs/ntCNL0SESdS5zBr0MKXV22T8pIuBVopNNc3WgTmXxUJPUQqIgjdyjLF9sQD0nHHFc52nXo
TJUbFxS72xR6J7KzrwqnuSKaVbjRpD3hHysIQXFXg+pOH6xvrO+v6yQV4HSMv+OyRJ8hzpmrwjLo
Mw4e91YOrmXGz8ATgcKHP6EU0HaBIf9omDJwbOfQDQYcGjzDWg7yDttsHyOD3me1cUV6pFKaqQfh
KVBQOFTm+J8qyGMbc4ILEI5nN3C4LmgtEDxG3ZQEmnRuBapnnXqOLWVL3BjVwW3c3E+OebSt2jiE
lea3OfA/fcRaz25vyxBXSA4ZvBiVe1bK9wXQuI1rzvU101xpk801NwrFN33FXIbyDT1Lnk0nfjDj
FHPmU1xx+1gSGR2ZOe4cQNQRAkuVDQEPWfU4KvuDpU0vFumm/ZSJjyAt2et1I4MmLvJ9zqIO+Qf9
WEhU0itWfOajes0L6WC6AUkmHSe6pUAtxFPzCnCAr3NxletiP3D21Z7BizpNOx+M+sLDldWVqMov
YT99bCbwhc4X97qTQd2YNjfYxZ9ssxRej/v6YYKMDe/BkVDMF9HcqZ/MuviobA4+HBF7RpmXKMOJ
wJDAQtwGA9S9c3TozhWmhR1dhWtr4LmZ0R6anD1CzaHyiUbvcVa/T9oJKTBk6ktk7CFRYXqRiSR+
j2z+iOR62Ztfi64GTQBoIBKJfemcD6w6Ut32ZvEoQ+pnkN5N1djviJnvdQtCnub41kG3IigzCoKu
EsF7zgeRpjpYMXsD9ceRtxTitfwqDLUDSZuHAfmVVObIxeEcZtTUFQo5CIg08FunHA6hPdCDwgWq
byCllQrDdXi3c3AR4ysKvZheaz1wjOOUOZahK4wsIGFJ8SVd84pu/ledPpGhibyGpGCAzVITsRXr
fIvbHCxPurgaegRp9lgN2CP01G+wLDec3wDmh2kLilmfKxwySKKeNdo+66l40+uSXvVmeWPrA/YR
un3XplPmmqgWSJhAtg8qvvDEIt41lkQsj4n0eaGxYCjsz7WFlVln+l3XaZnXM7UztfwkjEfRFU8z
hBSJHnpP8hhHUyFdR9OeuJXdGTZBpRngAG7YE+6yVB/dsYzvMy2CCp/mIOpXdoZEp4k6j5ZhqYiV
E2QU8vU1tBc9PKv2SVvKa6jTQtRH14+M1cqzRkT5MamOdeYgAcTL6i5sExDth6Hj94b5wtOcBJaQ
A6RGO8wVMmb7ypRGgFRydtTrsP4GCl7i9qR9xebju0xrzU2ywfI5FtP5+4bf1J3AKCYvSH2KANhG
6qW2eGRaDdSjtIZdqLpxP4bkcz0z+ELvfPLjKr2D+Ej0MNCOHFMmK+CljRw7G3mKCgyoCcLYYzey
HIzbuJYPx+klsxjwuahq11IoOwo+UBwkkmznONPg01qzfaRtRi/uDP0Zj8h8OWT5Pg5FedQM65sO
VeXDVBdiB16mLxYVH+NcoRZ6TJ9Frv9gKgd3ic2vkQvRD4adaq5jKd0t8+4WIJxnOxH2qSviG96y
PBA0LnxsMLqr3E5MrxGdckuYAiioOzjS+FyGDbtxcvu2aKfX3pL34HiRgTFBaBVaczjcjZM8NKpy
TgD2Zk+mmkqEMVIEkUQyVxhJOjMQOG5ZDp+auANT4/C9BEbGtRu7cM2GFbsU5WYexB+Omci+9qCl
76r2O2jIWrdLy0dzMhtPKPasnA9xN13Hoyr24aB9SzuVeKWd7jUQfGARx4EECrc/zC7ZC8KPRlUo
L9WawBDJfZvHATZcd+CTKQMQ9n3V7BinJacdr4DjorjIUJHX9dDEcbqa+hAeiHZgqIvdQSSVR+O8
cLOwtE964RzZIN9GNtbuJGTvYf95l9IJe4pag2gXksABhqQPaAOsdWSMd+WIEmXAGz6Ekyq9FMyf
EOk2a2DC5Uddr4iPi1IMdpyOR6LbjSspL/Y5rhxOZlzw26Sq6d4Jm+uhSx9CNkbB1KYStQnYocZh
WXoJrcF+TsYbyygQX3N5pBP/BgKbvTMXQOpF9q0fnfgUhfZ1LqAfVctv05BlAKiAnKdK6xcBGZiH
ujPJrooFlH6mKsCIoIy06O8zqLYGpj7mnpEnuav3odtY45NKphk+XHjEkK4CdykOh4WbGPnnVBWP
MSHYtI57yGePXo4ZDiHoVPjQY/mIirYHrRIdxCfi27oDiY3jFMHMsO6C8Lb1h9A4SuheYW60sRd2
SelLB/tTlrSFJ0de3PZ96vg4v3U7IVm/oz2wGsIEby1vrrgTWyD9wbWvUtkDiTjI81KNeVXNC5AL
atbtpOPuVRm08g1duJEZztsLgfuPCAxCrV5CqrGE0qCRsau0s21cz0fC082s9FMwvRwSK/zIY/v7
CG0zLAzpG3AJCXb1dXM1TOS+5Frramp802SWuBPqXr2fh7T/906DSP3rf/Dzt6IcaxmJZvHjv27k
t7pQxY/mf+Zf++/X3v/Sv56LDH8vv/LuN/Dg/xj2vzRf3v0Q5ED2jg/tWz0+vqk2bX4+PXor5m/+
/374t7efT3key7d//v3L9wzro1QN3Kv5+38+On7/59+RbOQMN6Nnp9XZyH++cfslwy8fvvxtL7/k
0frvvX1Rzc/n/INxw0TViqmbgEwiU9G//fsT8x+U4g5IB0KXot4CucG8qBvxz78T+g8AoWaSS+SR
ceqdsYGqaH9+RP4BdQfQSwEziBsBE5i3/+uE+3+f8P89MOiU//z8t7zN7guZN+qff39/urYdEPuj
gA78L7ptAdb5E0B3lsrJWMRRHwykJWD8utdOXeTHEjU/Duikt7Bv71Odv9ua01dnthoSOwBf8vSU
PkNilzCPTt4fl0Sg9nyEJ+gXGyRzCxs2bcwinJOCYCo/Zk4TxPGPsxFe6TFzzgL8ljo5MzF36Vkz
cov0KZYU3KhNhzrP7c9Kc7y0iYEHGxJsWClY9c2u9gTIYF2Dm6e+Ay8HnUIPUUD42Mxf9QPIx1KO
jRGIJ38ArbsbJfKD1gCtxW7wJGepW0DubEKY6Zpm1+Owl2DbB92Xq3q0kXIU410ELg6KTadrtvlj
WPDXro32ScpuVF+iLExph6rK7u2kuBExtjblFrBlLSV23tWLm45SdNY4KvRDhrpHzVZuSM23WFin
iD1p6VD8O8S8izDnnrrCBo7sDyalBR4wMsvsLPodSKSpBC0C0OBgRwQf2E2PBmtouK3Tq2hAZrbD
gV2gW6Zwussh8uiOaX6VouOSpr4Cv8kd2P+ukcopHiaub1Uazq619Ivz95vd/8wvNIO0EW7Nm1PS
DEfMd1SpxN6Q8MNl/9sys0h8jqQwKe50kaRKvrfqu2kKN623VK9+zvsLjVkCd4Zcl2rU0Jj446yP
rvpd91K/aJ+gEJXuo93lJq1e5VrUQm0/pJZ/T+amhqirzEabmIUSUCQJEmExd/pf0r6sx1KcifIP
DRKY/RXuSu6Va+ULqq1ZDcbs/Po5lObr5DoZrKqWWi21Un2DCIfDdiznUByHFFN+Sd+fMJRfnkYA
6BVk/JYV9lHyCWu7evEJYoLXGpQWCLr4hGbehRO2Y9OUB47tOc3EkW7W+1nRlKcU32IZeuHVI0nP
bm3Fki+5jMiA+NDg5h+2MIUUMEKbOcJd57bCBnml+q58K4jul+1f9N5dCBKynSMIKmq1g6BRa3eN
Ao622dbbZp335Cc3QisWiOjBhQuuj8s9MRV6xohWzVn61g+HwbPV/cSOZLgOC8m+WLXbQtT898X2
izJATtscouoJ44y0QCXIj3v3Wvm5rdJaYQsL/K9KQhiKtKg19Qhykpv8KGsLWS0ALH9dCCIG5WEy
qgxa0Cse/sDV8Ca32E00Nr+Qzc2AAZbeoQnJrzSJWvMPb62UEFYGp0opm91OVVzHNwp6qoFX50+d
9ssc9fyIl9Vd7hiyqC6xpjiWULe9QocQ+lLrHh3IBUhTtpdrrf3SdcHKim5AoFZ/Bg5Bh2PhJPN+
6pAveKyGp1CJ76Yr00/7+qXKvkrkrRQRlvJEAJGPFdRqYCcFY4kxSdezQebeI/cCYDCvsMm1ZpSS
rbZiScgFyj12mYN/C345lUUYFwr0RPLbL3SPu8VuWzWZBME3p9BJ7N5FSbe5ptpJsSWV8M8bGG3h
JkHbIFKPn1GnUG9KCIAQS8D0I/UZPeRTs4scMMa7mqTF/7Mil5Lmvy9ChZ6XWtIjwxRw3I2uUlXS
GPQ56OHnMaqu29iJn5uayzyrW0Mzy6C0s9eJ23eh2lyhO/nHNLIzepPOf7osl+KEOE5GxWB1aJcB
wrfX1/nelnWhr5zPlyKElp1MJzkgwJwymOyHTDH2DpI3VnLrJVW3d3yNq34BQNtttT7fc2aZgJxD
fd/W0Ld9uUhojQGULtchE4ladL+b4XfNHI/bQlYulRdSxJ6PFkUZnTtqGahkQKnAzJo3nmqvKSpg
O5rVyA/1MQXUboJxXdPOAjaoj7THH5XeaM6hVr61eng0THqDAtY9N6xnM6eyj/zc6XD5kcKVgNIS
iU0XpnDjncpfovAWU/BdRv2I+lwbfM7uTfUdr6lt46z78b8rIFLcKCCIQYqMYJvkqINl030e9hh+
4dfU/EKcp21h83Jenj+XOgou1g60c8NwKgPbAQLA8JzUL11R+zVYSZviCKrSm7Dq/5ix4lKmEAcw
5lMAYEjDRkUZ9Ml2Xl1VEpQlTiyS3Gh9WrCOw70AtIc5g4PdcmTmnrdNtxo4QQdqANINbT1iP8/A
7a7UsVsCJOpTz+2qIrBZnvrGoKSBQ9BEti1v1S+cGYEQaUmLiC2luCejFlMChQskYUhfFVaQGsar
2yJXO9jUQ2dBJ4kFny8nWKiFRGGhakC4mKSARNw/+rvx9S/0cdGKSzCFoquqEGlyQNJrTY9f16oB
3SyJ1zHJ96+6wYcEsTGntCcrYS0k6GXmO55VcQ+zF9tazDb4tIEWMoQggSWIDFwCWMDQoo55vGsT
98j/qAe5jMkJbi7ctigLIhQtB7w8q9b8MhaDZNesgKgD2FLFGJw6o1R/GuKISwwHOyN0Gfpyx3OH
HsE9VBzKqJi8bsyfMRHFrjKgtHh2htaTvkx+FHFxEzbuzwQDTPsizs+Tq+df8sSauVDQS4HSSYgC
1tAiGascuVY91r3jeFqbv2V2rnk5MFu9ySkLVLG5gV4IOh4ju3jj9nSfmp0BHBUlvXGS8ouqzh1f
R03xOB5O24u4trWWiguOjh77LFQ6GLixui8Y0tH2KMPdDMDMKEJ1z5xM0u255phLefPfFzehVo+a
sdBnQ9s/hnb6fd/Sp0zSWPmbKkP0zaWYOYItxNQT7WbqGOywkbqeWnEN5bls7hdHqKhT4G+wLH8p
VIKy+9h7g958qaBrCZ0bc3zX+swApXKB5Hu80wvtpFU6ehos5hVjXO9KMp0VtXxCLcz0Q2f8rubI
E9SR9WDk6p3Rk2I/5CPq4cOhzuLGC5O4kdzBVtcNOUcb4EQAvRTBLqlBmyas5g3O4itwjqF4fLYp
PTKGurCMmGRdGDqhEHoNpIKFeIWTmFvTWGLRTNe3rW82j1HnL9GDIVm3tTPZmlH4cFud8c/nD1ks
22TrBXqiugrIAuUPhOfHOmcPPS++mV38nlv9vcmmqzaJZGg8a+F+KVd4aOCVmeS22lbB3ArTlD5A
tr9Xr/ZTnEq2m77m/xZmkQG6jpchruuXGgJNDQi6GTRk5njvKul777JvioPCPzqETjRxKy9mNZoY
XDM59n12x1MjOUxd86UM2RuPi2qvGjVac0BlQZrbycm9uKiPKH3tswmdFa6CulSMoqNu/6CFPnfK
obEX1V87/DEm7RWAj3Y6HYLJiG7UTo38CRobsOp2WCFrLrPUU4grLE6rdrCGKuiaeWbIRstXQvSv
GIFH9tbI920UVV8GU7t10/pU60l6GFJ01NSpFoRu+JgWOd1ruLtMGSW+wsrHMaRfaxTvcY4NiTeG
6s3YoIWB6fW1MyX2uTUBPcVgw3A25rY2K6hSIO4Dage2gGoBCE846rSearQCrCzoGRx9p6XoexpC
sGqYmQoCXfo1xAcWZkV8hhtklZjXLh9P3H6K5t6NTv+BHjHlAXM955SovtplVynGyiUfOVtUDHnL
bxSOSj5WRQYyryooWIwygXaIZZCLq7sEowYamFhVUAEKYcCJWKLoI3aJNjuOCg9qbPU9AkaKmpE3
NGh+AaGyLlFrdcMALN00XdRZgFtxuWHyMk0MdGpUwbua35ftviT77cXVVw23kCAYbmi0LB3DuArs
cPQqAxl+x8FMQZz8SCojR29Kme+sLFP8lLiHyZjM69a1lCNmtxxftyNPocpezTufhdVT2Ex7BVuu
p0BDcl6iJvyR6Eq6ywBq2JZW5FlEQYd0lu4sGgZjj+a5UY1sn1ms8qitfsdcOvrB0+iU5L3EkqvB
daGnEHpsq8/QBRkh9MQotk3o9+Ngo0khpxojPym6BDFouEFP02nbwjIDC7GANgPSOBmW8G7/H39Z
uE0UelsmZMQvA4BM/4vr7VyhxAw3qDZtEf+XKROmhtoM5qqRnu+fLRkay6pnfwgQ83Ys6/uwKPMq
IEa5D7v0PAD9snDV3V9YfyFG2ECqWrdUi9IqKKtbSnaW8d/sJLKWRR1apdEnVAVZ/Fq5Jzs6/8X3
Y9jCdcGsilExwW2ZgTZFPvEqcDk9DWm2i5Jv2xLWnrM4kP+VIPjnmGjcyqeiCkzjH95StAGgnJk0
QCOQmEomSHBXgsmwGIzGVZA8VMNDe0bjsPLnQ4I4qgC+hbKl6lrIP1/Gy7EsM0urOV5M7bsSASci
HQ9/gfdyKUSwmKUTHWdTjedx/aK6pudeuRi7kHnu6h0Cl8AZvkM3PjHPhoyoPGo6FhS77nHir0l2
FeLh1MmWZf7aTyfnQo5wABRTndZRCznTFTr8XredS6aEsB52hvciwKtZ4B6Sq/1wrCRPV9nvC0uR
Za6ZgUiJBZVHcpwaZ3QNZ+4PmRiZjS5dd9skqwfRwt7C48zteFHHBT7ZjG7RMsPvrWKGQTwWv7bl
rAbYhZzZdIvXRNnVXFNIg7dtsgMSBnuXnD6rv48SMvIGKuDJxFqjqVRdkhk9C5x2Z7f3E7lCQ/u2
CqtmX4gQTIUZi7gYJngP7+2fdWU+4QCXXAtWHWghQrBS1pcZcfKBISj1mKkc2LHpntLqDRw227qs
JvVRbMeUv2E76EcQtgIay+OEOISBqa5zfUx9vrLaiby+N39G1E1PSu+c6BjpgDLoMQuvo7/XepJ8
wyzj015357vkTC9jizd5N0RCk5ZYMxtzRrH5D9GvE/dsWl4ffi1kTQ2rDrIQJgSWKFejJkdzTDB2
455GpY9s3EGpHMkKrh4rrovJNINYYIEQ7uXjiLpFVoywKwdW6qEePJCp4yGwbbpVV/yQ8qlwqhd4
YjgTkrCDdcrNwmvR5f3fRAhXlRqcC0OrQJHM9vunQTbXvuqAALRAlceYYSpFJpu4i3JQu4QsQLXF
8RsQ+2m47KYue+rC6lglyV3Py32Z43kMv+AJOvS3FVzba8sPmF9Yi4hECENbuIYPGDEXZGIWAV3h
+ZQdXKTMwTYhMecKTBqwVxf6Co6hTRNlmMGAPVP0IVOwuD91jXltkDFoU7Ifuu7Q5jXaekOGnp4k
Mr0QAydHpPeTHZ7jz4wO12o/HCOWPue9+WZ3/Q0p7Z2TcsA8Z+ktaqunFDR4bJ6GidG+68VT+sqM
7IprCfccXVI/WfP0hULWXApf2K8y3SGvNDxhkg5jaMoALDs8YRROmDfUlST2ru1ejOzpePAixiNh
cynMKNLeri1Yr551qaCUlSvUCycmqQ6vC7LR1KwBLwPdOJeCMKCSgfRHwxE+YCgigQVdMDp5tSbr
9FkVhCweyvWmaULSpaA6D5FOydBjZQMPzTesBLnuAUnKkFe/th19fastRM3RZLFSRp+gETpG0wqL
AdpCquit6QEiASr6X/UscjTZW5RU40vL8q9Fgg74MgI6luQr1mLWnLb8n8KzQRZfkSiAuBiRKQ20
9rWMnN3ABi8JgUvIY/46cI5+RgeDL3PXRFI9Y3DsC0vVe7fr90mmPW5/zOreR4Ee+VM0vzoiTkPB
88IJQzQzVBaauJ/0MfWsWvFH0HbJoIpW1xkNu3NxzkHHpOC5rCfU1iyoDRiZO26ck/R2aIuv2/rI
hAiHWx1Ndsh1CNEdsAPDqgG4FA5pr1WSVVxdxIU2gtcWnI5qPWvDUcUizsOUSDb6SscO4uRCguCs
qdVFlv17abD6Dbxggjfg2h6UBmZTGapGfkdxR41S82uea8ax0Noo6Lne/YWqztyCrVoGOEbEnENF
4yZVHPQEup7iyViQ1+y4+HEx3xCh1aBWGH5cN7JdBRACgPRIzjeZCMHxNMw11W4BEZq6i52dW0js
sxb/lyoIPpcCvCJu59+POPX06qhDAz3G+HgrI5ha824AZoMgELEDtGFC5EhHLWtShjaxCQ3R/Dgq
no4jbnsHrWvzIWP++yI6UTMcQXuHGJmWEWA4qup7blf/uCTsd8MoJfNelYb+fpRNTFTSbeHuEWVq
0aGfGfgYcTbsTLX5Rw1fuJ03V1Usi3Ur3bzIDy+ECTcP0OcN6TT7WjyMt6VZfEfoe2KqhuGhqfTG
JtrlvXrWnbH0p/DFLboHlhaxR8I2Oepxev4LQ398jSNcG4reArdNggiSWfmX3tWPKkVrHinvjFJ2
F58VE98XC8VF7KQ4As0EyM/gN3ad+KwyH21F89AnscPhi+lOQO3YGbvuWCFxpt+HtyjZ1QGugrmP
GWdPCJN6347UKrG+AzQrUfMEjWsaVZhsK+w3XNgmjw8a9eJ2/Om20ZcGY2d+mTRXsZL/NIcWJb1t
o69GVbQ3gIoZXwPmQGELhXpcWrhPw+pM7R+VzrqPWXY95vs0Qp+d6x4r4F6bjO0mAFb6WomiLNK5
/C9ChmvBIOCNNYE0I5iFTLWKRC66FCk7dl/sl/o+lTyM1jbWUoJwemQhSrAxaJORgdHiKz55EQrK
g8Saa/FoKUQwJtBKSTN1EAL8/h5jX65v1JJr6NqdzQU+j4qghxncT+9z9CUBEggTXIHL9CB37fde
G3BRccAKneRlA7SOeNo1mI7r9KHfdVY1j7vKYFbW/PjiKwRzGhPNe0zU4eaIMh/aGfNDMx5GTJ4a
yh7XxOu+mYGfqv1+211XDHwhVjBwmI9JU8/d3Pm5nnz2RB1JtkhqXiHcT45VtCAOR0w8lHhhsmOr
7V76fJel/kS/bGuzakXcIzSkOEB19XsGbHm2AC8UrQhGVQfA3vhqGuWIqfT2WksRBRxyDKl6jtX+
JlU48x23ucUkto3ZYh0gbCmXRN81yy4+5VPHIyv0CBgndTBhQh/Jppsyw6iqZBPKhAg3D6Xjts6w
ggEm7e8I1OyAGAHggP22Xe2V+D6Pi/zPrmKLYty5NDNYW+NqzSu/MqP3cW4Zyu25R2EqPBAv3NZq
6no0KfdTh5K8wpN/Mr0B9kNZvycqs/zW7dkBDYb6fep0ytHtO9SMc/dgD+RXGiF252QYdlpHw53a
ToYXAynYbwYcixZmje4MTBHft20CsBSXmvduRMajM+lnjmOcqhHBDFiZ/tSQvjgnCPaZSW4tEk17
MkdYdY61fUqe0264Lfl9Vaf473kr9/OmbrG71f6EKY2rqUVzWjrvexut+B5P2+LGTJu9G2XNvgj7
h5IyoAqr7Cli+reC6dQbLf5dp9U/IF8/xVPc7abYAO6doVeHviGuPxgppoMRUmxgJyY1huBdDe8f
TcvtXd105V4r9dsIfsmH5hA7EjTT1Q1I0KfuACYPbLC28M4GEXyJxyK6gLgyPsQKa/YG9BnASbOv
4lo9uhV4F+08A16/DpR+24pvalZLduaqoy4+QriGAUNCoaqR4NJXJ8e2q2/aksJoj9t+uioFDL/A
4DRROzfmvy+ull1sdiHHORtw9rXPzvU7V2QEcesiLAtYomifd8X7Bo5V1WQNAJ3s8qmMOIh/uG8Z
+209Vreb/SFEOAxSm+a6HcNabfrIp9tuOhjZWasPmBgB2ppXy0DjVx7pMyo41FGR0ifi9Q1TyCrp
Ta0OClAs3kf8p5PcOIblG2S3rdiq9RaCyOUCUTee+tGY6kBLAFNy1gdvGiTn+cq95EIX4ebDGKXg
gFLrIGuTA+uS15rQZ8BM4A4+Sm4n8zIId88LUcIyAQ9KQ+svtJmya9KfXX7/N9YCyOW8cXC/nd1k
4c6mQ2u7n0CUYV8NVAMD4YHnMuq49aX/V4Y4j1cy9Ho6EWQM0+g1eeU5oPwFhgPvbhDgt/VZmbpC
WgYlkP+nkDhzF6Fer4azQkR54WgLKeEApPBmuARFcu9Y97QPUYKn9V0/YIKTQC8FE7yH7sEcn7e1
mUPWp9XHMLmOvIVKPhE/WRGx7YID151mGfWUUt+rvbFHN/BOM2twfvEWvUjYsdtSV31uIVXwOZ1M
CUd/MNDk9eSY6L6bZhLLrQUfhFAdNJsuaumuEKpjjEVWwNiog955HHQDA0iNPxn6c11mZ7ABo3gQ
+kC+koS81WNqKVZw9hkLp49TiI32bbvL3u3X+mFq/OKrYe5d5cWRNY6txYkPeZ+YGFgEigf2W02/
OeXeXpZ1XttYy98Xrmb2WHdlhMsPQLzRYlyi6cGeL5oZ72q/7B9ZxySesebxS4GCx4d0ACFgAYED
eypo45cAUjFlzXDbzoGB78uQ5CJhn2s9QwB3lMqL3PJ7aalH4JbHXlPkI4YSqq+ok5yNtE0k0XZV
P1A7IkhoxHDEwkSD9jOgpBU1WENzNMR/sfv4KM+ArbrFQopgxQLX4BzJtjqw2rtayfxM84wk3tk/
t7fxqh0XYgQ7hgSUjpUFMVmuAYMt+m671ROtrIeRqFfdWH+vzHm0UJqd+Dw1iW7ChVwhfLAcUJXR
mNdBUz7U5qGxu6chta6IE52z7vfGNiq/JHHuJWoiOc5Ww/9S+LzCi/Msj0tg7NWzbStyhZEgkIs7
72RSGAqCBz15ULsJYLHZM2a33b/ZHAu9hVfoMCmJGWkQXdXAkSj2YdX4SRtKXHQtOC8VFK7arKsT
3VUhpX3OnmNZXV3mmkJgLhowwkXzBjctTIREyaNLhnNXEYAiurZEk7XDDYcnMWYYaMBsCdHY0HTu
dqhxBhqPD21oAjEbuVoc17y+t0ftgWoS51jd3R8Cf/vOwjcMOpphzbM6QErNU5rIi+mjSt+2d91q
TF4IEWIy1YFLPNXw/il+D3vqZ1W36+rbaQK+X+butoWtOgMwtB0CNBpgywjOYCgxC0fu8iCZOp8A
NRRXCYmI9UNzIUNwiVTRnZQ5Ng/czv6Zt6A4oKhIQ57ifmvB6du5u7B1d2OfXw9D91dH6EK64CSh
ogA7FOUwZH37qyid9nnU7VhfnFz2sm3Lde/415ZiKlsnXRXjfOOB6ZZ40o9IcgCXyZoqWVu0TJDg
IVaSsCnOozroTHJKAJ9p6PzUAPN0W5/1UAi4IuDW4h0JwoHLUMhVo6PAxJrjcFTdx24PzEcEXW4h
/I45AC25eYdOroNTWua+7mXH+GooWYgXwmFczblGR+GBpoObMeM/smryFa3dT6P757QfJpp0MD4A
QjJoK57blZlZTqwiIQ5qIlyA+pf622C9Ja/bFl3TaClFOLdbdSry1oaU7s29G1/UPXUla0bmnxAv
/EsRwpmdjoriDglEVHtrD4TYK9AMv1nDPnyf3oA8RLyQe+l9UnvvFQEi+nSyHrd1/HxpAO7NPIzk
YgIVzEWi0+RuRbqW8PkG9HVwlB7R2XkauzJIQXe6A6DiiU3dVebIqiy/S+eXql9KFvxFT6gVja7G
MSxQHDqkEnDbY6912OQ+EkkA5+yHEzWBYFoDs3u0k8QrKtDX5/WMkGsnFFPs8X2rRqesoYrfkuE2
tK0AzTV+xsJTkk5/flnEB4OYxAG0mGYCuP5yfzlZ5PQYSuRBq5e/SMn9rE5yv8iz/faSrGzkS0Hz
KbA4t0Duldk2QwR2lA6k19XObIZfFJF4MIyfhKW+mYOqMX6oZYmoz8fLpWDBGcY+sdtWNXhQGSpS
D7o3gD1xW7n5Jz6t+sKIwqprTjvoagLdKACrGSBSNeDMarEu2VjrYmzLtHFQap+S9hMPq7pR4NaO
ZZ1omX7F2NGD2raSKbv/z1L9K0fMyGdO3VfZCCdOWXHswJbVAMY6+qVk0QE4ojuny/wYOLWaLYNY
+Byb5qX6ECweKlU7Aq9Q5UHYqm85HJ7C8UtjOkShLEhJbPkpUZ+CCg78J79DhJekaH/rHx10PW07
xqrvocsezaSaiyZaYXeljZa6dtqj77IcfvWsfJv4H18HYbKFBGFbabxhcVW2PIibNwbnTn91/R/X
Ti5FCBuosBMjz9oBt5dEK3chKGvUEQDpIZUt/8oc3aUkYR9Z7lgafQNlSrN87rtYfdDyEFcYuxiD
CKgLtHWCDjExn4MjhsxOVqbcqXPYNBs98fICSRiwdu7iJvR43/4C8Akgqql62l7VVTdd2Ny+DGVo
bAr7oWmw3a3yvokMrxy1kx2n32uFSEStuSke8gA+twn5DKVQDpwoVVPhPkfr6IzK2C2x6b1uUV0i
aE2npSDB9Fk8kGbsGQ6urJ7LVef0Bc0EHmlVyeinTCPBeDHjUKnjcNjwznU8ZboDquj2+shECJf9
SbHRyjrUPBiAmt0k6M1JLK8Av8C2mLVbxtJkwq0eBHB2GRYFD8bUivxo0u4Gx3ju3tQCSKeNBmhZ
c9gb2bdtqevK6Q5YDF3LwiXn0vm6rK1JmoOTG+xeamBo052VEOTMDGAQbkuazSSeasD6/FeSEFqm
zEJDWxTzgKTxE8fkbQQAw3rs+PUUO/2h0CuAzmnAFNwWK1Nw/vviomDrdp5ilBSrp0f0hIzZtzqm
AKvnfz7wiO4tkA79rrZhvFuwZKE3k8pLt0DPRIeJR6acC204cPKD9OTcqumX0ox+Rej939Zv5UyA
WBMjsjYO8k99w+BeVTVaRmUQ9uhXSDBx7XVc+fPJkFm5Dynk0oqGAkBQrYjLIE/oCUOyfk3Ch21F
VhbqQoRgP6MPE2OMISID9eTdREZPSWVDITJjCT4IfG8tMTQYS+E349QcLHWSXKpWUgOXlhL8rYuA
tMhVqJHWOsBQMusYuaTyqcOem6J+V9I480pwh3r20F3Fgxa0uSabYl5XEylTtCEBRUHEllLCIuoz
3S6CfBzPSoenQ1l8//PVAkqvDcoyuDooqC8dwsmwVokCxHWO2fhwaq5Y9xzrkqvjmh5LIYLXqbg6
KnkCIV2W4wIMUGtaSkSseZ0F4DyQr9lIb4qmirhZJBEylEg8AIwkSY99E5+b4s+x5RBb5y2KiSQg
wIlJqaEuB8yaDEVg2XtF8cyn7dVYOW7x87jEE8c11E8FeBWEPoVpt0UwAB9dGcFuAaQkBd1tmfFr
W9LvxnEhjF+IEk52k0Y9qitdEQDpnzlHAL3rDhCFTmN5nWvHmUUbxzz+QaNdAYx1v3N8etZMSdRb
W7alwuKxb8Q5N62mCGp2rZ1q4gMzfFvRNd9bShBOfavpElPR6yKgk69fs0ny8/MHbplROO1HzL6H
ZQEFJuJZ8dvETlm0c+ob3Tr8Jz3EQnNIMLuSqhAUWbtyOBbV8/bvS1ZCrC1XKvJpCSCpA+3kVsca
ZHN/jsc1751/ndsUokACCoiqnSVUX+gZ7XiTu0O7Mpf15a/cTy7ECOePmik5uvaxh8J/QAgW3hXO
rpRVWyWrbs5Ot7iM6EaX9mkEGdNOswChctQx4NbfN/afP+MAKkgs4mA6+/NDMQL9VRfTvgj6fwbq
6+DlDCXn3Or2WEgQNMl5afGJIQwwtq9fpZep1YC2+PnZ6xaGCnNuGxytoIH7Iy38ovCsHWHnbc9d
aRmGYy2ECKFsophwVAro0PagHblVjVvtm2Ed3fGoJpJduOpcC1FCvDJSihZqB6LqKXD6vRu0P1Eq
xmz5n08hX+okhC2AivRl2ULQpNQoUoU7iubdtFQky7+W1LmwnRC/AJkYx6EJOWTYVcZVX3yrwd/U
Z775jRAvecrfthdrded8GJColw4xOLRFAxgcIi1NDzVFP6fGQTfGm46PXstlDdAyccL1pmpQiQtT
iAN5L0VxBXpVRzKC/1jiGCv7CJB8BrLK1nx5FxvGY0aMDNwnsCNC2pH8cVMWXpSLXxd2qZvldVgZ
DMFffY+B/1ZeJeFRBgy/slcvhAh7tZ2GIVQ5VGhZ6o37SMm9IZDBwq9soAshwl41NWuMcwDKBDHG
Z6M9BfLSM0n3UbS3Jtnir8yTXJpN2K1EBXkpBRBYYKBo0tV7Zux79x70fN6uVXvPbn9y7Vg5J6nb
rRymF1oKu7dCaz+oAXHpuFHLW6cCGupuexvJ3E3YtkpldmY3QLPaKx/4+/aPr2yaxdcTVdijZRWn
pMurIjCvw9xr1Huq+45y0zxvi9n2NyI+PQxLsdvQgBj9jeUH4wEMUZUsGbPtbriyX4YbB52gUeHC
Tlp4VQ4g5rtPwVjTXnVRAOq7bX3WF93BLISFOSlTxJyiPC/DhOB+U0T7CqiLyUGXlUvW1fkQIaiD
MwCgNiZE2KgL3RpfkW63SvBF+r0027/uYR+ihGsUiL9DEzAY8LDRO5rlrn+nrt+BFyp7PpTXDZgE
CTZOdgRL1LYZV7CO5137IVkIdl1COE1aSG7fwZPBjWvX+V6BSeMBHFPHAdhz6ED5lqP3XBmOEtGz
UsJt/kK0EAJNFZRIg4t9a2N+m/5QzV01oHXjV2I8M/0QGt96drJlUmV+I4TEwYk7zJpB37wABTSI
V/aybimZBCEOAv6PZui/x/FhvybeMIHy6yCx3HyQbllOiHhMZcSd0OwfALtP35fv5zyow2Mrcw6Z
Vwpxr1U46KFULFDe7rOflSbZwuuR71/XE0tcdjuGTFVgKBCHOfskmJ5nlpY/v9QvncwW7iRqpOc6
oRCin2J/PP95Mzq2DzBpZ/ABB71Hgg+j7FPYylQUQdZrQBzU07NTFI8WpRWGeKL4mBD2sL34q+61
kCg4sI45NhRkctx91AeLe4bzbfv3VxcdjV8GsJwJsA4uQ9H2b60eOovfEoKLG7k0Z22Cb833yilq
HK9XPbOTWET2xcIaMDQGT7Hm0mBCKbEyQBFIq922IjIRgtErszYoEMeQ10jP0+jrsqqb7PeFmMFL
QFrqIX4/+pbHRyZjUVg9yRbrIMQLDO8YVUTTAs9mI93ZTv69T63aHwcbXbETWCXjm2Kgfz5pPu+N
D08SwofSVTVx1ZBi2tW5GfMYNDnf/9OyiJ1WCVFblEXhX1n7pRk9np23f3/VfzGeA4AGZ6bRuNwL
/ycBkVWujxUNxiE6j+rgj2iY7xPzgH7T121RaylCXV3Iml1k8XhXW7BPWAanQTqo/d7qmXITqvY+
N+LrjFvsaPUF8VjSY/wpw0i2kjT3eQ2iLz2ZbiYG0GkGiCvNmIpbAhBL+JAp2QOrgWfxgcI2q7ml
GxQs5gFT4hcH2C61ZvmNokoC9rrN0WSGOeAZF0TwGisHGC0FJWHAwIP4oLLJxOPIMINOqUHgydEy
uG34dbX+lSdCLhhlxhuSFbC782w/IxvLc4mE+Ys/ndbuhwThCMpGNqVoM6dB0WqefWfku97YqW9g
AfTsP28TgBN9iCKXTmRrSjeODMo0GJQ5l6pzlVccBNdpY+63zbYWsXDoASAZDDqfwRcMpvRsaiwa
uOBZawxk5GT4/muZJkytfYgQgm5MQLA19gYNWvPNxIW0jUvfHMk3NXoLMySCAOr6K6rbhyGcJj/K
QSKr2c/bWq4FzuUnCHHZxdweBSk6DfoeiWDzKZtey6fsaZpQjZC5iaatueJSmhCmG6sHu9cIaUOB
CSrMJt06OfjQq6FP8PIYvzitqYD/O3lQkoHvQFwMHlKMgd5mnRKg91I5VDwej2zs0kNINLRjqneO
lT5SpbylGGXycz6+IdL9SsjkdzrdYTAGDONm47cD8w0lewo5iKkr1y08FP2+RGE07qvQSQEkHt1V
CruKCwdlRgWTrgVJfxQDsQDuDOZhQrE0saa+5Al7s83wrq+i7+3U/wBDjOqzMXHuVDQLPhu1+hIW
11Z8AuhA/phlYD9uXfASpT269Fy1+tUNzT4KC6C5qshX8H5HskQF7Wp+atRqT5PhrSrZHhO6Huha
wUAHO3X439q8SDGtoj5rFn2KWX4/ZOYjZvFP+mhfAyWZeiTpb0sHk7PpdFNV9skJlX1BMGzbYCAY
aZK9YsQ7k1kVepABP8/3qClEIJ6KSenPYN8UIOfJbeUw5Ot6ZWcXruXRKgEs3QAgUhf86HWYtbsK
lgJ71Xs2VqPfViT0nNR442VreVo3nnrD/Go7FcSWxh1xxvc+bN62XVbmREL8JHpGjdDArkkMdBKq
FAAvTfzQolC3LWc9ANhoFMPpqH1qWownKwYXsoqz0aYHw+x2VX7YlrB2EswFxv9JEE5EFimU0YrQ
wI67+9hWDkpHdgV1H0BfLXkGrxvtQ9T898XhqzHz/7L3ZcuV41iSv1KW78wGCXBr6yqz4XJ37VtI
L7SIkIIgCe4EQeDrx5md1am4rQlN17yOWbwodEVcEMDBWfy4u20IGipcOjSencgPyjgcP5nPZ2/s
3J4RholYC4xzcv3861f1UWaZgo8f1CIg/1+5ZX+eAFuGDGxiI9SAiuYy8/glCORSu+RgudhZ/ABv
YGP53qkPPsmVfui2vB/4bJHAfClGUfct3tx9UW3RLql6vqXVVVtcDMW4Bex9F5pxCzsSB/lN3d32
vcKBX9iT40FBXAWf3LYf7pp3b+JsKetmLvmA0vHhxT31N1d+/q9slXfPP1vFqbaDxhkkoArgFHdE
lkxGXAz/wj3+/q2e3TsVxJ2shkyruJO/yQvEek1MwXD3613z2as6u2+kbCtX8RWR3TivYQ9h0rCL
spLErgo/idHWL3zuA72f0JlVgojTQmw0aoJoBijqIib29XRh+Z9VuD8Z5px8cHayHN4jFqdQTdQN
zYWtrRtjViLCot0tn+VuP3yBKB1BVxgAAvucxA1wM3DfW6I9KMDQIjKCaYVRRXbu7DwCg7H79XJ9
5Efa70Y7c+6mcrLm2Wmg6WZdjlYdL2QDnpDhsRUqyf23Xw/22dTODAroVztplR1AP2MammWr6Y+m
qOLB2f56nA8t77tJndmPYuShFugEPRTu0aqDyCd7DQn1Xw/yAdWKh366vxbqzChoT9Kmgv94KIAd
omI55nYFI1SBRwItfi/j5J+MKnfoxpLg7QkF+C48Gat2OADN8O3XX+bDa+DddzkzIFZlAAmTsJiQ
PEyoeW3L/P/xna6n5N1tRka7z4MeIwizcR7L6sCrf2kEZN7XrQ/e77PjTCE856LBAzp89UmJVLGT
U/2PeUTXJfuvIc65bAM2VsgQD+2hYQDP2V6ibJYi6Z8AU/rrBfn4XP010ll8NoRZV6IxrD1MZlNB
xK5JPP/JoTwp0fQvTsVnukAfH63Qs4HrBKPhOcUt8VsAiQGzPrhmcIFjQSlOhc01Q6cws+X3X0/u
Y88AMNV/jnZm5ItstKt5UC0QshcQsXkuneyukJetrKMmn45SUTBCoBlIz5+BLNdt9t9s/ruRzzbJ
XyM784yIQoeXpbyc0ahfyvbZzj6hjvnwWEF6AFwqK2/1ed6ASctyS9jjQwtg04QDLclnLu9HEwKe
c2UqYyDIPt/1HC2lBdiIkUs+8iR/ORRXxWfZiHU1zt+ZB6FTtqqceZB1/vnoQvEddIMeUu6quQZZ
j07LwYl1Frt7+7OWgo9m836oMzsEDlSwUq9l07b6ZpoKqooJq79oz4md/3nvJcSr381q/SrvDJLn
mF6GM16c4dsJoVWzJDniKiv7DC79kaFfCbahfwW8Pjrvz/ZcaTI0jaPjDHjijRl3E00USTnfnuS4
d8nOGy8ynv76hH1wg70f8hwrFkLWFfeXLw6ejkG/dl1V7Aqx5K8H+egY/zTKmZESHJtS1pk4fPH9
vZdd0uzBxcs0xwo1VpfeKO8zBP8HB+qnEc/cjZk7SIiSUBzEdbj9jP72g83308PP3AsloaXaWes6
Zfap2nHFI1rp/RLemc9QNx8cqZ+GWuf5bvO1g7CC2sE8Kr8lm5k1P7Rnhq3kFCkSz1w53Mh9wT5r
bvr49SEydgkcX9wuPw8L5UAXRFK8PtSPy+EzzcWPX99fDz8z6nZTGD74ePiUtEAS5ze+uZNATpP2
k1v4s1mcnSeB/okAEmj1wR1VNNW4ED9L830ywjlGSZdyCYamqg+BLgOAkppj1pCHX5+ez8Y4OzwA
PtjO4IgaJOvuzbL0KZX5J1bgwyGQDoTdDsKV0vnn5daeXkokx5HkHaHoakFQcP6MLOrDjQyBLeCt
YU7/G/djq6l0/RyLHjqg6NxlB8nepLej1/lnF93Hk/lrpPX3746Mx9A4XGhLHCwRj2LX0E+iwQ9N
5ruZnL2sbvIbpI/wfJNfSxNNJp78TyDqH2WP0bGFzDSQnDbY5M52rvGXoc09RxxmErY7Jr08zSdo
2PGWnPAi0x7KNZHXthSEA1AWWCoel8GXTzGZH57Uv77GuRvrzh2XKiTi4CiSJ1b33LrD1yVTW+rx
KqkH++3XW/2z8c62+oLoN+wsTLu0r31+8mQI6pTmvjdvSJL/eqgPVzFAjQ+6P2t75ZmFU/lc9mCG
EaBtfe2KWxY8lP6XXw/x8Wz+GuLMzknPoqadMYRyUCxxfgjE8U/t8tRMn3iPn83lbLd0rCEcrgPu
oyHR+U3Wxwsy0p9M5g+Q1Zl3hz2J+gywAkEYnHt3fZYxHcyFOExuLo+co34fqslEZsjnTSfFnfDC
A+Hiq9PZxzpr8+2coWzqlV8qT9/aVYHmX7/p4jYYu7jsq0vuZSSyBS2SaXI3PeiSe47iUs0AvLPk
Hh/J4gGSjJCRq+6glM7QXCATupg9mmhOtghelqq86RYbR6HSaIQn8zdCpmfputsBJEbJYObntvNl
pE0NzZLAZGkOFYrjVIAmZDCvk6UFagldmRS2fWOYerU4xJItk229YM7jbEHmu+ihekpVXacEoU+K
DscxAi19GOkib+JgaC8MovCI5QIVVtv9Vk6ljpYSUhVD2NyIWb221nhB1DzvhUb7BExtdXS0upCF
3BXoaE9n5uQp+CF/NNacjJ4Vxu5svwiXPvfocmRCvXHX76J68V4dUh5YX+19cqSkmyLHA0GN21XO
phvqaTdI6yYw2kNvxEQjNI9dWM244eOy07qnSTmCqiF0misUSm1wUIYF5Al0mzRt3UasH+YIUzkS
NsmbmvQLwLbwCnMzDidU3l+Vxa7bUJw61d2xIFcJqdzXkuIrE5BNT0NRJJLiewaVP4JNdNExyC2R
ogjDcduVOsDrnPESTf5iu7JC7WJ0Y6JrcJt2nRPX0C9IpmFWiWUXInKrbroxgwbHVq4cXN7BBPHN
IE9H8IInsz3OJ79w0pCybEeUU32tTP7DlzyLOQ3LC+WDPJWJpUwtAlZsrsrbvuy9tCwKs4Omt5O4
eX5f8L7aEL30V5mkduovJtgIpU3cTnWf2paoIJ1AOWhHnX5n15OMK6vwUga90yiEkjwkOYMbh1cs
ngahHwQbwUxBRhqXhh/AoWIiO5QPpQ21t3IoSIK6+HfAhvIYBCvycc7Kp6Bpvw1Ov5z0GIxxXgq+
oUJ5GwMC8cSTwXTMEQw62XRfCwke9WVbl/i5tree5aTlRG+gfbjXnbuVXpiSrNwJUupEMPWtIvMF
Y9YUg8jiKiM9T2qv5KkEr2ac166KKlMFSdYFz5Y2D7PTyUhpt0nazKZ71QI9lxfVIdRolKrdok81
nZ29wVxuql5cBeNikqZbRGQy58UaZ70d0LWx8SwQKXchXjca1WIBjeqUhPyhnPhT4yjUpxxtJxn0
KVOB/QxxyMGKOsNeF0c+LiFW2h6y4ftsu/V+YIWd4vP1NqMotYGlc9kEonFSlXkPWZYFSW01kNsI
u/6qyYsmNVW/75veSmyhRtD1OXs9GRBQ+bo4hdhfydgWKyXGDN7yUQepkG4fW9gqaDvkDfJA0KcR
Vu4nXiOuwW6s0bzsQdwZtUoIAHgm6mh75VvWXdvxIsqyMvZy97qy8zzJ5/Yut28VpJhYNqEFFC0M
xiVXVGQDMnH+yzILbJzCh+6NV+dx0KHMqQHWjisifLR/l9tZmBrMmZl/FZDlcWHdRUU0PY5h+WYy
dV8P8j4YTR73IU4yxI0d7HTrgrDWiyGq9IMFAJJSz2tvepCpbboFlVHGljb1WbnEGQ6C50dyOeRq
VSoLumNTdc90aaZ4mVkdFYrcdKtASrtKpcydeDYMusCdXX3v1AQm4DLqKxjgVZKiXcUp6lWmgkOv
gmcTMoErr36/MuzzZrqp+/4bXTyeul41RG3d+xHvHYghrXTCTRVeDZm5wwEMcMmDb1iuzMOhrew4
h85PMmb6LcjegPwfNtXKVty45g0a2XnS2dM3a0Rnw6xD57qe+m7DlVHJ6C+70MKW7ies0sC9Jhl1
CxwotQLcUeOlGNaMeie+FnJok77LnsniVrEuzFUD9ykzsE4N2PVUV3+rKXtUFvquNWS3VzLBcGB3
JaxQ1IL4Bs0V6GzLwvl6ENmrKcaN7vJDAVahUA75bZMhyvArBSd9cQ4+AvrEAYuHEFQdlql8FiCM
oXZ+g5ryElZlBAn3Iwc1RWvcL95KUrBQV+JSCeKuENU1AU15DFerOg1Z5t5l0JC+rIag2Cys300Z
+GpXleNaGJEOED7Wtf08aTBtlQKp4KBqbnyP3rFQfFejsiE2kl2D9+sHA9mScSoa51XZ7ijv3dNo
gwBvKjrQc/+hRtvYIpohUOsLh2yaYPw+G3EfWCNJx1W0qqz8nSJ2uWtd57VfNdZQ7XzSuinj0p82
aEcEZH7VMvLHRcWL6/SRXsXrjSn3fJWzD6FrP3TiIsjNagSCISq8qTtKLR4a0KRGfgFLqd18185D
fUL/FDm4xXKEUu9T3XgHsFa3EVJATcxDDoBeRaovkDpFJxoi86Sh+sku6fhl9GUe1cq5Q0N9FblI
Tw7Uvwyr4EmOYk4pqox0RvNi2XkJyvxbd9yUhXwkaOA2r9wlyTBM4tAurI1ybYMvwk4bNPViZ/TA
MXnbYu337Qj+0Lg88gAd4Hb9xYboEKxTE/cruqBdcQZL05TfJaAHxYpBGABGWFBqH1Z0Al9xCn62
3A5/IBdWDAMFmGECqCHMsfhiFXTwRFIC9hBW3tsSzl+aFQ+RVc1lCIAE9KuvLAAmwswuN8OKoQhX
NAViigPpxHC5kLCIynAYEj+E7Z5tK/KEutV6KBJgC/pIcucyhEZp5Ncj3boQLwLgbgGbjv1FDPVW
oqgMrzxMIRp8chYv9Xoru1j1imncO+OwLa3qx9J73r5GdjaGoczTIfSrQ9sCVdMMxZcAp7D2MmD3
6uJ+CiY7FrbfJdyerhv4EPHid12kS4j8DGbiUVMM8jTVy33v5Oro5d0lscDgUgxKPQ8Q4I5EUN0P
0L7byQkU5C6WEgccdzXavJvEFLratw6FFl7eC7TxAFyfaZccPDfkz2D24yjfldcIu3YGFgOM7tWX
GpTZyWTbYzoocAjZ+fiodLek0LnQ4OyCTOscrh22ZeGghiSbTTfnN+1sHmfftBtag3LfoW4RMe20
N8E8Pjn9lKUD7XCMM95EmTegTbbhuGzGcVstbXcKZ1y1Rhpvo23L34QSu01NVRgJ12uhelDflqPC
9ubetEd4jqXyw6MNUse4NqKMwr4WUVNOXSpNSOJxqYHf1c73vIIOdNsbP8lYEW7JEmSR340yGudR
bLXA3Z8JyC1oOlWJ5TnwYt38BgCU6rElCo7SQL8ZEEdGuTVzXIsQ0soNfeid6ZGNwR1At922tq1j
PZUnltd7v3fuwyFMm44AI6ICFDjaot/JWR2ZpVVUG1wwxvHuXQM5RCYbBd0Qj2wg0W5vVVBc02LB
yOFlb493qwcrRvs4Q80LnRfzsWzQzAbUjETrB/Ce9g9hjdCC7XAZtRRxAR0V3bjFJyWuj/r5fwp0
znLLC/G7UrVGHIZ+evF7fa+Uv4G2wt7uS1BymRhhY7xYJIUo4k527e7XkdaH+YsQVHVeQEEQfo7b
1HYbQMwAwwPhDyKb6pPAdw0Gz8M4CokwsCWi2oCA7uf0CDcFsUaGx5eQTWtjX3l4jyB3iBVAYbjH
5Ge81x/N592A50mEPuuHpbAwYKumK7qrP2c7XfOtv5hSeJY2EHCrMpphBPtJgw+sYhEUm5a4KjaW
TInc/Hp9Ptwf7yd0llsm4TixvMNw2vdBWwuIFMvQKDbUfb4l2uNJAen1ajVx42rswBFwWjT/F3bJ
+y9xloMWeV7YSAWLQz9fMSse+/TXs/wop/D++WdZNH8GowT18fzRnuPypfZeArr/Y4h/+778e/7W
Xv/nCo3/+A/8/L3tcJ/kfDr78R8XxfehHdsf03+sf/ZfH/v5j/5x39b4d/6Rn/4CD/5z4OTr9PWn
H9JmKiZ9I98GfQttbTH98XR8xfWT/7e//NvbH0+5h17w33/7+loXTVKMCGq/T7/9+av9699/swlK
bGztiP+394P8+YnLrzX++J5/Lf52mUv91nz8p29fx2l9lPe7Q5GMpeB+RgHUQfpIvf3nb9zfmQ9y
QmjHr5SnKwtW0w4T//tvjvM7gFgMddmQoWgFXtnf/ja28o9f2b9TlJRWxKuL8CBwfvvnN/xppf5a
ub81sr5ui2Ya//4bY+sm/+vM+eD0IX/IgINsBJQgQJn/bEaANWhmXY3IfENWI+wquIqapZkLbtKl
D2uEKbqE38DzxDPNTV6Do2nW/m3dwcc0dZPdje6AwGtEFskK8nBDGgtsCOGIO3iuvkNn6j5o7pir
0nx5y8xz6/dzKuiYLLN9nbPqhtpyTkGUWGwUq+6DOgSlnC72g3bl0dLzaQS/AJJuGYeOKL2wJzVG
jmDPxqD6NMHpxLUGS9H3bzkzcb+EhyVDls6p+lPom73M5VdIgEYCFyVo2NkDHwDvUKN77bWNu6n7
ACFNWaiocyCXpKyXrlL7VsurbmRljPRQms2AvM6VF+H4bzOkjJPQye8CIkQssx4KObl0E4uzbqNc
d++EfMeb8pqNkFmpA2Ql+FVQHnrJJVIHQxtBZ9VHQql7aMP2yWomEXnMCqM5B1VglsHBo/1lWwL9
LQn1YZigOzLY5bHKFhb7szgUlcqQykGEq5bua9YhWMwGZl9A0equqdS98QOSDqMHgD78JKBeBz+G
pNqUZBQPHUmlL+vOuRmHDKVJuDi3TW3A1y3EDxepHiTYkHuei+ZB+2O1awl5W1y10yBKjEjl16k9
VXuLVw3cQ2nHNSVgA5beMVhkuC9BDQexKXk0bLpsOKbmLyUYHhGWbtA8iEb9un4ogmBMdCDklsGD
XpzipSYW1O1BNgYfK3/iC3/kDQ+3dCAQoKDDDQ/mPvLm5VX4xRX3yFeggvMIvC+gTFLsKcCg+Owu
Q7A4ARV3pTSoJhR4nGDbN1C4bOMmlJegsj75IGWjxnr2aHff5f6qeAT8ku09VVJi6th2KSXyGpf2
FYXq5sbpy+9VUCNLXxECRyYoopyDSJeONWCEJnvyZxB52or+KKi+Dnr7qMjggfzcOg6Czlu7HeVO
kgZdWAVapWx32aAP/ciKYiMg6oJINbj3SjjXfMRubfIxnWl+XVDLA/qY5xvaZxft2D93nphBjlqD
QBXxVCRFvyWWRXaD1T57DjjGRu3qhJbQNui6JUhKr7K3ZmZ+FdlMXBso7sSdXc5YQhBteo2NNKtn
7QsEU2lm2c5N44N5u3Xyctu5yHoh+GBRVimSiKlDLpGi7wER8GYSAmF447EE+QIOzYZg40LZJTJd
+UVxwMFKQSPmdE/CnwFHLqZX3x2bhCkBkhek4hKjtQ8OvyKPgjoDeLoe4RfW6BrhfARPC+/jcegu
M40wUrbkbuKijWi4XDgZBctgL8sj/PchkeB1GUsKsTGejclYO0NEljHG9wc4uyUH1YJxeyzzuB2s
nU2mW0DXgYzm4NeyOutNQkMpNj0YLZfJuqiWyX/pALplc3NZNysZ9MSQICkI0hgu8N9Lj3ZYK8yT
oZkves6/GeKdSCZqpKeKHKhz8ED1Nb5MPg8rwPvBbmonBnc0iQv/CqxV/NgX+rp0gg7OzAwVF6Yh
pKuKuKgGFs9z6COSRBigV5kkuKyPRmf8aCrnWXVUxrAYXjyOIcLbKh/iUk7fXGs+NIWyo1xSEsmS
YbNnfRfNAB2eWlVs0XPxwCWkDMZiclF2yinO6ogFAAFqBLJbgRyscrYdYQce5LfKJd/aoCBpw9wA
Cq3ihunS30nZuymcIURYc/utUKtOoES/iCpdLJBwTpw5/RYig3U8See+K8tnCBOPu2XkIxQ3V4Fo
Y8Io8LGMtpd98afq0pGTRjAnzIXnAOvjwv/C7aKylIPGNApCfZv1pZPYHcfS10bfSmQVIt6aNqUQ
qdp4oIICbD7UL7NlPwQG3A7TLOoNbcTXcN3atALbI8rtICZtt21PL+vW67dzSPLtgK90rIrQ7Iag
GzZNZu2KgL8sDlmO1JpP84T0ZC1X/sh5mHbaQTNlJhGloYrup6il26nsB+Th21YgYw/6jGxpwtQa
msR3W/Q+6eCIJoEwtkPLiUnDH0luNkgeOHGZ4ToZTekmpJyuZ+xkhbOFxC8sKa6NuR5uGl5nabkU
T2WIy66Z5mlj+ulu6Mlt0IcDdLWKu76CRiSuqOvGw9tyeHATMpiNsvIeaqi2gM4HSSdjpUvrHB2U
XCIkOE9oK2o26JN/qAv2p5ra/3f9PPjR/2fX7zLnb3/7Xx+4feuf/dPtc38PCFQtPRYw6uP//+n0
0d8DH0rhAfUYIrdVOepPp88Of0dZfWUSQRMbqNn+8vns4HcX4tI2AZAD24WBaPt/4PSdBT7w+Vxo
NxIKgJdju2jqPGN7KMtF4epvvX2Pil40se8+UiHN+GR53esS1icz2LthrA4Zbe7tJquid+/qTyf0
vdOJHPZPTmfAwFiJuBgOrI9JoU/grGiL89t50DJne28mXxaGFiIamGXfIfrxpf29X8RXCahE7Gdm
x1j7jPbKE6Qu4Igaz98EGQTnXGPPUSvDPGKLvqOeeFmg87vkMoxCHQTXmWf8HUoVt2Pd+XGj51uv
o89L6ZpDX4OTOfTEfnHneqPQlhYPgfhu3EU/Cni/STdlz7Rm+jBafD4IF4VFyumSzovU6VAO5sqV
xfRQMXGx+CyMdaeG0zTqCaD1QnZ3VUifoE58PXchqncFch15FX6d/MyPKhpco+fusirqb4pDRk6F
etOG3gadTUGE7NtWTKg9Umkl/QDGrF6pe1TvD5MNf6oaUFpockhOlQgVM8MK3NV1EU1uTSLT9EeJ
2HVTzL7zKL2+vfPdYPk2OfWx6tTByZtpM4Yjue8quLIMqdNXyWFCiPHollmFSQeH9LGZlyDKe+8b
8HJPtWBP9kyelwF1XIMkI25ECKpB9xLkgUjor3ezeZLACCVjMX4J60UgXRqmdGVgkb4HFJ8kF57V
tDtbMzQ5kSEd8wAkrC3acbkz8Dt3QUG5VOgEq3PomvhN8WNx5uvRWZcbOs55NC3USUeaXRJtNrzJ
b1sCEUpK7EdvMpdo2DpNXd5FJXJnWMdxve+W1PYbeSOy7hlasodSyCmhSBxHCpVbKoJ+PwCkEAUO
vm/odhukWQ4uLzsoD7KjzkI3mXuxC6sZWlU0fIBrGKKokfMdINl11Lc66RWp0Eyun8ZhUnvmZaeC
N1XqSQLW3AJKGXrJLuw+uATEhEWIUl78yeh9leVYPdO4KdUaqdXhEfOA4KEZLys9wUOY+nbPDaIV
WlcWyAAdHfse1IlS2y25Hfv9iAu4aa1IkGBPlWg2mg3PtKlf8mB5bZkz7gSrxkgac9OUnYKDlXvb
LBAov7fztOsUz7HdW+sY2NPRU8FV3nZzbHNynzO+l946LdnJnSibW2fQIqKUI4dY+Sy4l8UIKVff
vGYVL2JUcNtkQv0MGdv5UobW3bQKCnsj7TbEaoEc5eSq1o2OgiW/7AIwNJbNJTUo8VeZjdgkIkwd
ehPeA6OWIGS6ajSU2ynPnybWPuElvc5IbUTI4G9AwXKFgttzm2U7yavLHi44WMbmnW5wSuSQPXOK
BjlmIVUvQ8dJCMsvTK67JIdFS0bjP2dyvPAzZ4wHGEfkqS0Q6RCXwA3vvjejdT0E/gs3wT2asMZU
KBSmxBJ5FtnWE2IqHPFvGfUMSn4eit4deOpDBKlRO+oLZ2E3koXDkSvniLRogXxpfcFQxo107jdp
QBUkKXwHJ5iBpyFi9XIlAGpMtGQgtXZLnEvixYMtb22p0GCsq2GDJhJQyNuICe3Wyy6KtT48L2Fc
eSXYdrUrYLKHV12j+t40EMIYc0IBYqLhpnG+ORrYjNq1QZreq5d81N+DnAEDUPpF7CAw3izL+BUr
ksVqmh6hS5xvi2xBCZdOcDHXxzUVKJLCFrworT1u0QbL15+GHYRb1L43/X7RfbObpbr0xUy3E3RJ
o6Xmt0w1wD3o4A4VDAe108CJEDHs1AwjD6lr61S4MNxCAN6x6NuclCSq2+q+zeqbwgx7AvntmChi
dpa7tHFJmiRvbysIKcDjos/Yd9aLgM5pXPHuBGXHLW35vgqEigseviJ34W1d284PstUgeShLtS2L
BlUeWvbPDMXlpKkW7zR6NWJxywxFjPJWAze5xeuaeit2azTXWhT1avfeZF24R614SF34i6DGdKGB
S5fTwKajH6oh1ShtRh1BjWQG4SmeMqBltFHgOdRIWHJo9W04p/nOss0IgjXmR2jaqtAyQwPUJEQG
fUJ5cu3cjhSnhzrstm4P7VbU9TZdTu/BZCSuGlK2cWshHHQbgRoL7ZYDqSV0sFUfXlXSaiHe7aDa
OvjLqiXW7BE5XIkezD0Wgasqr3Kr32sd3Pr9dMPrMa1XyQUZfinDAAfWfXMHtbWFUTi4y67DlZCS
IOtQACZ32RLYyJ34ZWwb7K4ZrcFxG3Iw4JJ+3SeVjhhR6Ni1gTom4bJmf+ptiGJwTKbuDt4OO+KJ
YyLHfI7pggyDyntzIDnbV3OeTH5O064oL6pMvuhRfscmPIIp5QgPHhGtb9MUp2DelmGB3OyS75BG
cDaL6B+DChAAlbc4ipa3X3xymqAlH1EGWkNj4AW7E16R8UkEOxumgTOhWdoe5sS2Z8T6A80ifB5h
vO9cB4sHuerOptBvLGPufu3qcrd4bAsRQxgSE9wsOYObz4uLUmQ6aYz1oGStD4ZxnkCcHOtHmzcz
0SfPm0HiLEh1h6y9tV/zaaV0gpS6OkRM2z6gk6dNwTV9o10onvSjj+SXCxdi8lpzqnr6WhgSQqkQ
FgdInyMHTOS7a8xd4fBt3fFyW1HtxrqyWYSzd02596Nm5r6mFOioEc0pErq6Ud/P37Nj2Y/R4nQo
ZwFVaCJ3D/WreWNP7JoPg7zDO1cot9fWRjn2qRWQ7RFmXuN9p9yGpHvySgSdIe3lHckVCj7KA8qK
gMBvmKoBNdUAQ7qs2qKR5ND6oB6nLUOrZUNPc82+1YzUCZ260yj4txak/bfEbu9d6V7R2c9wTsAw
a5xiPpnWPC2Fh2o0X/x4tJ2NsmAsutwbT8ugkD3pRpHWvIIdG74xpm/Q79Yj+B+/AvAM4KS/057/
lk8iSIORAszNvpjWx6A9RxiGnnVMSUybJQim1F5AAuYLhU2kDoU4IYGJ+nOk5XS3+OOY+DhtfZ9O
Q3AV0C9ldhsQVPz7r3knbjsBxIffoqo2dDZiKxp8zcBaAmGl+amUdbvx1YD7sQy0s9Mk95Ck0gCa
KbTy4gb1NiPWkMzAT7hFFVU86BhscbZEFiNsvTXphiPAz3Pr1Hp671uQje6bq6xsRJxpv9u3PeAM
me8eXfSRpZADcLeZGgC8X2aZ2hLVwTlEFYiFim/qqdgwqf83e+e1HLmVrelX6QcYKPaGxy1MWia9
K94gWGQR3ns8/XxQH4Wq1C76cmLOlTqkJpOZCWys9dvoXhsS8zCl3NAOKkb0WLu+FZ490382muWT
UArNrUc18+uQR0a/Zpc2IgoYpWW9SxQRHwxhnfPYeZ1bUT1v/fVevjImSg39iWomn1PaHuZmRpqT
TLeLprkxSis5VKgKW3tfLWuA7HWnAxr7NqK8DAM7H5i5yw09ZlQJmZmQHSGvEImnNINNHUzxYJrZ
TRRdO3IPl7q6M0myO8cOW59TqdmJZpo9oQ3PuL8vIzPJfV0Mhsv+/TmozmGIzMqvk6H0p2WMd1EE
CCGUmnLHGFbJ7gGMoWnPqJSIpl6XC6Cu6m7WPI9CqUNvccKMfAFlO3fnerZgfjqEWlW0ovES3WeO
B9prswaNk7ZogVPIZF+U+X3D/nA0C4VemTyuD3Ca2rFQIY7MNQXvtjrTzaKSU6tqxC7XGHhLTT4q
q723Uouo5ZjMPTXh0au3JoR70qN74BSEcAd3dFrp2uQBe2VreLVqukpEZ1muhSQ4w9eQZzR0PGj7
xlXHrthFKjFHSVn357GalF1tt60HEPLeOZzbKMQXd1QZl5UFjKLBd4UAU3jmHF+jzcvdcBorvtvQ
wbmffoQWcdBZlt/2TG2sKN2wR8BGeviUu+lCGW24weQtwXSdztvrE9joJux71wjXKSApeQwqRD/p
OH04eK/qKmZFqzrda+xJDTLOn0QCS/UC3WG4UGqeNKchs6/qMW4YgHTBSS2/kGa4Ydy/ZZm17/t1
4JBo0qAh2aGYSz44LX0sqvFOyMkKZMi9sAB9+WmtO2fgP94Tu4XihG5SZbVPnk6/VxvV8SeTUd2o
eh/tkjsZyuA6c/6Vy/655TEf6HrPOK+ur/MI0BMBEG/0cfHBhs4xMoRetUbnIm5AMLl8hsW+rerq
oaXF1G977V3lgm9XkkIMPg2KiKN28FsCZYxxee6zcvHWJGEsQiji4ue2XWOR0O9ieFhXhsh+VFXP
qd8qK9lF6ECVwdqtIDwseQ9NyDVVhNhurNxZPLXujoPdOVQJmInfDEZLN1m1G7P4Bw4aApZGvvfF
krQUD5AqtZI3T5tokgLBNsj6OjktWklOnG4OQR9Nd926InKp1QVPb3Xsu3H2zMG6504NRCE1bj4d
RkCpLn2dPcp2ekH/B2YQFd+dWQdiXKYDxA7XQbWyJmbT5xwaaEudXAsSI+bn7fZrqq15V0TZlckZ
vVvRqXlIauW5Yizlvf8RoPm/WNWWRf2vsaqHqvzb1fs/YSj5qT+hKnxxtM0JhAT41oBr/gSrVKlt
3KBmqmjsAWp+YigpupKMQEBVpiP5dX8wlOI3JMk2zVRC8suM/wqrIgXyr2ARSUIbhmbahoC/5Pf9
4gOpBWMRaj3nmGSkPYfWgA6rsF4ygTKwLtXE7VZjcaeG0NJweRTxqgZDZX11a01g5VKVriVB9RtL
PqcyQc2lqAURxPNuUJYXe06vyNn1epy2bqJ2t/lCELJS2sbBHvVw3xNIsO9xSd7NsuKwmuNbc6nP
+iyQdWn9vCsVm0d21Zs0LiORM5xlAEDXP5a5ZrKNCvSrXZkeQtARrw3VzxC/Gfft/NTN25LFuuEn
qvZiNLrj6pNQkZClY9DHznvZgQ4tXYY6ZX6pkYZ7adTqQUIHIRH9mtirgvm9SqYDWsjBC4XzqvYO
01SPBpzqHps5cVMnHTldb4cNIQ5z4Zqh+pgv6nzr2NOPKR1qb+1UxR1XngakB771ta2emFYtz8zq
G0OzDykt1h6bbwqdZxzSJL4aMvITiiElgk7h1Et65Sw7wzxVZf2Zzrk4zUOdHHnpxB2liH01t+Zb
9OJx0LTwKGpkTa+rjGKOxcS4GbIo3iULj7U17U2vXlEG11md4UluH3i0KMcOP2PZVO1upRLMXXUJ
chYvflVmJmczM2ohOuFmRpRfN45+sjMWDmEN36Uz/Uir4qbU+RI3tHGuS/tgIwcIkllDWB23bj5D
xs2iInloityFU/jg2Kzohc1KU8BsueWoDfdtkr4ooXFOYqKyl0kqHjzY4o0bROBM2VEz2o/ciuOr
pLUmd46kRSNFP7KuSc0dirZ8og+wI2Mf3f/ocIY3iv261D0KlyXXPb1KQqQfGWOQykghySsBRNJu
Bj0OCFpkr5/Ku86CqXWShUm+N55bkTxqGgK+MlVPjbZ0HvuyjTQX7eOKlCQGxIj1uQyykUiN1X7q
DfCETtPhWeXdGMXHrq6OUlH2Qur3qHzRBiPb85JBrEHitOFJtJB8GVp9nubaXV/lqafSduX2pfJh
V99DUd4Zpfal9Arjpslz1p54xgqSBHZRbjLdVJS8xwaxndNMKlzdC859s4r32TjudJuPMDNDBMUg
HGo5tUczQyglKlMecUY+d6XCfb6OX4MADSzks0Kus0dt752dFq3X1BlTbKrBz8mhB06MxZWIBnR9
Zn3dLFPq0dnzzV6g6ou4Zq6qsoBWjStNoN5U5g5Dv/Us4vGZuTMO8jrKD0XXKV6KcPAkqvGCCvQx
6mgNY15cuQia7+Hi/AD0Cz1l0Xs/N6IPkNbBzYv1zsnktVoW+oGR4Fla8spRLDuwTJTWoHJUP65a
c9ApgDzLzDpZSqkHts2fJWfDPoD3E8U0J0HFD/mA6ZnbmznDKnt274g+6OK69boB8e3c1cKteuNH
U6hMsrY1M8kjTGzWhbMuXcAvFSMOpnJO9/OSP+PtB1iL55tm0NNgJQbRHdPu4ISq8Im0Gl0lm9AU
Rn1CdCjAZKGsAvG7Oh3bssvPjsX1Y3FLjINuPKp6c87J1fLa2fiw0NMF0Tq/JKE0/KVephO3HerV
zQLctTNbspG8In/rQHSng0jRh6iRedVqGpd2D1CyhFgjwohhsROoRddNJhmi/DyUq/5YRi3jQi9z
fqDv3Gyc+oBgIfsyEqHCYmE1QbW2uJPW9aANju4VSDNOZqvQHjnBLy+hdTHSmWiyUpI/1Zch+jHj
q8LnSVVyfoplc+rs6ttsKa8pfkxobWT2QufmdpbTAtjGgrNqrpZq33BbLLu8Z290bOsQ1Yo/Gf3i
EVvDiN2UWtDI5hNog3WtFTvAyac+nd8gNK712KLRU4Wzn6PmWcMV5YbLYED80utTYDcZNWqbgfJg
sUUOqlbjzMiK97BrjvVSfxsnqNC6UZwAWh+0KBSvdebs7FnPg8hQyZLBX+VGrZMEZriELEDiNhmy
68m0rquuf6gb8TpSdErzXX+IdPEWWeSV9Utl+x22Z1e31rcZse+umRs01yEztBZ3/RlZeOS2y6D6
Tp63kPUkJ8w2x1Csjhbnbi1u0sVpTouD1n9OdI02zabwnRWUfAr51BX270A1R3lWlflUzP2G3BAz
oY7J25hPqWvYVB63OBSsRMn90ZpBTQjUClJgVDQwy+ob2D/dqOdIU/JcP8R5d53Wxr1RYNsKO+L8
R5qvSfzS3KU2ecZXIKki7ywPFVbL0YIzSU2Li0007nY7kZAElOLaK96WYqRtNVN1gp3Rabi1Hj7r
M+t6ZfBmC9TTfl8t2dlqu6Aqil0h4/Uqb8yrtLXKp5VyCy8S0XxMi/wum/NnK45K/AvVhK60v4qK
KD+FOhS7zBCT95Ozeikdv0fK6zVOUlv3nbJ5h8BpPEMx6oBdWPpr1EqvrZfd5CBH14qDOic3TBRA
56nSBKoxgniG5k1iTY/aJr2SHTpcEvNMQFftMkbc2XU/XeTvXjY1+7aqrYNTojqbRfdo68qhkP2R
BAywyP7UNVriLek0H9psWoPIlmSLx9yYNN0jtFxqtE0twvdW0WhiHSHgM4dFkRIkZimRHWnfSD2g
Ft4POwL/XxPUYSwBDJqwPNJJfs4jsKdpbCxYLLN2QVZRJdXhRSQsd0irhkDR5BfX7OLNA0uMHZfX
axV2uF+TEZ+WCSoePTaRxvGhrT9EY2lg5O17b87eIOwvkzTOQG0fkq1ndWmqmPju8mDNTso20/zQ
VfLw8OwQlRetftcvpUuyafS2zrL2asf5kQzTg5o26kOeFfMer5iDmgw5S58PNE3mhzmd7iQSMa8e
VwztyTwGmaHcDCgecBmUn31sfEb0vAaVLT6HECevMTGJGivsz0hjlZvIOt0NViM8feUr1cO2OXA/
gKk1hVfl4SnGlfVMykaxK2tn5AlYsSqSUsz3ydw3jIyVVYKxTy7rZ7YY2pWWMfN08ZieHC7/XSWV
h2lB9ufWFA37aSE+OPt39jJcxNA9ZRryqYrVHZEeShSTyyXQSBryzBEhvw7s6qQspUU1n3WrRzNU
IJHRi+oRUDDCkax8n0r1YcWT0Hfm9ciYhFRbXPHZNSTPKw/dqrwvjboL7f627wvk1bkfOtNBKQGL
+ZFn5oA0kLhYRy30hg7llbPehwrIeW+k3si3cRonZHV099ABrTWkatrNiJVHPfQqzhF1WF+nVhbn
ZeliX0nzc5QYl2Ky9HM1OtddY6EWCpN7boRzk0/I4OryS0zp+miuSovQXwPX6QbY0Pl9XB3bS8dm
zzp6b2n296GBmwDd3Bti0W/yReyQRpLdSPpI15dXtd09W+v8qBtcRlW8unE+H8d5b5BiaqJZag2x
d6xi5pCaM291iic9jYAQ8kHgixwPpoZwRuMFXWWsO7dJTd1jtUHDQZrlfpmmhzxJvsULrJCxTqPX
RvKlWFSXmPM3Z3SurGq+T63cOubV+roq6ms3Gg94MA+OxI8Whzy4IU62Y5bWs1gfn4hAnRn9ULkv
/UWllLyuO9XLgQuXvAXcH/EjaItn81+KiFK5PF2vo2i+yNQ8xFZ0HXNcVTYQQaqJG71qPJV6Xw6r
8Itz6FY334xW+Hqo3qRhuAdWCmwDMnDN3GW+3WB5EABOtfHUjvUXiB49qNtFJD/obD2nUVddZeMq
9k0U7o302m4ZPMfSSAMUkm3QUBDjm+DzfmdU12WmYINoytRfe2XfG8pL27b5rbEOd7atf3OmIZjz
zdswH6cEG6KhnpQkORQtZWVqkUyByEsliNXuM5pOI9ZDFzx5GR5ozgWkl4h+2CCM9qKqOauPKgIq
tnyTOkvDsY56K7/0Ck1To6vP1M9ijV83080Y/bDGDpBN0XdVhJe4DesLfx87UszDFlhS6ZSdVhHm
aTSneFC8paXrxqzJShYrei70CjN6NGcAoW6cuzCsdoYNGQwc57YqywF9tXWUfLP74qoYOAaHQt/D
9g04QthNwpVKT04rtFR6bXPKVnYQMWwVibnvlSjIQ8aAdVQsL2n1uwhICR29N+ZM7Jw+gSj72yhR
GPG073SjpB6GKTNITOvRrEwkBCQj+Ubc/kBd9NhPWK2QemJTpgp5tirLNUsYY7NzcjfpfpTC3Fk0
gOLysXcO9ISbT8wUNK1eVgxtrmKEZ8jR63akabWFOYTJ2OwIWI2GXn1qo3LGcmV9Wr2zwESl6TnP
liiwnR6QKjNoX47whlfg3gQz1wcqGRdufu1YhZU7KYlfx7Mgryx9x32TkX0a3/foIXfDYAO/dblF
TJx5m5lIOqw+RbTLAMSNNRnxYSiax7zLQLSyhm5b52vo2mMcneUUHdZYd7BV6XtLj2yfCozeNa2J
opgM+UPjcAFZFqtmlu2qgS2qULNP+OALoYtihxiAGt7usSzH7k7C05yVuTI8tYqfokZeV8tnFF+h
596r2YpgwfkOjfc2VMVV7sTnqRrunLBAQdzghU2L1B/zZW/hgfT00niGlwT/lVd6mwLu12gh1E75
wE7c+TIEFYxHauBl2t03Dg9Y7EJXiUlk3DhwHNRS7OZqPhnquOmh6V3rowpw3/pcGrAIjV89sVDG
g32XWNEztnyoMgCGUIHUGku18RN0eogpVj+f2+s2zFZ3cD7iObwulXLPLXBQZYmjtrWCshkfgAAu
0dwjUKzYctrTWIGfhrV51zBVJwPe7eQ7dz5ouunc4Aq6boR5Ybeaz0huwIqdzjWHWXhxS4vowqiM
mwnfVPUjAjGZjAZ0HqteM7cPo6L9aDmO0zq7Tov+a8ClnbZdemiksrqmZj8shfwBnuyFOI8nGT/p
Gu4e+CRkj2u6X2tCLNOaINwOxjcja+sk5vwJeET4EabwbXzd5aqNYmSMjuMirzNaIlxbksydMRvh
xkKwVGq+g4F210Xd7Kspw0NhJtxruR44Caa237/EuDCf6yl9ltPKd548ymbuHiSNsBwqa+QPFQJA
9A640p0FtMAWXdBM/RnM/DkeJ8c1Z6RYhoI3GOPovW0lsMzNeESrfEyNafLNJjRcqqISfPfWrgNe
TkjeDfTcif5DIjpw3k8+ASRboHCkjalYDywyl8RfUDi9xAIMo+ccSX9xnUwl7unld1jyf/FZAzz1
X+Ozv9tI4GLifwLR8oN/QLTmbwCzpjRVKTj5fpITmr+BwWIv0U0JCCswuf2B0IrfrL8nz/ADqmHY
/Kc/EVqVL1QHubVxPVim+V9htL/XcfxqIqEcWqg0URsYXAzjL047asSMGcEzQqt2DhsSCZb8Ua52
c5eo1bmsMzYFXTQyiDRmUSetw11alChRhqR6s0gIvwx2al4E2idwNYxQqYycfdjHxJ1b0YuyhM2u
rYqLo7Pf67htCcKOwdnwn5g3eJuywxwv6WaEYF1Jou4IZImy26b7zQb7O45mb1PZWE5+bxMwmxkr
8RmL4xAZ76xIitlm1m4u/XiKNjYymY4hfPmsKKdWDRGwx0hEWsfsdpOVJDfpkDibc/wOYMPtYKr8
JMeTbxuV5PavjCCRwEa6qLIrsGsKHBthXdVNccwKiURDrtMltCzonWG9S+LMvhjDCNq5jpdEH/eL
QOYfsqGnxvgdB8ILWKD51uMK8NAeOLuhw/irkNijhKYdsK8UG2MsAzMbzJdoexZHitlCE7ItpH1+
neEecKshnbHImqe1C5FApHhcE72LgyxMbk0tlAe1ziThHE60n9qFAIHoedKi7NJjkgnWjrpltGnZ
vik0c19MHRHl2tXgDAoGlUiHd4M/TdfoiBzP8AqB30amTn6XNAKsUknTa8tYCQWx+49iWrvbzEl3
Rt6Xzxouhz1zT3XUJ/k+Co2v2IaIpBNbPuq1lp6NsYk+irQe0Pp02U6xCZkppyLZT4QNBNaY9S4z
Z+GGBQkJWbPob8oquQDNGrm3qZdX+ZAm57FZjV084GZCy6j5BbIgV6sBH61ewZ0R5ZrjgrswAiwI
rBYrK901Ci2PsI14r1sW/nRJ5eupF8bo6UN5k0HpPuf20vtFJx0/VwYcg73T3oKtKPd9tsQvq6GR
DyKM7JzqvXUC9ehxUA32Po4JRDUzns5hnCHemcCOfTh+iv6iZ7m22f/EtP3/fK4qFvFFDtrhf3+0
uu8ffzu//yLT/uUn/zxbVd2goEl1VAdH7U+HKwY92C+i5ZFfY9TjofjH4ar+tgUo8SAU2ARNDr8/
D1eJ8JskZix6KpwaD/P/5nDVnc2B9+vhCgKP3Y+mSVy+UGG/8l9jXhU6IlbCza0OoGCWArEXDh1n
mDVPlyU2i7aYPWdz8iRKnQWNSKJTvpkh0E78QMeJmmDCpBFr5W0pazsjpAGHEM/57ZRBdWA7qJoS
rcv8cmi/ZfzkQe3b/ZoUNcpVfEfV5kCqrO5bm0XXtJRG1PYxa3NG3CKKIZsZ/05DsAzxAPZjtnmb
NExOconPsZh2+G22e4c7zVDW4dBs3igNk5Q6Vd/7VFX3Ckk5op1xnsXWU2kifhW43t28ks8Fww2K
EpTTVW1AQrCdlMamQ1Lj0nOaHK4Kd5/Iq0B3oAUiSob2TgTes8z4K5Bm1H61mCSqKE4F67wpj0mh
1eqFWtApC4ljMCMX+z+ACjdtVIDMqt3Q3ZDFzzFCiMQozFNXjY+xIq8SpSj9WifCCEqbYjg1C8aK
6ClSh54sMSGfiYrhAHZN9EzHwaz32hLMQyMf18m5Hp01KEEsrD76RMByjPFveXNM4V1tZMtJTCHv
tFsbj3recauPSs61Go/+oPcvioZkaG7iV4L/PgvsW89LOd8itTxyOhG1ZaXZPrZa6ANCOvwEMtQN
ozYB26QI2Sg5o9YmVXxSkMgcsKugw+PnDmp+HbUxV4debaExr2TYxL41FbZP/M60L7rqPpfl25Dh
tdOFelVAE7q9pj6mzRal01LuC4BSekNOkmFVTbd1CTAby7VBJR9faSWlc/2opHdL3z81JbkM+OuK
o4kbN9XaqzjcDNXYI8nG+3AiEC8rDfdWHX0CxhyTMcfrpi6XrpoWwM8a5A7BHzh+nrjDqEeBM5Ys
T/1Vx4IIsFA515a5DKdGqNUe6ppvybTno4NiDB1LTmtDn7wqw9zu5gFVakiHByJK7UUWlE7FcrnR
exxipoYkr04RfZbCQsozttu4rd8QVTMiZ13IKJuTH53uHMuwtk56ymezxFmDRGuFIu1FtMtQ8vjT
RE6E5lBgGK+tto/tYTlHNrkP5Sy+S92ug9ZebsYyDQieuqWBMFCbCrY4V47GmLGjzF+JuUHgmiFc
7uH9vG7M9Kx8ZCTYw6GtV12KMf3GyTRSGfTem/L6HrUPBvYYs+Qm0Vq3a3tawWtB1iANq53dg7k3
FfmZ+jJ/1vFEiM78jb/LdnOzyoEc2aoVx6qCSKAc7EFiHuJ6tU/rsiaHVs3qQF0jbJ5Ak8FsJrf1
sD53nXGN4Me42PPypubjgcENVRwGJLeyYDkiWYznREsrfxbkOFlTfIGjtWgiyh+bcrzOIBTgF2I0
7Yxmh9lyrggfRqpTiq+sSx+zssNL1yovfVG/j1ES71ZthpiO9I8sjOtjMyI6rbn3fG5ywb02Iohp
FcvvlmH2ASKKwBHT8jpO6qHOxXViJy9dCFaXWxoNMVV+k8dAC1XaiUOqEeQzgxBwiF7LuHgsZmkj
w5fP0wpHO2Poklu4yWg0X/lAbEDbyPui0flIcsVkhkEcs3IGV6E6eCn0Nlf9dc+Zgx9SO5szJxMQ
N+xwSGyLg4bRy9YGsVVupKdJTPJmXoroaC3yqNvlO0FFBzkrNp83QT5dlz2ESxmoaXirF5l9dEr1
ucsYHttJALbSWeUW7YLCrB6FH+viSxZ4NB0z+TB6+3myox+O0XaeRUieWU3lVbRmV4CQk5876+rb
A/IozUCQl6c9v2kC3BEV5TH8ltbXq+hSWWbBw0J+H6cWQl27HYbxEwpt3zWqYBAjW6XRmntYocYd
S+gzpxhsz4i7nSbBhjQyKg6DhrIuRQbALyU/y8CVvJjwejVCjbSxv0GLmq612JOfLsWOViUU1tTH
nDVZ/VhSCHNSWt9qdc722WYDIpbnIVacT8MZ3rE6HerCOA1WBNnZFrsUK18iCoRxwthTPVszyg+u
oeunMemf4T5VDy/Id2OS56ZR3+jOgRvu7ey67PSX0FTp8stJoCgXdBOjBVSgFY9qbV4qJ+KvxgUc
cPITlIdTIizWXVcRGJT3GAPEXF301bjl439Oarl6yRKrbrO5PFsttTHs4fzUTVw7hZVzVeAK1RzI
8zZZbq2WVwlN7Dh8l0/x767SgWA+idHU2BSoWHER1rb21SLS7x2m1JBPM7dHXKo6flXyqKVHPKzu
D2kd4+Spr52Edo0Zn6s5Nd+rNWZv2DywaZp8tZsrdtr8sWWMgV4gbAVUlSe5mWnHjQelLLzzncHs
z87mwJWbF7dUufIRgDxEKzq4kSsU5z7AeNZtTNBm8F02q2+jRGVQOQnriFayXuEIjiMYz6otX0QH
vQ1Ocb3gHs665Cs3WyKdkIvYm8O427zGw+Y6XrAf//dAw/8zSRR/DqzMff8aRXDf/3afvCvPQxn9
7fF9+BlL+OU3/DHyWki0VJ1cWgsYAELqT8WX+ZtBvJyuOVtkjWb8mUkhxTbXavxbkC4q703EYP+D
J9i/mZpA4gFCYRpb2+J/hSds7r+fB16yMIDAmMct0puYu/+CJsRJsbYjGXuHSkE20unVDRvfRIqR
3gUL4cf8r+rv2BNRJP88B2NDr355SeRtBnM+nwjrPv/4dcZuSz2vy9whfi4iSkAsQR0RJNpm/6Go
SLVYC/7hhWzd4CVUjc/S/ov10oHmWyAwzEOlTiQzOI2J+Kfwsiyy90UeSsanGdu/orbR6yyltUP7
ShjsZJovagdYYRHlhNVflo8Ybgp8NHoP9QoXROKzeST9Mvf4nNRLk9XKW8Q+/u4weXvLpH9EhfjO
3DS9GCY78dQs5TOy6eiMPx9LmzaeUs3qJpcNKcU0NjXMXGlyZ1fDo0gb66mIOirDRtUebjFnG75j
Ao1Agh1KG2siUql13zuPRcxmkuqAoBhdD4vTjm5j5NfCbOqgLMtH3I1ZgMz9nKTQ8UPZn2LRhW5U
tfh2hudyWBYORvugFPE7zkUfRLch0K5Ez2bFH06SHDsruiUrDDIt1t6KaNlX2e9pgir8/RR7ZR/6
zgjcUZPh2FfaKWKs2mk6viYAU8MbCC/11phdRyMCADO+nPZErzW+lpkg0RlGbye+javmO4Pax5ig
tlstugga89Dql3TotE3dClmhRjehTiVNkwGXz8hxamJJYru50pLuYlrp27qqRFmUKvqWATWORRCF
PbH5k16QTO1hyUt/yfIBLw2mrhAjInayG424ibLrrxdLYwchVGRYXhMabHddr6UebkAkLZuNRtTx
M5kmKHgSi5TP5A0ZkKdKZZdpyCKRrHklpVMKZJaL/w/LgToshPXCBk6WoGuvqk9lEdZ7Wyt2jE6Y
yQW+w0T70awrgVwNTzEzUyyYNOWzUshCWNv5usjFJXUM62Dk8beklE/hoj2iVkgV11HXI0+2XWsV
pC+ml7GRiF36/sEeIESQjUC7t7Dt8S172qupjzdVlAy7pcTJZCcktqC2nKk86TB+yPpRaMR8TusS
6IJ3bFM2Gkx4S31NHR8croU59SGxrxy1ZTG05X1SRAR/zBd0RreloZx7xDboViIdfky95DzPL0CE
rFtYMvw+FqS4lEz9VYcyXFEiMxDG0Dyk9vBkbh6gAvpzjwYx2SP60/ZK5gC1F9MjkYNbhgTiz4YG
w6nHiwnZJfZ2ll8ppryrVp6eVdOiaF8PHR+lCz7wkSutyp8spkOWi8e4Q9lMd+PWc+6wsOEL3Ox8
caCvlsLGniE9gqt6nXSCHArhOH6ptLcJxy9y/fFQ9rBACLjYv7Ao70o9CyRtwzi+++1OJvuLGN/v
ZkL83zRSbZHhLF1sEo7nujXPa6Ez+k/x4pnR1rsrB96Pgfqmm4cTdUTNflXI+lWK9GmcGGX1AW2/
MoRXTSQUr5qYDiItttxOyZ8VLVX2SRt/LZW4F1m0eDhIBgqoxPAfos5+5R4sG6u8+vOh+ZcHgkBg
EWu1bh4KWMJV8ncr3356WN7+/aT/2ZL+6ysgLubzEdKWgseOg/ebp97PWfMo+gRWxXWmA6K7SS25
l2b2H7Lgf33E/MNL/NV0by2EE/aJnA99E8YezD6wrJAv1A89/vv38nvh158Ps7+/EqlzYFbEWJl0
Bv/6ZiI9rFQVDd4hHZWXEdSLo3K8xqhtetJMwd4r/aEwhCAMpz+srcAjJ+LToupkXyox2h8pPnp9
veu4vugTYAdtREuK0LBfSvO9rLu7f/8H/8MnYwsk/vQVkAWAxPyv1NI6ki5Fuud8UI1N2/cCo8va
Wrn//lXgNH5+9PKx8DKaYQMagmzx8Wxjx8f7fUKwDild/6fK5ICOh+9YIay10sx6N/ZGeZ0VCfnK
/bDTYmNHadWAFoZtMCu6ryTDKauHSIHIa3AVKWXQGigtm2jdR0hWP6ra1gOrnUhJZevciYosqNGI
hd93BNEW440hVL/NjC85qge2HlKWxXSfqMYrkvFTRA4S8qr1nmZTDrlCYOYwYrkfSvmY/V/uzmQ5
biTLor9SP4A0zA5sYw7GwHncwEhRwjw4ZuDr+7g61SkxVSmT9apqk2YyJQUGAnB//t695zZtvZDk
ZE82LsXY7p4bUoeXmlYOyzYXtoIlQShysb4Q1fzCjPTzMMiW3dtp9m7hXVI3BJtM6cIKfmORIWRz
p+Y28avHQrcuy0rug77eOEgUl5yab20r+CQofoCpzKteL6ztP9/+n33JUNB0ah4D6sVHFb9k/pO7
HIygdd6glkAZfWHOwS++459eBGYabCzXsh1XWQm++4oH2lpJOlLGWQ4KsuGhGxJ2eO8Xy9HXNJAf
XjCeJEg4tHhNJm5/Qy/Wpl1PhRWwWsBIWGq9duk7k9z3skZMm9SX5igJFxzaTe7bd1iP58VgooID
vy2WkXLYCMQnboWu3s6MZu/VckAaBGYoSzv/oejNX1S3P3vyv/t9P5IbI5/2Qs/2uKvH+rVj7+w0
/QFtB4nib//8Lat36G93xqVd7Rie4ox8eMdIRPYMw5TTzs4E6CLDy5ZF2pMPWI9Apq23ghjz37+i
w2mFAFg67rb3YbHDO+UwMuGt5hQar/p+Rt+hX3Y9nUyI1luEdPH/fv2/NU/5jzk+/gky5Jjx78+O
TKCL6F+78vX7U+NfP/jtyOj+ocOMMxWw8IcBtP0Hf/RtFwUb74PH0enbjET/A7YMg2fGKrb9v2fJ
Pw+MoG4YTbM3gSBRBz3P+J0ZyY+vvXrODLADnECZxJAGJT48dZSO8WjKHrO+SUPOuURNqvIofrG4
/PgW/f0qH560ouwmP3QHfz90r3X/pOevLUmlVfz+3b3/SSnyIYD7b9f5eETsAyN2m4brMPFMVkPq
02DORqYEUaeMIPE69BmVoFiOiPfpybTNngEKfgrgUQGPEJR3SoFdmuMv3rSff37O94bByZWS6cfF
1YwYghFp6+9D89lBj0QXB+15cRha+f+8kvpNvlvGo4r9rnP4PuvRfPIG8yYMEdcW7IBImgGD/fMN
/3HN+vN+c+pH2aILl2rzx6sxY0/cSZf+3k+1tdVmn8esedL74ioth9dqyH4R8vIhE+hv36/4cL1M
YTQgy/h7yhztsSNefVHcwjanMf+sXVgcKX6r8vz7B/zw4IYRvM0x4osbfBzD0Dk8CcPtF1XnT5+O
v+7ixz3G78fGS0ouojNvqO2V1XDGspAqtP3un7+vn77tfF00IhzHsr0PxNyq5/EggMbfG2gBOAxo
ESTE38ud+3rPyLZS7FWqCWGrXtf3jyCcCTol6GaBdtufI5+0m1L79M+f48czx9dL2JSMrJuG71iW
9aFY8cNgjqMIxIimM8/snrvhF0/aT27UDxcwf/wMRpjWWR9ygabe2MnnMTgAs/zFy0Pxxr/y/ZZv
C8C2hIG5Bh1B0g4/PF1FM4R2UwMjQu7aLazOzEHdzOh6kZuAJto2uBo4Fx7J374BSkauqa1Ny0rZ
XwBK7MtCpzOe9UcRJTRIzHuXEVvfiV3mzoQv0AUwrSfDDoOVHdbhInDcgWASNMQPVj1cemN+QCdE
pAfV4FJOKJ4rplSLYbbCFb71R89i1qX37syUqa2UF4/6Fsm8DwOlGl4zUYTrGR0r8nFmmAGfFK+U
Xg4cMd3hkbaci4HM4WjN1rcziVJYxGm7d8cEAPuANjiQwwy4Qng3w6RhURdZ19B2wRaZSVQ2EYW7
nWjNSur2RGNnpAMeKHBTOWRPQd0m24xJ6xKm12pq6ZwJGwojQ1t5U5tO8IKGs9ikOtWk7BmPBTON
vkrE23qwy+MUpHjSgecg5owWJnpDpOEt3fx86A9dOsZnu0EandmiBWICfCiuDbVxVMBhIwfTXBqb
/Z4ZySVtshXCYHfXJ9m8dqK4X+vGdCv7plpBhQVi2jfD2qmCnWytLWp6weW6bQK781Ernc/ulMil
39ZfoGcxgjGK6djSX8F+OuZ0tVCrOkWKdLo35JmohW7bNjUTotnf6d3kfpIQqTE5YSxIy0deyufe
8jb0fpHhNDET00Ar37TceDe1el4zoSAaJM0f+giOQybHp0yQ+B4Y6ZeuCpABuA66q7Ft97YjzrVb
y7NnYYlF0NBuqoyc4ArSycILp0MuXA5MQchhis5bnYhkReOSUVdB8lObVeUK7lDOkMLCIehUNvY7
aB1GFpEOOFTZmzdXLN0Z47sIquQ9imHgZ0D3EZi11X7w6vBMDI29hPkyLrOxvPUmCpPQGp5HXKeW
xoB1YEdaWBZbfJSZdKwy2k6x9mBX+a4tIu/N04Y3NAzFClZquYH86EIBjV4qvx13+BqvnbDsjkGa
3GszvagSDtZtVxLvZJJAlcelBMQxdDSJ9Hs9Lse90Vpf8nGWG2TVLnYptPbRhHe2iA2ymQKmLU4T
vaEjLhaDh3jL62kGFkETwsG0nEOTSdzWWbmNWo0jel9vx5FkBUx1KomnQTSt+dpCGV42RtgNiANk
u4Ifet9hrcIXA9s5Ft7E1B3hE6JVuMduSycchZqF23GbFpggK087JmN677cgp0joexEOIyMLMN8W
KfNd2BHoxazpZUJpFykmp996CvOSvI1doy1Ingsv+bLINLCj/hRBwbypUpfU5oJlopzs4KJvcCXq
aRZvU9TM26TWnZ1DfgTkOnk1OjqkNCzhuofTeWYNwCru2lO+jJV7vMJGPhXRDj39Fz7UjuDTkWva
XzCJ4Tu3oPVhRA+ZEILKifLVhFMdNKu7cpOSV0jpchOl0E0rzI84jjKl3Y1H3AnpVz3vNOw90e5J
ZwFaGEe3rtL+kiJo7GKlB04SwBQIhCelFDaVZthW6mFr0LagEzLAFiJaz1JeJuUE7mfgzdAz5zwz
gb/oEtordWij8vHQEWee8zRq1qe57e5IuLvp3WFYsriyeHbmU0YmeDeiiieqCBxgV7oYDKpoVSSe
tTC1ItuME+8n9DGeyAQmWyesY5TAlEzMPsD2B/O1G3EL9yX2WduXMRHdyhKQ1NHVYIkTgWfXdV2h
U0rqTRcaA/eLQSMERAOaOHTtGS6w5XUepDaPxoekTZpR1F9Mob2TqLBZfsHojvMua8GJW8gVsUxL
QEfZKo48DKWDDQtc9Muhb++HusVuUNhYITvnYtZ1fBdGfGx7KVeDcI95Fj142uRg34ExoJmYixze
311bA5WaOj5VDN8IzhW859p5xE9whleBmMgt3vy4KJepyeSFEG+G+nOYr+c2m/exQ8TI3ESKfwcP
THb+1RD7T05T3yVa364KoF9lozdLcLb1tnZc/aLBDbFo2uZxribMkYmNLxJDNi7iAMLwWOeKDJIy
qu+hC2GMOsc2yiwHHgoeCxLrM9ndOXqLbF/a2ro19dsw6a9bz9qVTcKEJK4/ES+y0WAg4EiRl3M2
P1ox7C/H9G/KAAEA4ix2lYFnQhpvlWNj44NSCL3Ff4W5tYvz/HXu8ZGJQvjr0mifatHDqiOFqZQs
QW5dbqVwzqkM1zQ4runSf9agR65mP9siM3ga03JXT6bGSDhJcLa056hqIUGlg38vAAGxN7jNzlDT
IdlWCDnIg/MzdBxRXdXnUTinOgmf+BUubQeDThlIvvwKdqY5hSPq9/TVn9MXSx8XwQjU2cJ11TeS
IDqnv/LwCZZTfmjK8QmXIuBwBxATm58Ta9uKLa6PDzEEwihQCxWeBYs6tnrRBpDxwsf8qFW7NgS4
5+gPVoJrL9P8g2vBdw/8Kz2blN9rPaTi1LY60zRI2mP0buEJLqZrLzdWg8cS7ulLg9A9jdCvyAku
Ks87a22wLdAuc0LZjdx2cgAWXj0c3Xmflg9zEA3wgB38YW1W7tzYIpAKSCN8Pj0znj0ELAuztq6Q
Sd8zUBgC5olaBcirl1/aCNdSAEEtY4VpobiHwliPBTF9gsqsAHalYeAsPGLhGGNM6LgXWjDo1yZY
lqAoDvMY7WAkRmvXXIBzySxisUy/2aOWksgd2F5WYfKqedOuCp604AwxFr0rtrYKuH4RUNgMt9bU
fa4kj0zJI04NkwKB0/1Vggmjn6vHEZ6zdVNDMShLFAhpNkIBAGMaVEw/g1GcZOJ8oau4sOr5Ak7d
e4znlHVEv+kHnhbF+aMKxk04OS7iWv89UTRA7Df7yTa3SVQdnUZhOBQ5kKTT50SxBB0NtmKO8w6B
+nJWuMFZgQeRau3pngMYSwEzgSbsuuGm0vvnSEELNd0EzdVRg4E72BVDiP9VQQ5bO7i1FPbQKJMb
JkrYNjKQiHU1nQcFSZwibpjCJmJGrnehQim6CqrIHy9yhVnEHJChtcLlPwVw6myFYwSr9SAVoLHV
qte8MGacZ7h2m36ello9fRqclmhJSFRmpdiF5luj0I+AXq1Frv65UYEhjaF8Z6qYbVLor2jZUDdH
cCR1BZQsFVoySGj6ywh9vU7vACd7d5OSW7g0yGMYOwWnNGLEJvAqMSyDxagFdaRQOMtRgS1tPUIM
AutyspHahNAvUdTXBwMeZgEX0+Pa0OFBZXolqhG4x/PS8Mq3TAE1HciaHfUoKpwrovAaaALeHXkM
L3XjX+UwOcPI0JfSFsh3QmYUkEtgvJvyVMPytDubvVXhPWc4nznz15Wl0J9tSAmB/udlVFhQ6SlA
aOQvO5GdhxpdFQRRgDaXMUTRWg/wlgfivYM1Kpr4cRa03EvpXGrQSF1XuzOgk5rBsTZvNe9SjJik
bb88+0m2FfBMCwU2xZx1OSvUqfR9QuxIEQXZoN1a8FDZewCjKkQqjx5DznR8Rz6Hm1CBVMHNwFQ1
qx4kKOohrQW42jVeuhuyZK/DYtUKoKwOdFa96g9S4VpbyBSE1ZvtLnfKCOwEWFfRdMPK1KHTxCUL
Nc7BnSbG98QuX0a7fjYVHnZMBW5LgLGuWp/1rxTZpFljjYpWpmLM+rmOhkBxZxNFoM267sw/6S/L
ibAoILUFysF1ori16PunfZliB1VMWx24bWx7p1TRbh3FvY0UAXdIfJSJ2bDXmulRxnymClxuNFk5
TSkIuqFi6XY4DLwUum5t5DvZJ+S2Ad41JLGyaeddeEy+G48dFT1yjjgOXm8PuDcpHOg6iuUbAvVF
EvrsSIyhQ5+Pa7hlzS8aDeZPTuh0GWg1/NkZ+tAESIJuLlxBZyjqCU5cQSKG3Yq27z5YRSCQb6AO
LYBUr2g8nqJ1fR1v4g2sxz0RpH82H3+r6fxflrHzTZdk6tzXf9+dPrP6/esu6l5/quP/+sPfOtQ0
lWmjwDMTX4X8NNa+Yaw8+OkAxz2axKrZTCfkzx61Yf5hfG0fU1dSYNHt+T9Rk2H8YekMnnkCTKKl
IVn9To/6Y39MqNY0FwD6rojO7ofuqaxFh8ydqdsstiXKWD89lRTQWfvy3c35SftYdQ//ascIT12H
8Rqtdd2gG/Nxyum1nDG7lOvgAEItREFqmNE5alDE6C3I7UnWq8qJ81/0gdhw/3ZhPPLcW4/Zqkmm
0IcPKJzco1mq5XuJgpvykNYNaN1tOOQoVpnQnOLe1Rd4wa4aqX/OhxbdPgqDQgMMF0rrmE7ps+vO
p6SlwRPIEJgyhY0Ej7FyY8pVKDknh12zrP1VmSfWTo5lt/YQOy05ceDdSaS/M1Pya7oYGG8Qki8d
opY6G7M23IjaIc8jz4p9oGFnapP5nu5HhBnBgETtT2Iv9RY5RVDepXZl7mw/Vu0oJuC1qHjtASXp
y3A015yQVobP+aNs9W0fAlgwGs4IfSDfC2TuGyLF3ttyrIBGMgZrfZfgDHCLES2GDaOLeiv0flpb
VuNu9WaiETR6oGwKDOKGdvIIsF3kubVJjBL1LBrPssbdxEF2r/X2FtPbbTZIzlN1cLTbqtoNKoW4
0KL7QdORbTgkJsckSYNUBzNciPiYuVAIUlFcF+hg0V/HN+2IVjzLhtcmrN4Y/LcIWoQGtwZ0o+d3
m2iuLlIz6zdTxqw50PPLuk5hU+g4cOcwprWTiBr/q9V5e48g2rltT8Ms5z1mKdjbXUwhR/QrkcsZ
+G9iBAsSwKE2RKYMN4RmQBWLbXMDmxvuE2CpsUr2RtmeyqJ/JuAEGI0HxVJk7qfRw7zgphKSC1Zp
YZfnvKcfUyLjjoqc+2NHj2Zct5wQJf2nIbiEb12uvUrehnb5WiQRJ/wAZBhEIDqHfoHKCLwbPATt
E4FVoFM0cgai1DhGVfXkclrv/LldgX0+6FZ0lfkVSaWaRzPNbdrlRD9vPeX6nm8Ei3wkSd6uwY0o
rbjXfZ57Qou8LvsCX9pbFUVwnejaJ96WK2HUV86o+op9sbQTH0BDiYFNo9VCVIF8spQA0MzltqhG
m+7JvJOpcBZTGQGaYVK8GB3IY1DJwuUoxJcgS25ExxZDv3Uz9PEFbjbJiY0DE+4HXOCN++zrQbF2
a/9YTvHWMKSzYkfNHmtwBaKqT4MVXFdDcZu3RCM0hL8vZiv5MlsoDVlvi61ENwo9gmZq0SNByE1T
W3sR+TFTgH4s6OPNnBTuCUkLEclRjWnCD7+QjCxwKU9ijYTIXcFgL9eBa98LyCg8RvIiDhP7ukff
hLeF6awldX3t9hV6B6t6IlvusjKgEE1lR/gedVKdgC2mxrrVKxiqQ9e4AKdfm2zVWPZwNioL2kHT
nN1OIHybG3lb6Dy0uVnln52smDnSd86mLVXbjlToi1bgKZkVFFNr6T7lU/rUeqXx1EXYKuw4eNCD
Gm1aOO2spHkRPhia3MXu15nYIlxbwpElDmvJ8Rt/uN6JFRZOAnjCEAquX9xpdR899R6Bl9i9u8cy
iHX89CmxwwEQlIZUFoCZlmng159K2T6ghXzGcXVBl3Mnwazs+iaEcje1pHvlHgZOHCjdVRPY1rpF
QqYFYXxhtVR/oK3iYeXYE2LJPP4S4VVfoMsmqK12LYJJh9uqrq40n0FgOWYnUkb4Ec+663w8QWUn
oZxG0Cd689mTlr4CWMFrmGfiMIwgpDOM/GwxsBamZv6FbOLHQYHamX7cID5M9YrZC9M+VzsToSPl
RBZG2e2mat583QB/q1L6DxvP2xQd/74AUrUPBVD8ufjXrvv89xm9+ulvFZD3h8Go3aeWsYlXMbjF
3yog8YeOedzx8O4zztL5mW8VkIuTkTQWn6ePYoeK568KyCGQRomVyashwVRY3u9UQPaHyScMAU65
PnlGRCGaHsTRD/W0XbJGhD2Qs0mCl83pXYP/w7eQZqm2q1tYOuXYEBUwXvXJ1F8BZOg3PqnY5JWB
ORhbFsy2JlrMy8Hx9zaUKLtp+iUviL+B1BKtE7VTmUX7jK62Wms92lEn1IOlGZr5JorjL7Gwb0Nh
Te8aLvuVGyFSIVeJprbVQ+clqGo1DnQup9G8gWSSLGU2wyNyCnKb1B7NBMJdk3cA1pCRURmE9xM5
d+s5KG46rNwL24nNO2sWF5HI2kcgYv4mjpLLBo0zNpga8tMoiAvOBujzWgjEpSZdysySjTBp7pa2
Zpx7Q7NvR1RhLEoJWdWY5eg5Wd4Kn/NT79rDIqIbwCowVGdhdelmdsSTp/oZcTXcOtN8hby1XnkI
rpaz7Vf7GK3vNpuMdZpU4WLECwLnyeEwRb4NeE3wXTJ8L2T2SBDLARIy5ETBsR3ExFbKr02nVN+E
vX6B3FQcino+RfYk3cM00rC3MKYQcSYu0na4TWRw42e5XOlFuW8aZKKeQdsyiSfym4ER4C6DWdKi
MUQKJYKz24Ne8cYZa2RRPKRJerAyZUQxQaDF5m1SJ4iG5MCXaJgmLO+Ocq2fe+UEkL5xbVp4hXZF
hLBpU0ijeM4zx/SWEfLFxUQH070AXteaz1qfO5e4CSGgjNFw7ZT9LeMRAl9t/x5BdbYjVA9cMulY
a4oJliZt3lSxR1XaIbGIa0HhhyN2roFx5p24LvNp5bkDEyWYmWYU3sx+Xx/QXD6VVQjp8JbmBB6X
sr/ESOdvZcyD2dCi2OEhJxEdis0uaSr7SteakM+HHYphyUVPlxtGtJkcwOgBW5qjXVB05XIoGuDJ
pKDgpcqXVmWQqdNZ73iG5t3XZG7MHSP9H0aJaWOQrJCLF7tBkQipHeRib16bExPP3PAfBjCgmL9M
Z+kK2oF+18A9iLu3PvEHdnqIbZWDarS1k/vIn3B1zeH1nEGvtrp9mJI6VFBprvvauEb2mGw4+1dQ
+O3moLSGF6OunTO73LhVl0OHcVFOWslTOxfaifvyEuiUT9Aj8qVrTtM2x/hHTw40omiwRlmpLJB5
0wXLpv3E/3qMCvdBp03C2KFbCYJ56TcUZzmSEm9QfWNnvZgoBqqse+dM8jLUJgNGzbri7klE2aZ9
4Qgtofc7U+z2ZxH0/LKNf2CECzI+VI1dhnkcF+WW9uUxxEd7JYdU4+SiT7uYwe/ayDFXFLom0y3I
RUlphqahqcx3w47fMjU8LOsAl2xxMuzqJTHsg9t3zpb7aqHobs/j3LFqdTY2hIQEqQbPMXxNeOLZ
fGtDE1r6MZFPgnqoCM3L0H6qnau4pA0n5KmatlZvfm5y+UW0IXzx6hRPb15F2UtwHI07FKVLg1pH
kFMM+GpXVUBrZKx9qgxww1gZDGfvlrvUTa3DWMZvael/6u3PAkzlAOy0S0+TM5V4Yo1DdY6i+D3t
DHp5mJirwjjk7oVftZdeRp6I24obTAtUPH3PkJO2eMf8LBbGq1sx4g568yBgw5E1uWTizorFzNpN
jNsqAb05YFoGOB88BbIoD5PZ7zKyEFUKSUk5Ob/pyNMNo7+cCdGMhlvp1adZuKxV+ghYGKG5b7Qb
Ead3U32UjXXMovy5psE/aOPNlID30hhKpW2M7Y1W4jzAWmRuMB6dCBxgXBJP6hjPrp1/xiNc7IKw
4cHCqyFbB16beVIZN3o9QEzVyQeJ+zNjaw4P02EUtbtliH6Oe4f0SlwjK8JOgdfbF/HsZetiVLxJ
J3J4hOS+gWR7I/T6xp/1Q2MZWw3ixKpp7Ou0oc9XZ/mJDUmsIe0h/62cT0HNxKcRHWxGiemw1ybe
4dQMlrib31wP2hrvFFZmzrjgKTAQaq41rDM7fMKk9EiiMwh3bz/as7v//erpv7bPREX678uslSqw
Fvzn+wrrrx4VP/utyLL+cCC94hOgmQM3At3OtyKLZhJTP6QmPn8Lo+L/iizynB1sSxY5YmiTEaDz
V39KIU1sdRyGyMLBg6Dy//zfKrI+dGHwy0EI5vo452xTt1UR/p10rgLKogk9s/c6erIkFND65G/W
8R8v8aGOrwe8XjifSfDRp00anqZBAqy6/O7e/6SNBWJeVYN/dbKoFlGG4ikUNO3wIzoKMP/9RyGg
Atu1Xdn7Jhrmuy6RX5BvEIkG8LEFo+CxMC/DWjvDtoAJKdwTe9RhVrRIuwnygwFAEnAyAEyQkq5i
SxYa+2mmeJODIk8OikHpKRqlOfcHwLA3PQHFwsVf1+s7TyuTNYfOB6GgwhpoSw/EpeOXLxrIS3ew
Ni0IzFKP7mj9y2UFHHPIoGTyI2cceJd2Y98KMJq+4mmGrbyLFWHTYgVY5d50CBR9k/BOC4hN/CRK
VDyiUYxOEKLLIqCtlELoWcygPKd4WjIAPWW52MRgPkvF++y/oj8LQ7v1FA1Un5hCMliCEFom9tFh
k6oUPbRXHFE0CBX8aIgPlqKMloo3ainyaKwYpLalXcSS2iL2rEe6D6gJFLEUa7e+BMNGbSoJgQp0
/SUfp2BlpoazrqCelhrJoxxD3lN4qL0Co6Y0TZoYii9VGniNCLYZkNnrcch3LqCi61mnTFeoVccL
hi2JXNR4cFi5f581l2wtBobhS6tgrbXCttrwWwcB8COD6EpgTUJnp9jhlo8ucvSai0KhLhJdp7mm
g5H1kD7xwOurgUZM7s0e3sH4bjIEI84cpqyiy6ZeeZ44LNN3gTybTPaXWrFoecmtfVDot/BfDQRk
aPXLaBAEElITNUF2iEn3AcsA4TZXwcW1ot42KU3+wPZoE9peCkl9pBTO04dU8XI1F/RCPoclgWFt
thzMvEOq5cmVJhgjWbk5r2fF301bAtkCkLwze7WZ9IhWNERW3Z0E3avhjMFYlz6PFYnbJXhfGjiq
FWmfzLolPFdU+AYI8gSVP99l4IHNjIOGr4jBgWIHm0Z4Gcdgovk+lQyv13tjaXuasTIYZROom9b4
EZpX2eEWa2FGQoWCVEwgug5sD3qxpjjGkSIaE9lzjBXj2FO04wzscZ8X1yRxj3tdEZFTxUbOgSR3
vHJHWxYbD3wyKWzpwYzIVaoUW9lRlGUJbtmKkeJlJgTmQrGYYTYSx6D4zJ0iNSOQFZC389OYjQSj
KJ6zHii3rGI8Tx2DeHq7FoFqzYVZ4ZhtEf4s0sq5iRUkOm7tXVk1AC0CTnLEZc0r3bHmUwfOYznI
EcSWmaElSYlVStK42WRltm8k0M4xDTX8nImFSbPV1llDd8yoCV4hwUpfDkZHf6v2JxAGprFOHA+F
DjQDuZjbHFRkOHdQXxRB3CtvYg7pj25kCZKkOMXlunFsJkaw/VirPBn8Oz4crR39HOjQlnXuk450
hBGLZ2TZJAn4DOQD29gOFNrE2DX2RnZRuY5jJOCBcB/DdP6CgIWkL7eGy9jyRV2lHMv2PZnZK+HF
+WNXAA5p4uKcWP5pZLIHLpeJZWvMnyy/25d2BC+wabYi9PKHzE2nkx/0AefoGjY9y9FXWjBRxwjM
q3cfM+nU58/Isr/UWhxsjKBmLZ3td6+BxjMGhrnD+0Ga/VhNtN27mHuYbuqwfpoHiHA+WTPU7Rrs
fAr9Ebnd5KE0Ap7ybGlDtYrpGy9EOGWb3CrfG/znoCG057w272ITVMHQlDBI0xFassYyqra4rRPL
bA+ig2NL5R6iumu2YQicLO+169kbH2qlbAOtu04ywBTWnF2PRXIcbV2gTJmgdlV9sjHylpUM9KR9
hZTIc3E9t9hly5i8o7SzmfAPtQ1vhDSMhdfo175LLIEWGa/W5CcnTk93Uc35xcfYCUSo2naZSHaJ
Q1CG7x1xofQby8W3pQ9ehAQm1xgUk2vqVe4umB0a5RNaM54LMyOxPdVPrdadMxPrLH35S4Jxd2gX
1lkP4oMB6j3ZJltphZdZgR8YtnZktyRMhTB5Zv098gT9BGfterSMbYBrS51uvleSRQ6jbBl4zsZs
WQxoAeIRDztumZ1QM4+SJCaUPVk/FNvJtT4PtddsMLqKFZwcvLDNdCY+1F60Du+xIUMG/RHRRhqA
JGjgiN+MB92dt7ndvAvhgDevfZ6IEee3DjSUBMz2PhoBZrQeULawtG5rF8xfbQoAFP1NIsSWb+wB
RbeHhRoJJborH98xgwCHpkih8Cihr60HCRo+cmwSe9PS2MQaQDUxM0FqWZOXUa8ju+iI45Nm9uQV
BZjcJn0Uc28enbDBieVxFpPBXY3+ftmHslsUyRCuAYPyeZgYOFVTLwxjanfZOFdEe2H8xjq4D9Ae
QI0RD8no9GvizZO1gHS1tKXKgQNOcIGrdNuEFubfxNkCBu9osgwb0fVXCUPrBSFOYk0yFLORsp0O
UTrbi25AvRcG+jFB4rFoDGvaQjYXSz/KoqVvOg+Nhn4Vs3Y05zeeAQ5DL2eweAGePW/bB4hWgmw6
Vq3K+86bozUbtyG5d4u6bbfzmO80WM5WKOqLzn4TsfXsuOWpTPRdSlyVMLwDIejb2UErhkyL9RVB
kQ50JYd6m4erUYwPgRkd9WRAm+aFZCcIJJp2Nex1kiy2E09co8jYhJ/jIl5FXoJ3gqCwTq6IHPO6
hdSB7lYuP52zReWQXveGe91V8FXJKAA3U+SrNuh3enBBldVPTbD2pA6MtrejCwTD0SaLjXyjVYN7
70Sdywoc08MCdlSS5FA3nMWHB45Yb7AfaXOBwl1k4fQJWKPYpL4kcVU3OT2V9bJyjCMb5kYYERpV
LXpntYptRmGNVq8NV78ii+K2wJe4ak2E6MiUL1CpXY1Rcx8a+psXd9u+Mx9JtDzrRbedh4zBlnyR
aG2idDUkxgJZNIo3E7UGn3PReNWzIfHAjwbac2MvGd+wJ8u23CVl9ihr2CgBciNm2NyBIuJFz46N
HT/6dWnQnwrdnUK7MP46MtHWFl2Qr7WqeZjj6jQMZzjYsOf7XSDpR4RUzgB/hkOqWYdWl89AgnZj
Lw5lmr5TsSxzNDOITAgPyabnOZ4A+Bi73AZ7kMwpIuEZ5bPOUuvEenXhpCaZg0yJ7XDTes4K7+iq
8oNtkKI/jAJ/A19a6ceaWy1kpbC1XCzYEvJFPfbJChM5fv85iME75Q80lPNz1AdkKfJ6NUzHeJuy
5hNSQtqBg7sFPoKMaONoCPCsbK+zbJXoNpNgWHPgXkg2AsLa8HIhJ9dIPUNmllNfX5LkdnKSrRN8
Qgr/IAgBdpuDVoxEU9T1pq87Nlzxas7HRKTnMeGhRa6aCqX7s1EVEbNM13a+68v6PimCFz1uj+QJ
MR6fNXItQoJiGTdecHrHS+Vnz3mLJNxENznTmkIM/kqJbqJzEkS0iPCUUmSRh8pcVEmtZXtVNo/E
Qx6hCy2aVCEwAP7QZdP3Xd6TmDlZr11ndlceS80UnsfBSnepBrk6ylErTbYkSTX1F4KGYad6LPgK
5qUQYIWHUGfMNLRXstnSqGQBcchXNFWKabUNbZoefIMESHYM94L4KU8bnz5be9V7zRuDzU9mE28t
TLmrqreU3s+7NGdXh9jwkM9Kp2jqu5D3tka/Wzno3qImgC+W40XoYRP3jOoF+Uw1ca+dS1/OLu7o
koZ03ruCd4bSyc0uUFDQihmsEckaMOcu9QX8gPxzSEjITH7gAiD3yOKVoaPpunXnp7imyxuTSByU
ALBJM3mIdXhQzKeAnlZsTQkK3lPZBwwSy5Mn4V2r/vecq+xlcSt0bTdW5bp1/M9RXt9XKRJXd0Zd
NMQbbF23FvCnhYRDywaCag800zlvAwZ59GT0SCMbe3ZP/ly/jdH8JTY1WndEiTSZtyHg0F9LSeaL
FTr5Yp7Fa+qJhxzkU2UmK72JkPxm+LlrWdNQK+TaaOZdQNm55Wx0n1geu5GaGNjkZSx5nP+HtPNo
rhsJtvQvQgS82V4POlGkSJkNQlKr4b3Hr58Pem9auCAGGEm96EWzA3mrKiurKvPkOdDWpieJi/yu
qQCQSWbzLVET+QxjBP+5ghtFiNgx/X2iWK9uRkVY7Jz3sRLScm54t7B80blBChxcX/eZ7zwmrv+P
G0VHsQEJZ6WuC92b94ULM5zpcHblAuV12mgQ6G5NpI7p3SEPyhsqF8FzGyM8tJSPg648dmYOPZUB
g1V+KLjuG67LPdP44aQXJFNuaLp9bQwPfVjIpBythPildoHIBuFJ7LJbQa9wA7+21eYr2oM0wnsq
j57c2NMZcDcgFAQXGNLgr3mNlq+a/shU4X1hIEGc1cp7rQkePKVAY+hzkH3Rk+Qu8G6QMQD+cZ97
9UPjOQ90ZSRNDK+E6UOZp51NQbnPZSjfzey9hHiJaqdyAeoOkqpB+Q5k/f1Y1BaDDxmaSogipN8S
Ehb7ApCznwy8hgVPva9wh4onfNKA9INlpn2RuKZ3Sfei1tUnP3Y+dgYYTEW0K55XfeAd4r7/VJr1
Kx3GuwEFOXjpjS4m3Rl+bNT8KLbwOQjqQ4hEFw9ET3ntTR/Kxwet+qGkyj2Xsk/gOveK9E+K0gSI
iCOhDGp0xEBIQub0JugSOBOOg0NS8LgxvNc0LiE2oehc1kDdAaNBjaW9tIrpHD0JgfnWfOjll0aE
E8NV84NrwXLvB/Uz4O4bgd5+2Wu/Z6GLHKP/Rb2LVOs+Tx2itAKwO1IfTDe9S33vIvUpRWHuZOBF
HHpcEG8vK9uKzUe5DqApsxof6C63nbqxPqME8pKTFz2I9EvtZK/7ALj729CxbQdJf/HE5Nkl3Quf
fXYH6VquOwcy5c6FtgH2HKwXOynjXfBelYSvSdE+VQiYgw6Izgm1r9YwTpmZnZWSVw/PNygT0rsW
xsImgZUvoYGndZA16LkY9ETH8SraSO4xd2mNck6m31NyaNxTQG8Fd95LFeknc0To9LnxPgw4oDT2
rq+/VNI713sqYMbapYH8T9o0j0Vg3FlIM7uu907UpEMiW3bn05+RMH9uZpzheFT3gVg/16hzZtWF
i+PnJk0+e2kUHymxfEwcC65nwXoOGqIgz/j62aju9CYFml41jxaltl3gyPea9RHlQhpJXArzvfSt
H4bHUD40qIAnCPrBtBEGzftSaC8u6jGykp7S0gXKWwZn3dQ/C23eHqRGeHIjk8qFjHT2gL5bENhd
F967avQ5DygxhirE0Zx9WS2+D4f0U1C4B3SagadS+Sk4NGjueO1041GFwj+xdiUSqAGzo0cDFNx7
nRKiADY0USDKLP8dodIeNxbwtBBVhHaH5kQXPLjQXgrm1yhCyZsVa1tOczMAS40TO4HR7tM6phTn
fWn6LDq70ldC+QW0f00Wx/g4iP8qwHMT8VtBdbbP2u9hav6jt86lr8AzxKgGt5n5KQmqBz2Q+S3k
PbldSO89mDh1CHD68p1ZyMXe1xDUHQAV+BD17GgQ/DC42mtS8r84ZEId6zOgQf04pPKHCFx6KmSP
ni7cZCR9KERHlFtIiFGh+yhoigcr7VDem5Dcp0H6wc1MbaRxTAGUB5RH8jAGJVXfpaCtJEGDJcTu
EsC0QvUouCFpQeld/2/XIjQDN3iqF7Ycuy+Aid53mXbnWGJyY5nxR4Cln0JZe1DihsbDittEbLUf
G1SOdp3uPgLCUPdm06tHsPxH3aeXofAhPW0LJTlj9R0VoPGxww3BpP690/L6U25Bj01+pTmMzbGE
5hTVHQdIk+fUdgTpNmAu9F3TFNpD6+x73b2mCz/ksMsOYkNnKDy4lOIE99aiZS83aThDEBEqIQtM
iFBHaHBwbAR6cJv3xSnTxXNqxqeqr374CqLEdENxSQrp3EOHBSGx/EfWF09+jkw4Ko4faQtOOO+V
e4174G9lo/8nSwxGgfQxrbQqEIfrLLGaM9VIgag21JZPVD/pRmNfsUzr+ehrKPBbM8q1mQLIPKQZ
Ad7UcymX79rgZd3ANXzyfw1o8ImAwIBYeqwdTLPduaznRVz7nGY/CkqtMD2VIqmMkxV8c57WTS0l
1q2JqfGnTGoETYjDqB6mBFo6nH8c68ZrXhBDsbSNBmRpbGGep/CnlkCdTC1BfAW+C4E4u1IuhnxR
uK4ox1a8VVqe2tJO9j+sj2x9EuHmvraX9Jpr5q2j0D/HtSuw0PIolfhZzj77uG6QmgabhYvAutVF
3xgphUaYuARxxrXVBsxNwgNJofWdd4xPm093WLewuGITC7OSi99kpdv1WIiakr4vcU9f2lkFll9k
xMV8A0I8fu3Nqk2szVyxoT6QokhOU276VNFzQQcrqP/360PaMjJzQovceuUA2Lbb98BjyYnRbOGk
G0QSyw5oWPooHgwiauS5nDqgVRYjwNtQbNrq0ge6G8r3wk1O9mzD05cX6JedWRQSvLYTYD0A+k/H
Dq/Km67Q413tuQ+ANSDwy8/rsyeNnvx2jX4ZnMUjPVE9LY+YPrLYofyhImOoHtBJUiAWMi7WuVI3
XHDZyX8ZHP8+CRqQpQsG7cfMZNi9Hzmpu0a6bAxq/NFrg5ptJBORJwolP31Cex6VjQ5H2Tw/3q6b
2RrJbDPJUdblAsUAW63yZzAsKMyFGxFhwR0IA5osA4aHTk6Z7SCe4NJgpZpiy9KNUNgll3t3L74M
3RYz3sIukshLjQA9Dfa0OeGVU0fVCLRS7CIUyabbHPiFcIREd33KFs2QTpBE2B4ACs7iOKArOsNC
T7Wj/Ah5NZRwzrFKN07AhXWRZNgjKaCjqUEXw7WH+U0MxzR4IrsnOWRZwPpF6X/QDf+fNK8/D1mJ
orKoQexhAUGchQNa5WrUBziPQE6gdQC1tRkd0J/emK6lkUzNzKKBTz2oQf+QCjlwxNBF3SoWN0ws
rIiswqXFdHFneEO0JdYBdIJQF9h9ZJ279OTKJx9cl/O/aNr/54wtDOXKzixMy13Q93DtYyc+kIeR
jY2dMm7p2Za/+v7Ms1qU3tCmERTbKIz3RWnXwM0F68O6+y4bIedLB44l4cDXnuUlqGbDMqvAtHbX
3Rr5Sf++bmB5NX4ZGGdxEhwBfFidnHE+l0DxfVrFUhB6kNZnUXj6fUsa3TXceGnugUP32lJRe9AX
0+lod3VxF2v3GQ+RKkG6EnWidUtLkza1NHNiABVVq1sE44CTLGj+jWI7pgdl3chb9wITzIYE4gEs
WIQG7Gri5AJaHfq/VLuQD2r+qJBjWjfwdhTXBmaj6JhKCCMwAGEXOpl3CItsWHh757y2MHOuVIn9
AiZ11Y5LH4EN2DhunBsdLpfoa88ldH04W/M1c7QRsu/VMsPpDslu47L09tBiIBK8iQQVg/6ucSon
TlwYEsqRBgPR6WctQ0oLwWeYmveH9SEsrsjEzLiXJmYMaqlG7BMcedZ67Wm4LbKnP7AwHrugNyWQ
5jOnCvpQCRoaw2zB+iyQAJCD4RA7WxeixXFA3PSTxE7j7n89jjSVFKTnWYrEQv0B8Z3XSKw/mOK3
9cEsrIqMMpGsipy/QJpnq6KhA4NKJ2Yk5aioTxA7h8p3s7iYzoZrvY1h4MUmhubrUgiogIxbUcvv
E1pF2mc3OknG6/pwFq1oigF5Jt1u1vytxM2oCijcq+SLL55vO/kFQbYGFuZ1M29bDUxGQ18DF1YD
vnpptiuTOHUHFO1VO1dpi7vvA9oAeczcBs5tXB18pGsT4GO1979iW//P83IhGtD8CIkt/GQaOJDZ
JcYlUxZZYarahnLMhBuqpGV3okDcnwph47q84IBXpmZHsxAZHuwr+Lffij+6GN/rEjIxwV+amfm5
DoC5LItEtYOWAjm8NoPxKDXBhvctvNRYsF8T95NzdRIWQrijvapjNLYHXoY+Qjtud+2t9FmQ94A1
EmHDQ5ZmD7ZKQ+ShOwoXzIalihTRu0TCQfJ9Rfr1OZUe131w0QJoTEmj3RcGuZkL9pYArxMQGbu7
6+Obk+hu0PotbSVwo/99f3YWFMGQBbAmj5dZ57FxtZMKQQOaNHe54WwMZSkITU3NglBPCweQQoaS
PghUoE6SDCEZYo8bTrBlZhaClBhkhQlvj10KdLUGxaWUtReJZlGUrSh5br0GxiW+vntSu1U0k840
WpMIsNcRHPEFKxu8Gs+GmiU+u8G3XHqG+qsAb5l9qcuN9Vo4u6fmfj7ppx5uWTQhRI1qm2rx2BaH
jsT/H3jc+D5TUIYAYzwLPkkjwJ4SyLw7mgPEDY6wC8CPr9tYyDwwa6rMnRaMM9iTmS+A3WozSj2q
XdPheqAFsnuv1T8o0EhZf4Cio4w3RDMW/ZwbNDVTHYC0ORuVEHAwtYnJHTE5BXJ8a4xaQ1p+ANtm
r49t0ZKuKAQEBWCANtuxuRuasVJ4GoKh5h3V+n1ZZhe/bm2j+rxuaTHcyRNTs82rUGTwrcLXbEGG
S+JWE76qN+6jF8BAUm3M3+KumpiaLVio6b1sKIJqZw18QpaADJndjIcgNvkv6wNbOv9kiH0l0eJq
DR/k9Z4Cwio4iZVodoa6JmCP5FTnT5JwUJCnML6u2xr355v9O7ElX9uypFYoUALRbKn+qFO7iqhE
FKX8XQwHKqyQBwzwD+TK8e+szpwkisSY7zJC96sW3OXC0dCO9I7k+8K7l6yNmLG4doYo0zsAOoOy
wPUQ1cTRvL4uNJuULzI4oJTgERO2aNN/3obezOQvM3PyVjreqV+bqWarN5l/kKk3WSA839f5rXjQ
jR/wCm5EkcWlmxicuYlvZgIlKgwil2c5Lz0Qu/gQRrRTbiT7tgzNfKSXZMCScq7ZgEbDE8BERTuW
+W1Q2wY8VKW/4ZLL68WbAMaQkYF+HqtEyw+HIdTsUr7psg9WdAR7pon2ugtuWZnd/CD7QqBEDTQb
cNKNFN6ZGeymtPgXG66+eGIZv0Yz876aKkqEYDqNZOdUvunzjcC0HATHwh15ftQ35poAsSWC00iJ
t4OXA3ipvQ6MQf/qZSZMDYJ3ECqYqwbwzYlA130HaYatCunGIJcn89ePmF069L63clriNdujea2L
y3NVfXTlx16qjkas/skNZzLimX8UVke/fhFr1NqOrvdDQjmprJoHscyOalZtPOgXY/HE2MxNSo00
fU8a2o7rL2EbPSjICx0FhHE6Szl35pYswniOvA0ivyZy5i0lkt5B5BIYVcuB+PTGN1uUl7fSLYs+
yetRU0eRXTLs1xExCTS9oq96RP2c1RQ030ZkWnSHyfdno/CVXo9h0eR6czw05eVbXVJNWd++i9cM
pIOpFhp06c+T9oWJSq+ROBzIDs0fWX8pywugs3Ma9Bvu9rNH6s2aTEzNwl/i9XABhJz9NHN46rHq
T714H44tDWP3ZXbUaFqR+ksLzDvY+x/Xx7noEFxDlfHxI5Pju16qlGSV27sEQ/DvUFNWt4H0ad3C
kjMoIkPQR8ohagbXFtArz71KdzW7kPaw6lm/XdWDrAlKeD4+PhHmFQlPKdHrobXJNpDDTB6dZB/d
guEqpA2HWBzGxM7Mp4Um0QKFfi97QIazAjDbZBtBbtEC9Q7UqMkcvyFnMhX0dq2xIqFWymexR2XL
M7uNnbO03Gjs/GdjFkjVuMmKpAOJ4bVAW4aUnjjvoU+2rg5Lu0dBEQrJHdKVEH5dr3kDlwJtsVQk
ZOcR4IokfVNzO4Nw+w9ca2JmnNHJa60VSxCy5lj4MEXoE9Ebg2j0T0yM5OlUs3jbzC5BZQjatGio
fXiugyyzKB3zUH7+OxuzAIBcrAsfBS48tAOdEigbJxujWFp24Dcj7QiVSLKh1xPlFaJCvx/5obyv
gYGZu681j+n1URh8Yx7GaLTFu9AtpbI6/n2yGE6Vyaav0wpqgvHxv6dhc9+TYefAOQGy/4O9MjU2
240wA/mtRGeHbYgj2Wnx6MrDxsm8OGc8MSUQe8zc/OIT0tEzdpEDWqLHU7b+demjT5vX9Ukbf+d8
0kYiuJ8FVfGNrFYemBoZwUqnkeQsFRfUJtrc9rJn44wC+rqpxZvc1NZs71N0y03TLGjzOHjfKacH
2YGEe5IeVOUpS146cSvPuhTQpgZnHuFqsPa1Dgbb9BRUO7C06yNa/P6YCdA1OrlJD117nFcbtQVt
sG47tXkIzVFS/fR3FmY7E1n0uuzVQLdhiR4holx3Uyhk1o0s+sBkGLNgGakKTJ0JRqr6JjbGLtgf
AwA2BzLtdUNLURlan/ES/7OSN4sCSP7GeiQKY+qE5i/lW1qHe7n//ldG5hm0TC6zWKdFxoboDOVm
0P6anNtV07E+7su6raUtCmAAqACkJDL/vnaATOojulzph9D6j67WvdMd4x519I1pW3Qzym2WCeaP
E2DmxnGdFBAKlpoNO+6uOv7BECYfnwWyRqzJcmeNZneVsld846AAs8qNauOkXJypiZnZ0tOuqBjB
wBhMuGptQOtcKbus2Q29ufGYX/TmX5bmNYKsqgCRoiBr+0+kzdA5/aqDDYeLJNhYlqXzhho76lUK
tJ/GPBFYiuRp+4qsAYTRRzV0T436b+DpuwruHKlpNyLBOEFvAvXE2ugkk9Otpn2NruaMZ7Z2yuNn
+h2RTQsb2hVhDd5YrEWHG9NzJAThiJjn5wyjN7ywZQqzoeLKTOeOK2+s0vJwfpmQr4cjtb4WQu3G
q14K91xHnzSlghnmZXA/6bFAI4V+csONvMuiD06GNYtzKRo0Q6OP+0hnI0n1qZI3Fmlr4maLlEWO
r4sdm6mgZVn39nWW/okFY6TtUETlrZIdypxIENeiZtcQLOYqyRDGJP3J+pPfhiL25+NzFnASI1cy
2nc1Ox8bQ/Kqe+6r8Lwed5ZvAxMjs8ATib0mFIC2KayUpyFJb/SkfW4rz784UHYd4zyABTEQ33WQ
39uBqN3mOs3E6z9icb1GxCe3K1Dh8yuWNUQNOIcOj2gT9JmVnUhS+O9MjGfiZN/2ja+EWt8SJZ6K
f6zfo0scsWqqjIbifwOYrVQQ1o3QCnzdM8f+Otpz4MDyjS2AzGJMnZiZrZXV+V4q9D2ZWDm7i2ni
KqCw9Jyzq/xTFP67qO83wsPiwpjjI1T6+eyZ3awS4jv8lmPq16woDrTnPlU+rS/MYjSYmJhFILpO
StS1yLJVxr8W1K1e/yJGycbpunhGTIzMQo5ZB63YGKS7fEvZG71KSwrsbhXp81Y9p1Jz+JMxmYYM
poCX0ByC2QkaFdiSI0l3zceh+cdpHyq5fl43srQ2Iz2kPNasRaiErj1apXhYyRJyJ1FCLz5UeRth
esnZJt9XRlTzZMdotM9LIYzOttCdYrQg6PVE/xx0DkLb+oafLTnB1NbMzwo3bHnzMpZ7lCB95I03
Iuny98kUEuhk803DRgOOuK7EVrd72X9X01nVpoNN69T6iowxZH43IFj/Z2W2PQvTqkRfg+ZLACN/
ksOzSmUSAod1K0u+bFHNFXli060wz6M1lWE4aaMzlmMq3wf+EXqW5GSgXb9uZ3H9aQgBkzPm1Oa4
6EoGFJEIrL/eHSMJXu+DS2U/pKnmYLivf2KL9zXSerzh5kijogm0oTN6Xoi+3TjvIL6u7po+OcgP
Ubv1Gl1YJW5TMghsSu/wms5itTaUlcBpwL7Rw92jBy+LeoCAdH1AC4ukAGGFPAyZcl6kcyNaSa4S
bmC7+QemK7KQtMnfFq224QsLMeDKzMzjoNxC1XjAjKYdm7HHNpae1geysHMURGMAsFro70BKex0F
MkNqu8y1dLuknVeirVdtTkKp/ZEVRUcSmGUBPnBtJW/kIESLAl8b+ktmPcAkdexP6yNZnCsggP/X
xvj3STwb2Zty4jXP68j7FkKwZZXS+78zMZsswS3qpg0c3Q69G4MG6TrxN1Aji847GcT498kghlrS
INIeJ4qGbAgahOApQv4lzQ/rI1le9l+TNfPfUFTMNvCxYwYHr/73O4W/jfCyPBIDGBlrLinzwkrd
i4Xr6rJuu61zKqEdFxTtNPQ0RmZf1seyvPC/LMnXc9bXfSS3gYouWP9YwcDwB9nnnw0EVDVGCrz5
QdxBKmlIvE3t5kN/+IPM0/Tj81PY47nZFiVee//lTwIhZLyUjHnB8HiebTpRojFNhh3Y7mRpb1l2
435qwq1TZGnyp0Zmu64zQyuAPY7c3IvZH/vCXl/bhUOKIP5rDLMd53hS3eUVn0d8OXjV8medug9t
xrmjow3wBw/yK2uz3Vc5Rl5FJdagTYggJdY2RrOE7cCABYAYZDceO7vT6Y4zKDCbsL3Tu0J8ijMk
KqodCmO6eaORq6m8H5sSvUtHFXdUKmeKRKV2nq+HuTqLLUXi7BVvMj2008LuneYQIJywvlZLT83x
Nvyfpdlp1ciNO2hdz80lqi6+MXylTfeTawqvVnJjKuprpgkPpduckiA+1+oWYGwppNFPQi0aLJcM
4vw6DBiyFnWOzB0TSdXCAHHUSR/U3P93fZBbVmb+7st1Inllp9tWFN3UVUKnj3auTff578zM/L72
HAMSCy60RbmnfXEXeSfT8I9/YIREJ63aoo5Pzm7lOlUcTyDpaYcDWIQBdpgshmcQNo2/szML0KFR
5XlfUvwQlHhk9tk30g0t+etGxq0zu5zjxCQJ6ShTqHHMTrQ+yJSscTIGk0M7cBOF7zv1i1kd6JxH
7+68bmwx6k2MzTydnEoRwfiIrxVwN/uffc/YsLC4aycWZpGiMNxMSlMihcOd+RHGd9mujS3c9eIw
TJAPKAtYMoDO6y0jJboSFSle1u32/6zP0OLvJ2siabRKiD85dqcXGU+FhrzSiQUAG3zzjha/Ur/J
L+tGlk4HSug8w3++lObNJV0VlpCZGiTVHei50lx8ltWu2Dkjc5AOHbiUtP9mKOusW12aNXVE3FL5
5vI/v/uHqZwq7qBrtlEexfgwDFt0u0sxZmpg5l3c/0ItjgfNVjzlsUgstHwRquSm/h0eWTh6KL22
nmRz5LcHLg/oz0GkBHr6ARGEAIIV8net176uj3rpPqfqXCSksb+VjrdrX4k6SYPYhKKSgJDVMUuM
d6olQeWfwjym5tZGaFpcWdqFoF6TNd7BM880GslXK8HnJDbMd2lkwYaHEONupNYpO+0VIqivsNp/
Xh/iks+qv4zOkZeo6lSeolBnhAUfOWi5v1g5r/zGhbY5GAmm0ib29+s2lwY6ck2r3CB5GM9rm1an
1W0FWYutiBW6dtVF0Nxdo3yPs5fBCuExVA7rBhfvIGAETImig07eeZyFyRPDrUMxpTgEChNuL3gu
bJOksAbzMuo9z2JLXRIaLwidL2IJFjqt90361Gf1xlwvbSIK+6j50fqrv0GuR5YTwRRHSjgWY6id
IRlsP6wPdMlhuQzQ+wOPB0W92RHaoOSgNAFw3bKBtk8udsXwCC+L4ye/X55WpobGHzKZUF3RYr1I
yAZmtXYx0QYS69P6UBZvVmi1kNcglOKis80nulDKpOKIc06Ge9Rh7Zju9VYwPsN7WrXgMTP0UfRy
OFsNws/aBqJgIR6Nti2KojxNuVvNBtgjmxGn3CDL+uDJxw5u3S2cx8LWuzIxuyJkoTc0tLvrNqJZ
4n3WPZrRu77aQ8O4PpPyglcgeaOjgERgkUh7XY+lKqj3QAXKuRQ3Tx1injZ8OfpZiiEVLPLsYvTm
vrFEb++ZJj1P0JLuy657iSHDO+OyFwRWT0HtymfRbNAGhj4O5jV4E2GU0/VRMwcFK20km/NH2jlp
6F+skYiOvXRZH8niQEbQJRlCgDjzwGG2LUItLq/S4rbKzzGy1NXGXC2EJo1S+H8WZmvSaXqXFFAM
0qug71Cz33cCvFXNJZZerL48uIihrw9pDOqzK9yVwdnaaInQRwVtdHZlIXzeH6ESU+Cf9FHh23tg
0zfcemsGxxA12bdZKYQw6455A+VrLATHok6PSetdKqjB1we2bAmVAlpTdV2ah1woyjVCHBsoE5yP
hStcetE9DEL32Wii3496zOEvU+OiTgaVl5XZWA0bqaQBLUBncUDpL0PgPEXjY31Ub8OCTheszE0I
nau3CeTc1wLdF2j5kIEz1bBINrFzaM7rRsZFuPYJjCjwwoz8CoxsFntUo3B8q6NCNbaQ3Gh/+fWZ
i+c+3BS6wtcH6WDsEVVc//Fvoxo/3lINRChGKYq5DOeQVy3C6NTzBgt5xqe82YHGNregJW+3zbWV
0fsmS84Wzso84bpo7QYHTkzrrHYf4Y6WnOd+A4S7sOSMhhZNYFgs+9yR49xJMsWhYq0Gr9mXrL0M
/6zP2AJIWlcNzdTHrcLkzzu5Zakq46pwNNhNgqOactjcC8kFasza/9K1XzT9gyvdtvk5kD+uW367
RzFMIZ7x6WSc5olw5k+skHOl4i+hSXSA/AAiPP33C67XVmZr1dZ1QtcXVuzd+7/7/aMvTrxAd5Wy
C1sT5E/kwmE3iiWY8SESrWOl/35p8noUsyDTwFuPHhWLpH3zX3xhY9dsrcTo75ORINaVlLwoeGkc
Q+NOys4INiX+6/p0LbROjmNAnY/Yxftinp8WI6M1igwrsYeGSAenL5h2/xiONL/NSOdXCVCfK2qf
XkQV7jLX0QV7/TcsxLZRVwVtQO7/EBPNlsx3em+oGh45htM/Ibn28JNxeN3G20OcgsjExmypes+k
AuZ5uu2PtMbRSHDcj1THeTmcamMoTmbbIT9WkfFcN7zQ9c/u5XbC/cE0Rwzv9TKCpqzR9xpRiCPN
cgnfcjMSLzcjBXMpRuwvDaaspOV8r+PBOpLWFfYQPt4MStpvPKmXZprMILI/EhfZN1UupNIEpxpI
FGQwQofSExH7vD7chSBMWPxlYbaxy6AWwr7GQkSpvoW2GtbsqvsSecU+VfRT3sFxa24VpBeGhe/Q
DE6RkGaCebCM0DSItX40OpJf17BgwyW/9RRfNAK7DfdMTmJrfvvvrKypKwfYqugV3GNh7Ym28lAL
TqqRWCDqklsw35yTVaT5cHbgKh7q8odG7sObIjCh9Y+8u8wfXDRtI8R7fn/7XVmdLRkPbVNLIqKY
CsdvnYUHB2Dub3sFEDIJrSkNENkb2gGXHFJgyOzwfPgg5Hj2pUz2Q3PIzc+yDwvBFoR1adPhhBBt
qDB6QKcwuy4pap7RO8piGeYuedbEHfzGKryfO0SwHRnVlo883Qp3Y68vXAt4ACMiCv+BCDfKLGLH
mht1ruJyv3V2TXEU64OgP6/P5PLIftmYF8qiSmn9zmUq07OhXBBWiV1UfG7l7hR8VB5VWKCrbmP1
NoY1iotND6K800MaY4mdCY/tujoj6oly4BYsfGl/TSZPmd1BKwS43UBk8iD0vY+tf1PeB+tzt3Cg
sjzUAbnYsIHnrVMqsqdemodYUE5yBPO+7d9k0hZnzUJiSb8yMztquAhniVeyQu96fy9Ep1q+yT54
8mc/OaW/H8+vTM0criVJpxoubm7S8l1xe/+yPmOL3oYr05wFWIHy9exoNq1YytWWVCCYZmRD5TMq
TFlworMm3CfyKRcOnnUImqd1s0uuMLU6m0HLJSVmeFhNkl38LBzWv77kBtOvzyYtKi3ftTrcIOis
D7V0DiXvq5HGT2AzX9YtLeSraDz4NX3qDFsWN1XXeiEDkYKTah1PorUXj8OAatDnYOPeuzhnpPdg
mKLqQzXrepPGqgPmSxovUWhdyHBja2KwEQfGxZ69QcdrIlwelGwl0lDXJrwmiWJvPJ4EWHei1O2O
PhIcjgoJfI4oh4WA6fr8jSsxNwihIkf62L9BdvjaIKA/NFNTDGrWoUWYOQweubCEiO/q2u9PH+iv
/0zN2ziAOAqV13MI6v29ynnhy8PGYBYOd3gqRR3kL22n0E1dD8bSs1hOY+JbgJRRh5hHMDx4DSp9
6J90sX8KNuuNC+uFRQNoG7IsInwa1xZJp2eR1TAmoupOsPagaDV0WP07pNzXF2rpFXFlavTOyVul
TJDYcAdeXYGCtOquSz43iMakF9qt2/x9qj3F1sbeWp7OX4MbD62JxSaohMj8+W45KtJTkz3Ed571
uj6srQmc3YzaUlYi18X/cvRBMsRSsu9ecSov61YWdu5ImKnR0kE+1pzfXrPQj1KUYADt5hFMNR/l
eAvFv3CATy1oszCkuGXcVeM4UukCjXshXoLuuD6IpakCGw5L6oiu0OZVhrKKYYCoGAQw+kIvd8Z9
6J7RGkDxc93Q8lh+GZqtiZhUgezEGHKhMLUO8SdT3wgFixY03qGSaBK759eETAyCwELcmYy4upfA
0DfoHYlWszFjC8cQKRbwBjxaoJad9wwbYdkgz8hAPPFBSbJLUKt3YpgcWy3ZQB0vhFE0zqh1iSrF
bSon11ulcBGh8VIijwXbfnTn4sto4SjeWT1KiI1YW8f30tac2hv/Ptmahl5EBf3FvHiH5KOOqrMR
GXtYO8jBZi8+9eLP6y6xNJNTe7NjQkCfMTPK8VwSwkNhAknO6oMpdZD+f/0bS0Ber0dW6ZnZSDqu
YRn6PlYC5FZelDg/Rvnv34AMtpEGozlpQA6ma0NJNsiab41DKjhcu3Y/BBvH0eKkTSzMrttyUkeU
2HCKmHlCwcjs0Ikr9smWmy86A14OtpZ06Rvaae7cEifD6AzqvWk9lWjUe99VhEDrnUp5aH19Fs8h
uuP+szZzvdbKXNIL45Hn7ZOPqXAp0SX7HHUf8q1a5OL8TSzNnA5pN6WsYyxFww/NiQ9i/oX4fiAz
vDGmpXA0GdL8DjmQZIxzY4wTCAcgJ9M178go/Yk3cMsHAA13N92l1/7WK37ukB8kC4jQHEDWfaea
tqSUB016Xl+ipdOO/nJuI/SxktuezRtJt07uYoNE3FC+kkY/xkZ7/gMTPPKQyEUk9w1pbJsPgpPX
1H58Ko6qflPS37VuYcmpx2fk/7UwOsckwnXQeDpGB6iX9/5OK5pjEt5GCKwVrbmx+ktuNrU0j90O
TNdJwFhiWPPUdm+pz6VxU1/Wx7NQDgatOBnQbN+oapp5I6bMpsUr3fe5jHRKNqomkg3rd46pH3CQ
u0z3bsQquyCm8mIUAerIfm17cv1OSeL4TPcRyppOIV2GsLpxpPK5yVTt5EB1eC7V8LY0vO+6X7s7
33VvE6d8QkfI3/DjpWvIdBwz7/LMosukloWRiu4TopXfNNW5UVmgcFwoTd14fy/tTdglNEAkMl2S
c2ixIfhlorc4M7pV5+yLCllOOTytr82iDTKbtFhxdr/JO/IAQtEudw1eJl2BNFGInnWLRmqMiNTf
WZKvvTqXBTUXUizJ0U4+ps1u6wG5uG0mQ5lFmdZUKl1CD9vOxS/hjdrv0Hd9Dfv+QRDKfVDEG+NZ
en7DvwMvOasDHHaOnnI99NoNJJztVu3s0AG5JPxUDm1Qv4zL4E6LJKBNw7HTQgsNAVR7q6R/WZ/U
xXj36zfMwVRW3TmuHPEbFLqx/N1GNF3098nXZ/eEdkwwQDpg2F1YfgzGEcR1/yS5/WuQoK7c4S3r
w1mMRxBemoC3Tf0Nx7/foFxY5SZNAH58gUhpX6iIUVXVKD9or5tamjkaCrgZw3NEVny2lyulc5rY
IqPhI4B81JX9H3xeURkG9J28yGeRtS7C3ABKSnKh3vUF+drT+veX9i2H3H/fn4VUx6CaI45ZU8mq
78qmP7G9TpIv/n4p2uB2T0vGiMLkGny9aYusrNHxI5ulta+Clu1E5+CLysZOWhwLgA0eqPzzhr08
N2MktFU6/lRNuBTqQ6oaKMZu7JSl6IBayH9GZuEnaOOiMmrQIR7w6ASEPkw6sH/vjDx/l1SPCezv
f7BCE4OzcCS1kkHDLIeFziHBczJsPlZ6+bRuZPFKOh3W6OaTu0Lsm7XgdAyLcu47n/HEwUk0P7a5
fqFC8SF2/b3hFLu42tipS3lo3pWA1WjQHQs8Mwe30ipFwpRFs1LnNhrkH31p/mPm4W3RWMMpD1oo
alr1XR1+QeKEpECFYoOrSjsn7JONvbAUNaY/ZbYXSgDITlB0ui33X8JI8Oiyq9DGdKIbJxQ2bC2G
jcmwZ2EDvmG/lkJsZZ+UCgzplhLVxvfnhB8N6oumq/N9r9nBMNy4G1nWjbmal67Mtu7rqGbZlKw6
SnL9oqbva0VEWDU9rLvm8q7+z0Hk2YbTxBzOwrZnpsYuwXSnnJOh3thji7PFYcGTTAeDOoeTDFZU
B05HN0pTIrL2b9ttbK/F2Zp8f/z7ZHdlQisJuc/3zeiMZm9Aj4ginaR247BYnKqJmdleGurAyF3w
9OQ3Uc19vN/uGlqcqJFM+meC+A0Ooy/axupdAJlu+V0AdtEUWzyfi/F1YmG23B3Svonv47gO+64a
N6BQ6T61CP0DNEyveVXFN1KfRH/iZROzsygbe9xKlDynG0q6EfX0qEHw4mmf/8CVJ0bG2Z26wYiX
cpKSUP5/qPu23chxZctfafS76uhCiRJw9gZGUt7stJ2+lu0XweVyiaKoK6kL9fWz5Ore21Z5nFPn
zMMcoNGAy86kSAWDjIgVa3X0phP6LlA+20Cd+tgd+dhrmg3lzUCqyTPLmTBQZ/ONLt0b5pPV53P5
qOiG5noHJGyIKH7l4kzNdlIlxZFuWdNamjJoQ2eeiSIULrpsTxqSHeDmRlBnOdkqtdLTiYuteWRr
fWDz7x5jYS8+1UblQ692V8LRpXswpVhHEOMf3F7fjbAwjaSq6jEvS7jSXf6jd59L986HTqHxmwld
agOvhrrYzM4KJ7Rsj+GZY0xdq+mu37lbc93ffv6+luu0/PrFOhlmYYF4Z0DYVG6oceGRl+wYndUv
kcxyjMVKMVe2ZudgDKPdluMaVAWuHcMkEPaEdrr5701osZmQPam5yzAY5w9deiXtW2M4csgtfdHP
+aDcAVy1iXeyOKSBqOR237d0FzRsVbcnA9WxQrVXQAV58Ld6PNruMadm39YSFyMuayCTVTZc+iWd
2Zjqkd9nEpLx53UZavCKlIV3ZQNsbdbX/5Wl/Nc83UV8JqzBM1KjQXzmGhEAB6LIoWF8xGF8bID/
HmRhgFbVK/C7YBBZ6U1jZFE/bn1yZK8uHd9y/RYWWKku7+wGb8xFM4Km3/38yC5dOoPlAAurM6eg
zadGIli3HpT51YXCl5VdIwuRtUcOiyPG587r+caHQy23rEEqQHfdpDe9AXENd5MZtypn99IO7cQ9
8n5eL1Kf2d7iktI2mg6qr+mOJWHzZNw3VwSarLcFxKXj/569Le4pqZ3izj+bgirIhRbT1yyVL02v
j8UWx3bT4kI/9YXfuhNm1Ptsp/x2NZSnXnvgWy/tTnXmbgx7fYwEZHnVWxrIwmd0lu6awsBr69WN
Q87MYt3nm4kcUTc4spm8eeZvjMMyMzm5HDNLuiT2+cGznJgdMYgje2mJuc0q5ldynonpT17ksMKM
QD8VfW4Kr4HC0upQ7kMLONpa0ai4sAUBIW+UnbGhmsLaOM0cA6anAxRSA7Dm99p96Mk3anF5MnEJ
MA90msxSAgDI4iLoFWSV7CacumHf4UnRSMmB1hNRkxZro++PVCg/WvS3j7owp4yhiVjxnu5SVmxE
BQxyeSGS/sih85EBvR1lYUAN0wLZMkV3ftZs3ZSeSNs8Advttun/C0b0ZqRljJiVTqHAMwdTvSgO
IjriKY/MYxkh2tLPXbfHtyODKk2wP+bdWrhXdNh9bkEfjzOrIAbgzvilps+MwBkDPmEWoGgHa/aF
ioh5xEo/fPPI+SClCFW0X1mUG/SPyQLHcrt7OJbh+/D533z3wqrQW0ld0yjg50WYjytbQ5565Q5H
DsZjoyysiiP7qtseM5Anqr5wTfSQxsbD65v4j3cSbvKf/4mfnyvI0GcpU4sf/3lTFfjvP+fP/Otv
/vn+R3zkr6+Mn9TTux9WpcqUvuxeWn31IiHB+zpY+lLNf/l/+8s/Xl6/5UbXL//48+l7kZVxJlWb
Pas///rV7vs//gStFRDgFE7vP94O8tdfnD8V+PApeyrZH9uZq+3nd77/4MuTVPMXBV/Qag32SceF
ZDEIGv78Y3j5+Rv/i+eh8Rztu5DSe01IllWrGD5kf/GR/cGNH42aM/0+LE5W3euvrC+IAGblM5QF
wf2PwOvvBzz8dJw/1xyr8tfPf5RdcaiyUsl//PnectE4aRG0KkAuEIJts8D64mrnD7XuytHodgQx
mG2PcTr1q8wg4Zt1+WCYRTT4cxwEgcCrIoxx3GUGxQ9AeJVkCcaZWgVN1e7K9tKdLn1kItpxY6kq
7pK7vL1p9HCqbX4Flcls/flDvLfxX59h/v2bQzFtqaqYtjowtpMzwGJUZADfEXZqujTM7vfg/H+N
NgPtXYBjZh2W96NZ3A/aBLrUO0eL64lDj7MNYEj/srYPVvX9CfzXEGC5B1oJ/Wi/6He1aUcLYfJu
Z6FfObHLS88pbj4f4iP7AM85jBgEdqhEz79/s2ZVl/ZGSVSH+oJxaaKUntnedeW28W8PgyK6hzAK
oVQAxPv7YbJ2VFJPfberqN6YVr9ue2uT5daRYX5dMHBUQboUJR90vGEHvR9GcqbHwcBshA0G+pLa
p6mgz787FYwBqCJuJRDQwHnwfgyR0KBJzLqbs8TSFrHpxG7tHZnIr6b8fpB5om9eiwZDYkcCNFFQ
91ZzvQbaKrOHbTMcq8vM+//f16/ZxOaBfEB4QGeAZvGFf7BLgYJJN3SAougrtHXvs9G1o6oy6fnY
JFvbql+KgXmxbKgDrgFTr/ppnEJZB4eiRLtCz4NHn9Q/HFnxM97W39HUk0RK9N9Moc+LxLiWg/ej
nIxbYE7QHEiyPencO7dlfJ3Y3hhboFOOK4D1o6CfGZzVwZJdEKLWn8UWJIjDGr1+kZNat6pOHvOk
2lWspKFHxitpkn1VlSeoIRZh5+dz0BrksVsEG517h8JXe5e0pzxLjuUePrSzGYmLTlrf+kUCM+jS
oLIU63eJFGEpLqhfRJ9b2YcGAG4kbBa8FLyn9wbgmAjHWr/rdoVOd9AEDi0nBzibh65z/flIv3oA
8HTPd2/00sMYgsX9YwIbS61Eona0vNHqOYHqauI8fj7G/B1LK0M3COqxc/HP8xazAY9Wre2KKKhQ
MAOXd01XXBZ3vAASwayzvcSejVgwrj8f9oNTyUMDGVzODEwAcffCH3gerLYYDbXTWV2HfjGtJ3Pc
pml+sBt2lmh+nzTjRebYq6zyH11mXRWl+Pb5Q3xgK+juIeDvwE1gpjx9/yaZy+nAHUBQgDqD0lgQ
p2nzWxf51038dohl1qj3vcQyeyzvWAfxRO6cQO4LUx3xSfNLWrxEzIEEIHeHzaND6v1EKlLkxtga
cudiLcv6dlRTPNIbR7ZRndMj9v/RYGACQUkGPYnQSl+8uSAbPMscmdq1PVtXjr1vumAtRXewXqxj
1Hsf7ADAgYF29yGmDgD/wqO7oIlFE1umAMcpo0SAL9pTV+5Ij2y0+UUv1w++AglzBwxeQOO8X78G
/aJJz7F+ffI0FUHcsHRnJj8saoVom4vLsgDT9rGS0Ad+xIEGInAJ2AmgrVlYnxadRscM7mVu70dm
i+4ESALL8rJ1vn5u5h/NDvww0LDwAOB1zcUWd8jYm0zghRVDfttDHrAoGj9E4T+IylKcI5W1q32W
oteMy93nQ3/0/mZF0Nk4Z5LXxRyrQCVMZVSiITF7sllyXov8zuLVMYzjRzaJRXQJZPcACrQWNilq
0Ziu0AqIPbHVec+2XZvdGpau0aWbbxrTOTbiRzObgwCAgmbs9fLtuWNg6g4h+i5omzWndNsV1Uld
5/8VPzkzk7yqZaKms3h5jFGe9Wmhdn2QhGisRMm9CnPnxqvsSLlZlLnPtWmGYHcMMw/dQeax0vsC
f/DThb19goVzMUYnpZJxtSuzOjIbc29ScJ1OBEg1tWKus+uyKcQt4AI9Akf82keL7MHxAgUDv4bL
/Pt9iQOrHnSu5K7onbB2sqisNhY/Rh310UYECA/ZAxv1sl86n3RjCDR141Vqm4TcXLe5t2rVN50e
axxbICp+LuXM0oRa0uxllijZQWu7buddVkp6GsjCWrl1vjGAMgPXWrb1uXdjV+XOqJ11WXkvk5du
U22zEKLeR+zK++DcBy2E7c94XXBWL+0XlNVWRyGCvmszHhspiAQNa50BlBp6dvc9yOUYOqopVo0n
ixDdDBFztqXZ87Bh7VWXgSrJn6yXwazHdeqQDdS4dKSlt7JRiQk9o4IwI5Sg6qZZBWYHAiB3uKqs
4n4YqkPrptfgm0ojs253dR1cYv0P00wTBM2a9ZgMxWpAdjP0QF0DrESJhlTn3BhGHntq8FfFaBYR
R0VpbPIHOJ4LO+nNuHN85OGT8tlMxX3nktNMWV99GewnO0/n7bEzpPdEWnLWoYkqIlTKCD2oZii7
HG89y14cA5xMkGL0Y+mUWQjSg1soW6pwKJSMNOXPn7vGj18AWujRJgLJkmV2lRNds6ojwL+2tgrR
8fktrVS9agOUZVucVbFImiIsCDnikj8al8zqfzO9JzIciz3lpkRUnazljnqo2YviwrHaTeNNkW1M
l2nF0OcsxyOxzAc7DAlk4IhmEkO0by+cWKEaYvi9kDtDIDGMmLYMXTFY4aAm3G2L8shwH03x7XDz
79+EaLmhRjCJwW2UXnpRdsTbqnYUYZGMZ2XXgdayVbBpAcTW56/0w2lCzw1tFwCp/nLQgumqZrZs
210ARsiYFcV9jsguMkmz8urhSMr7w8HAH4OQHS8RfZvvJ+mWSOOOKKjt0nybjuNFyS8JoxfjuP18
Uh9ckpEeQDOJDYJIZFQW765XJreaHuMMFgCogfPdEMbt50N84ObBLEcAdQThEu5EC5ME6wYo4FMM
wWp7RXGWh34q4noC/8rnA81rsrjnza31uAjhf2AkWqzZIMeB13nQ7tzSPKsqC76JCSCX2u9WkkI7
1KKR1ANYhMWxLpaPTtG3Q9NFWUiloAnPc4JlpNfSOqkrvjKyOpSCgj7kq+uM0cj3Iz2Wwv7g7bng
g8BNFcLNuIYt3l5QsCFjHaiKk6lYieJFDcfW9IMRZtwMTk5wwoM4djGCqBDGOczsdr3V0JhZE185
w7Go/gNjh5nPTM/IiVCwPr839iEw+9ogRQsU2G5Kx/VUv5CORVZ1xBI/HgcagrM2xa938qHwkGMB
Qnk3TmLVVVdeWYc5vfKMY0HUByaPxtoZkY/E7xxNvZ+QngCNGequgZrQXVqedMEY+tYxLZ/X1O7C
3nHnttB8D4ae2VcsRimqfDDF1OwAn0KLa3JQeb2tLNZFKFA+u6o448zIQrPlYDrNQAjhVy/VfJAK
l7+43cBjbedbUbaR0w1PmozfMlU8Tbw6Lfr0bBTmfZFPkZHY5yD/O6YVBGKFd9sVLZomkhJQn0Di
GtC5X6DJQ0eTnE9pg/btFuquvdnq/eQZQdhx53miBgtbZt8zR+g4Y8Em0eAAt5OpjwRz84ipZi2D
ICKKXDaOTK+cNqlDbct1W6dtNNkCJJODjCpFr62UbOwaKCJRkLCyyaYr0fpF0OWYUeeqN5shHr0h
rsuGbLSqQQgSrFK7RUOVn+ut7/Gvta3XlQCVHyuGW9k2eYyLyFOd4O6TTHa6lsycolZ4D7Z2vo0p
bbZwhz3OdwjT59pHR3pi4a5h4h6PfXCJwgSN+4BveZKkYV4zoF1pjvZLEsRdlnybhoKGuIZdd9CZ
YCo/hSrmfVdZ62BIHnw97cF2A/wDbWlUZ+0N6ZlYjbI5yQ2xga7pg2MMW6a0wOrIM6nq/TAZG99w
Y5lAhoM1/YUKFIZysxiC27fTZNdRPjC94lAtjzQSRiG6gW5rs/02gIzIaDsaNmnmhg6uNesmd2lc
GJYZgdiOhRxtGlvLkkls5/2Tkw6nhS/Ofc53rulDv96PPHc641W6TYRYA8ax8Qn4UhvIpW+DKWX7
qjC+WqZYNZ21LYJOr2tvuPG0XDEPCF2vKe99kK2uCQoxoS0Ktep9E/KgwYiZqLue1tZKu161JS7V
l0mefEvHflfaZFjRcfxuGPZ07ZaTtfEcXDK1LC/GxK/CtMl3loHzW0K+WJneYyvVWrEqiY2MX9it
10LTzj/z0qzbFk1T4s7e6hDlJh2PBr9A0vQFRWkZNX7ihKkTnBBzLCJpWcBm+qHP1WNqGlHW5TGt
s22ejlasC+OMjyOJM1E+uoG4ACTtHrfYKkRwawNjLe7lUD46wj4tSHpizcBrCecIWT3vljrJw5T3
dwZFJxlJxjt7yuvQrrqvuTOcJKOzr/1pOncNcajbfo1Q7sHS6ASqeuvcnihK+KD8tgbjgghwEFLo
nFplFbq+Ic8b9DRHJUv9sLDtLoSQQxaTYbge2x4hKG7uTWWvp4AcPCo6xDL6OySNN/mAbBRTCbIb
FeKMZkPc5mCUHcJIV1egOpTffcGcB1qakCOsoZ11yxB0nDuGzaIx89wQSJAy8krpr2RPnoPE+OYZ
kC0mGtjpsdLeqesa33xixJmRfyWlcxUYylkH0FIIfZKobeqCKxDCXGFWNzdZi0/x0ZjbbUu2SrnB
9pNbu1HVQEPS98DzA4kNLNr5hOo7VhDOgxVVubZoEUS1SL9b7ZCsShttrl2TuCdmapykYhKR2WmJ
ilZbRQ3eUJPJnaUsM7R72wutXP7oLMDi/SYYYw8SPmtwIJuh0tkJktN5iDaSaBw1jbSwvupiAPWP
PX1z68oOJ8W9iDO/DzuTwTHAgCLsqgdQZmQ3jhi3yLDyjZEZq6qjZdRoG8xSYzncstE4NZJ8iOp6
3PgaZQGSkHXNyNVgm8/aLs47OU4/zF5eQO5lBZsMQncYzXUHrmTSsq+tItixDh7K4UlopOBDbEc2
QF2xNDfSBX+H6dDzoprdFerVXVIfUgtAOJG7ABS2ng4btDpHdj05IS/yq8IYM8xU0VBK6cU8k2jj
6wcWNQXrQSzRQwZuyKAQ6bQiqssJ0nP597E2s9OKy/mT1v3QqosUidyVo6trpmgPlcxqq3t1kNLe
ByaKllWe35AJ2TpR+jB9aggZuugxSibjwXPSNh4ryaIU9NQrT9rDoRIcQKohKMMuIReWke8DTqqQ
VhLd2RU5cPCxr52Ut+hxr86YnSEFo10rtse+hR4oCBWZTcM8qC6NgJ/nrD+hsr3sJ7ZmCaowshfr
ieRZ5Drk0GaIM3tH3osG0vWgQSHgySxO8rTl4dTwG6n5s87kyaidLhSB99VKoKQKq8nFrjC0HwvH
hkAsofdNV5+MXoHySd1tbLNrIkbpaTsl9tbsM9yKpqaIRI15u8F4zr1+LfIkjZzEb6IWZOCRFP2W
STsJh9ov0B7jQ02uI3iMpK+jIMOppwcTKKzCB89m11yQLHfiOmhIzCsOfobUFTGkG75baYOGF29Y
+S3Oi3HsQ1BU9GGVplfo5SxCg6rvZuKxbT9Yp7IuZYwkTxOhfAd/OhirKUMCqxskehEJknVNHlqs
HtYDTX9YyjzYTgJTm4VK0uYKgTAe1Sv6+W/sMEB4H9pDfYrWuzGye/fJytI2LCvCoqR1k9D0Bvj0
4coSUBzt4OHDlE9tyHN+JyhwL1nqHoiw5GYs03qldH3VF+lVAEXMsKVOE6q8OK1QUyPS1TGSq23M
ZI/opGsAGevvHDpkeK7hrmHjPXcFheibuDdqLcK6M2KVOdjwuj6baL5BHaSbF2VfouC2sY2exkhC
kwgEk0ZoVsXjpJKtsCsZJrBAOCigTfrqHB9vQujxwT0FG5m7a1OJy1w4+6xyQfqnu+8lwSbl5Qjg
VY47qk4gGqvg+vP6uXDbtW4S5Jb5o2kE11Ulzgd7WtFp2go17hsizqVUBy5VCFyrETXcOgWloB9R
kj803DsrFcDiFeBB6Boe9fc24FctTsfcGdvIKo12VZIEobQC/iZMB8eAuBo+cjdpDygfZldhk2Rb
LUkEngwZJTSx1qwRIzJB5rltQug8KCGpnpp+cxEgOj9RTgdc/6x8XmTusBmLbu8jtVrI+j5xRYBk
jXsPXYqrJNAvfOovGG8SPJp5gyTOpdt0NkiiG70qOtySapu7EQGb4qpySyecauN0rPoU3SP+WVqi
IjKazF7zchKh1+MP6Fhc2W5PNjKr92Xnnkq/8sO6Ic9NrvO46Np97zVBNOghfZzvVElRVhcQFswj
mZhA1xvBmXQQMgxVkyJIbl/c3l2LEbftTllVxHrlR7oH+2WDmwF2gcWjgroIcVsjRkoQ0Dg7SPFP
/FKYzn5Eu0io83yWESTwtC7TWxDTJpHsrGcq+l3GrVuvgMFIm3XQ6TIeVe6kMJ/0R6f1vs7zOymq
Phqk5eG8Sq6MlhQ7lYg6cuBT92PWXORV00QIu/UWhc5b20/4fsC5kAhoDxtJBX9R8gdZTd0ZUFeI
CKYaj9MYt8wMmlPWG+2aFKjkm8JI9iUd87XTeNeiGw92kZ423BzBFVRcF4V5ag1pviorbA1Mvo5b
Xgxng2ZJzKk60Ar53FTMe3fwy3UiOLv1JSR1aVfjomRayOB3zhVNsodmKoMN9A8FdoV+bgEngGP3
Yr+c7LDMrPO8KL9NpnlaT5JsBtPOZ69+Y5UyjXhZfMcLfDKV5mfG6HsRPlVETc4bpGecC0JRO2BB
cZ0m4EdmtSVvuPKSPUmLPs6rTJ9KSDrEmSXUxq0osqHCcGKwOZ5yeIOQGG6PbapOBYVxscngoeV2
dThqccUrnNxZqh/HkolYGHJrJE6zQSXvth5sgYMIF0LwAaA/sWFRa5irJDPOaRacDaXsQ6adR7ur
NxoAA814B54Nt4gQ/Nw4jtxzU9ykyjMhBaTNcKrax2nss5Vfgm0mndQUKVs5B5MY6GrCwSYccdWY
3aHDnSK2cFkVpZ3GorX3hiqneCq7K4+7wd73pzQa3MQ9JQwVRXD3+VGWQKrVhfuYmEVCq2g26Cwv
IvBl3CMLDPEMy6qyjcODs7rry4iM3kXp1Ic6MA+ZaTwXZXLJR8+PTSv7oXuEa1kuX+RUndAGD4xc
eFjmdRqOhbkbGzdboZMSxxLShqd5UI+npmtc6KQ+VQFACY0QCIeK+0565n4wxFOrcdOCKT5T7eSb
IChx1IIlAJHVZKJfkkGK06meaN1cQ9qjXvlDAlZ8HJxWBkiUT9jXtCycEB2yWyjsFmE5NedWwE4b
oUCg7lfZyhPec+0rOOS0TdaDPT6YlYIIJyKExLl0EjMLBU2AWbbH+iK1wRWeNZSctsCGQcWJmRel
THQeqi6zT2rGnKifmmmnlTqT6XRiO52/+zzV9VHsPLMUOmA1harJEm/TFCUK7wywHtjLykCXPNm7
Uu8Cm/1WfvBnkA6HRWxQHQEOueRYQ0Ts4AKV9rs8sy9kV8Vs1L+Ju53zAAQKug5FcQb5zkUao3ea
FJFDNQ8RbAoizpw83w1lF4Nc8O7zZXufzfo5G+itoDiDjKSDFND7jEnboVwpOg9gOcDHBnhnh1WX
r0P8FhbzLHtuK1n9UO/xl+8BnP9zEJsGRfoWDf14OW+We0aGvgNtbp+6PzbZU5m+BW2+++zfuE33
y1xWBXswlDLQcoUE/t+4TfcLuBhAbI6E1k/+4b9gm8EXAGXmfBHALDM95yyN+hdsM/jyyv0HLVj0
w82ooN+CbQLm8C4tBYY1G0VfG31gKJwBlrNs/Ec6YK790gFUaChLDsI/rS0bIErfPTdqkkU5Bx/z
hLM8cHNIfeSXKbgV1zK3X2xVVTGd+BZ4Ax32CX00Qa0Vpe14WVYOlOtw5CM32YTOUPMYsI57XiQ4
Z+x8VVOcqClJkWnw1gC53VLuuSfEGQ/SxdFvsPGC4fBFbk+GterHiPB2W1DQJWUdKi0mRL0jKk0a
0c688kakng1asWgKmtGGZLrTqtOJAqIiinKIXJ3qbyo1rRVSvmSF99ReIRb6XqcWiEMSwtDr2+k2
ntpmkxge3euK77PcuO1bsUpL/b1R0EC2g2oP7Z1q5RntSUaDb0093g0+IkL44DkThyOkHh4zUu1K
JFywZC5HiseUL07HyF2vp/IMNycR+aTg0ejqZourToVTq7AO2jPcbeYE/b32uw0k6x5rq0PmT9Rn
Y508NQR6WTkvz802wdGUg3Kgr+aVZjF0EJwtHM6JlAMgEf1matr564Hll2lOD1qAc87mBg2dxjjQ
1GvWzmSJeJJZHrN8fGSNfsgQu4XgPe5iU2RlFSvEKCFjolwXk4EqntJW6KWefkJU/awTqJ2TBHI2
oqRnXj3x66LPLGTXRC5iJ8vaMIVCxA8+jdmVHpIsQujd7iSqj7cWQdur65RszqqssFf2nsvWtjRW
g1FsZUJuka05JGa5w435AGkpaJ2OughdY1gR1XzLzO5H1bcN8kD2qqgypFF9VHE7xq4AogsVWr9C
zyrqiOfkh+b2C6l75ExtrBoK7sPGkZkVeQDCb93cpo81AuQ9oLzpqrAYTjt/OjHd2kTFhN1WcrIi
bSBU4q1PthngzAXHLZTL5hFBNKL4YVSrRoNFbrImdcomB7d03l6DLY+ekALNI0zQOuaCfE0UekZA
KHOpOhJ1JAG6LrdVNA7iQPKiCGvt3Zat3EIOhMQD6ZBGccw8asbp3NSJGbNKPhm5sbEohxIfMVYF
4S/SR+A0VMPerZp1adFxxYh4aNoBJpaA2TCfkIUvmylsXDAUU/OaclzieWxmA3AWyo6ZB0Yjg9Y0
7En34/ePhf9ZEH13LsP8CzT9i7f/X+Wvzv4V2v/6uX97evBWAuUIjtG5ionz+G9PT768HvkID1Gp
htrxn3/8jdA3vwSoXwOZj8oJ5L7mToG/EfrmF5CEo3CAYjNA/2gk+B2EPo79pavHiYYUK4R3fR9f
bM63rDeVZKJdbcmi0FsEcGxn1S254sV8se8bwByQZ+1WeT/WsU9b1FFkEWxZYhsHgVxEXOXImcKq
LRW5Q6ZIbIyMlLjhDxY0tCjvt5OX3Bkpe0AmfT2iFH8i25+t2jIeTA/RrYtuAPSPdeAjUPc4KXPk
anOkELrWifjkliDWQkegldOnwGrRyB0Y06Fzx4dk4gE6rgzELrL56ni1QlpHJqEGvs33+W3TjHPp
E/FjW3obTttng4s09tBsGiqQLa4bOx02+WtGb2yJeY6GDX0mWJIdWlFGBdk73FpPlXtdcdSw3ETm
0MWx25PSbacNMkVAkfuFuskcJ4vVaJn7qcjT1Wi1ZpzWdh/65qSu28mg52bjosMJTWM7yq3sNCkE
eFu6KbscAvcs8FsjHB1o3ecDeJ9wyuWzXjyBllomCcI7uBIRBNkPziDunlcTJPwyV5wDKZufoqoS
zMF1FxPHf5a+kyPP5l4T2bEd1GTEfujnfH3fFcNK69G9nXSHtuiRJrFpiAl5JkruiPCQog1qHKF+
z/CiudG8lLy7lmaiYs8tz/Ed+YlfuPYKWT6kslK32nAH3bpZW9jnvTvyVSK8dFMTXsWDw/a+me+m
ElTyrap1XHOEnwGRToXCQ1PhRCyeHOO7dIZrUMe226CTxSrp4cm9tG5f8klR60ftEf2iqace4SIT
P8rbiU1hlSBkXwPpm4FQiVNol6hsB4FF+lKOvr9vmQb5BJVqj7wZjAHxtXlhGwNQqSm6fZGss72L
sS6SVe/kwUVp6RfcGiJEy6Ci9wvQL/6/cnjvOpQ2L9Xc8iOXN+V3fUz/XzUuwYn8n73i9in748Ag
zvpHhH6qtxfhV98IVBH+7a/uJfoF7R8AR8+UAwTl+3/7Ru8LMc0ZzQnn9PN+/JdvtK0vc4gEjniA
NYBtnluJ//KNNnwjILu+Ca9JCUr25Hd84/tAiYIuCvdwhJVQrUIRG+197z3jOEnFuZXXJ9Ba/D62
9DydkKB9szJIruu0Kt92SL2PYV/HAOcC4B/wvzgF3EUw1gVuk9VdUZ+IzvpqKb0Dx+AFm7obS5Gf
QRks6eNmrF+mgxABAwFrCAJlHByL6SQjgQIqHesTihusNPqDToP157M5NsT8+zdnSWDUAYrxQ33S
2cYmN9WLMujXz4dYogoAKrQdgPhBy4oOG0IXC9YrlSgdYBa4XkWyzCLH5JAy3H4+irU8FV+HmUN9
cE6bjm8t4vGUsWAYGAHeFbXgAVf/pOqvhZU8FLXzNRnrr4NTfuOlEY298TyAtTyySPciWxZxArXs
vi2iNit2ucWdQ6KPsXe+Iufeoh5eHw+iHTB/oF7MJWLJEY3XUqusT6ADICL0iZ3LLpXR8L/ZO68l
x5Eki/7K/ADaoMUrBMkkk6n1CyyzBAIqAAQ0vn4Pe6dnuttGWD+u2b72VE0lmUCE+/VzrwdETDrl
Rxbo8TTJnVaNyI3mfeXq0WoyR7am4GYx7FPGclSAbVYobv9tkdm//AVRzf66zJcX9E/PQG11LCrK
uvbYdMi8bR0xqH6UWvVfYiXRKv5UuFy+g8sKGLamQIfhJfrjwybpCQuZB81R99yHRbdv+0o79nZ7
Wm37OHnbfVlnPwvTPFlmO4S1Ch4He6GeaCqKc6ht5gHpfjDEgQIoEfqSdDl0YO7v5ryPN9+8Z8EQ
mp6XBNt44wUl89Ycw9VEJe1q9IiOQifcVKTJbJca3V6Usgp7xwatt7WQkjCC7mqiehjb3YYKjVS6
vliCK9JFbg5lgTtwK/SoqySzGoVdSHjX29y8btZ2lQf+y+qvYG/rk7cwXva00+ZupwLB0k3FvaWv
e63bHkx/ogcPvjWZ/wicd2X0/hWbSJ7dvE/ycTuyszsLPbF8DijIbm4kfWY9tzK7ypX3smrDYZbz
t2LpD/mSXhe+2K1jgHdtHl+YYZ7pt67Ktr9DIbhtCp7x1HufB7W3pulxWKq7xZsTZ2XaazZZ6Lfl
VVtpRVTp6bFKe6Cz4HrKIZlWZHp8hJ6R1ZE10MozTr93zfTZz9qTk+ZY2BhLXA+a1Ya2VUVOkd4t
+hoXKSFPUvkHsMYhZGv3/bSY14M/xyUfvTKWyGKnAn19gui411rjlC4mvzqazUVaX6tT7ZYlexBG
4eyVHE8tdZPvbk95pe+CLP0RVN13oMCbtlvv7YzVVp0VXxCF2nXOxqZpoXCaW7ktd3bQHAp7fKwK
n70e7tOIUs0ni9yFC4F51Ll25aE1nAdqrkR489kfFZBNTU6PlNdYL1gYWspzmS6vUjr7ubb2frDu
ZlclgSX0eJF2JNdlP63mrVbWO0ZEL5yAgMLmNUbA53TQ46D196vhvM19ffby/pQLZFchw2Y9ugGh
eX6cbxrOGDta84ovIPCODO12o5QHe2n2TlrdKjM4+mqIy7zYuVI8rtkQZZ53VqKPPGnerH6/n9di
Xxv8wPS1Rlj3jP/UnASznWTDnEwU5Hk2ntnZjTYA87OmJnmaqb0v5barup6tUtoaNSNlZD++GQQK
dcF2CISAV7H2m1c/i1rdTm6fSNdmKN/HqlG7UZiPRBrEcs0Zmk39tZ7NSe4K6JNLwG7ur5fn92SI
Yb+VXVTZ9m3gmO+yTu+sQr3I1n9tpHlbZ+1V1w4/MtFdq3HgwUtP22YfBBuwZ9EkWd3tOsfpiASC
+K4tII1e7ayLgmQwVQ41A0nA7rPXdKoe2xRyumIAHq1yexscRBfPfrBaYlh7347LceLLq9rTbDKP
tLz1qDniOK3B1Rr4X0xXbhT6DGAGMeulf7dVHr4U8ao3VcKKkNfGd6j10/aFAd3R71gTI7RTp9us
h/fvJ2c7uVJ9aRlP+JAR5tFeB7O6kUWZpGO1XzLnnn2k10rWIyy7eRh6/aNgV5m+jB8E/687e5Wf
qVl9w+V+39uQBxCn94E7JpvPgW/r2vli9tkKj6CfDjiJFjDUNTsxjfTkmvN50NeTsNakLyyd5J/R
4kWy3hsUpapp7+esjTVSlqsW2GezwZ82VlTNjrhd9enLTo0vIIQRNAsPueA2ZDXszhLbHS6dOtLn
Cg9S/sCZwfkyTxyZFQep/zzm1VWZUTcY20OzTG+GqOMxs7F3mS9Ss2go5y7RXe22zZykbcR7a9aP
sqbgNzlknHbaGH3XaDVuQqEJE9ae8i14rTzjmooxUdV4Rng6QII9SghMUmDtnb7aN72NYLmkybZ6
r7Unkt5HHhFe+QULtrLLb4i2tD2QfPPs89sLt6V4LLviDnf321KIoz+o27yozKuOXR7Cl2Vi+4hT
ZWqeha4f2j67n4vt0Mj0hSfq2+z5CpgmPyjPjEvmx9naPBVjcMLSc7164huBydeEjDSRB2Xmm/Wh
CJoaTGaKVjGfMqM71qI5klWZkf0z3UvLOA6shWIJ7nQol/G9DNyboeJuMo2bfPEZRNu7pnamvTfL
z0VbZQTwcFeZZRy4BbNqsElz6d4k8/Agt9/G1qG3t3fmOv1Uix6JvIlLZni24pXplXMwrAlZy3nO
DT9eM5GMsHGVhjQ4m+I1qCyf5CP3zfS793kzXy3TunaMxiOUO915mv2D5PkhSlN5PQ/+WWktKX5e
23JncKDkCzoDc+frrPCNyM+ymzX3T17Q/9CEtbNawnM0Ow0bFvyWmFOd2Yg1f3tqxvxsDB2LZd38
zhfBTZsFV+3qP246g/L/XBj+q+rm90UHvcfvK9wlWCuY9E0e077YSwRU1XEwyOXqP/8z/6KQht2+
2MocBkL2nw24UkoetaZvj6IrIpZ2wzM51X/5KH/itRkEkSgS6KQz2BgqLyzwHz+L2dWmseaqPdKA
rZFjwCySeJpQVj1ky5B/NtLvQ7PP0QPL5dPp2/+VA/9tQ2L+WqL9s4zlJyAVgjaOPoslsT493R9/
gnV1chAHszpKVQdhNg35bRe4PYcFx25npjKeNe1IvkrIcThfBbIuk2kyZYxgVkTAq9uuTev01Esv
2DvaWCAZyTke3cHnpFgL9gi1xC83pXYOiDKwGHsr80p2A/gjNOXJXis3ZHkSz07na91brXs/Wt8h
5mo4NgxQfbO9zsaBRQzKeMo6HXdW6f/0FT8QQnYZdv1yMw7dlfLGn+2WvptGVSRbJhHsvaO1WJiC
7PJB+DUWeh+Nfi3UvS2DS1D9WzFVEyPkIT3VwIHxlHv6adK0dudn2g697io1MhmxNGbYESycBHnB
DFk4R29lXFIEQDVRvtZ62Bnubiv9PmnKjSLBZZWzktSfa7btl4oLQ3N3Q+M+C5uwpqCfzXCa3LhR
GbVulwjsg8xyjj6XvdNo14tpbbGlgDcswItQlwhRoxHEWPIvFwSlb300gylcN8CpUhLWNtVADzSe
hwmg5DBuyxpLxAFiinp5nIJZuxNon0dfy7IrQd5P0jsAApXKrF1GNneUQ9JeDfna3KXl9on/Nz2j
OXKc9IjXS9Ote5GtYk+fnD4Iu0YY7+f5fWUIFhmqUKHZtlPE+HTZiWk2k6EDkF2F+LGIAhirhtjK
eutYdnoZb/ClUwMKZ7VoSYDVbjitqRHq8woJqgOlmUtgnEQzHdPKL+JpJECkpLYL17H37/Hu3qXB
zFG7pTLp0v5Z5I4Kg8W+awt4i0xjD0CTz15oV86wt9MMPsxiSalZfIHuyQSu9L3nHtAb72PL65Nn
Vc9j0z62lYp8NX+feWQpOeqfzWLvJOd/ODnrI81pbNX+YfH1mIi+LHLc6TCv3XXQtjeV7RAaOvEy
zN4Z9+nbagfRthbUhSZjN3/yiHw1AVg7vYl7wUVesTGZ/GJYWM8maLQb4MAUuQoN5A6GWR5S+zs5
8JLV9s1pUu43P/VZgDNwjwf9Bjpmy4O2Wo9umXvR3AJb6/jWdkumwCC9aUtMCrs0ADKz1348iGC6
dzvzR6ZN3VW1ujZo0Gpxl5dtzG6D0Mrb4aZchiWuO22MnAySx97uukxB3yj/h6IDi711MZNA+O89
xXrbf3QlKF9qimNbVt3eysDJgtb+ZizQuAzXrNAcnQ+pO3eM274jYxtJqovT4jkdjn+3jCZmOUmu
M4DMnekrTRuusqnbCXvad95wtseJdxs7/bkdlnsAyTyUxjaTaMvCnMqWJKLo3nWjlwbqQ1Ned1tb
hToPQ+I5OG7Yyse9MJZ+7Mo5DPgCfr0c/n+6znT9IrL9e2XxJScR6U6M334vKv5jun75u7/pis4v
l/0pF6M0tZ5hco3/NnO5TNctRioWCoWHTeofMxd0RdwqRMo6JLhcLFTc7b/pisYvF/7DClzSIy56
pPdXdEW8Sdxr/7z3Lqof1kR0SmQ44BXmLn+894Z8DjoHdeDYuKYWzbMdPK6qrh9tup3D0KwlGShN
EzbGdhS19tj1bEVwdYYyUq8O9qzeNM04DGl/Vpb1MA/VnT6W36uxzmLpae+CXQed0D9VmcMM17Rk
vNYDobEldo5IqlSjbauPaQvh29bBPbnK1Oh9dw/nkhhCQu7oXh12q303t7VLF8zQYUtLUruW87Q0
VwxIaWhTfQuXKmAKgBpgBvpNVvQNL8oUVnN3owL3we+3h9Vuv9oWA+6ou0UYOOJR+SV1vvzQjbGm
1W+vBb8N1gvYT2Ov8v0AaBS1Lrdrqtz9bFqPZuPsiKD87qbzg56bFTQ+b2RrmWKHx5f2kyTWkIE9
2wK5QkmRWT37UcEeriZAXq30N0v34mJNk3YdLjbX/dpWu1ULDtr8Bn/ce9WpwRFR5WLnLflrqjv1
wa9A1aqRSgFXQknUhN5zNI83zYb3QXkchEACDL88y4yMbNsZUryYgWZGvQVFWZF67jvNGGe9ZCgm
2Q7uEn811BVVql32u6opjCRTmpdoY4UzZpr7mJXXwwGjbx6ShLkktsYnMfXlhCzz0aTaQesKtatY
23zoDa2AZfCyPR7qbp/hbmBCv68byHK7HH+krgS4c+TnZevzLticbj9rxnMAWPpBXpdxsHMcJqpv
9Ae2zC+R5/ZHszew24vlPjfGn1lRPBHDo0fmUF2Pw/BG1fWhpgv0QfxCWJd5xgTIhe0Yb/TCfW0q
H/oYMpGHQQIIgHoyT3FGNnWbY5L5aClztnyqZnuhB9OxYBRwwdpkh3Ygsn0qM1SfdrgTRTWAoMLb
Vq7ZhYQafHTbuIbk0LThtLg2D0Xd7wIm1VE3O8VVX6cwf8pxboc6h9UNLBXPwCbcDlgVBlI2e3zZ
/Fm/vlP6oB9JD2iOCwwfcHt6rSqbaIPGrK8X2Qu2LJd9bI6pCdmwWvND4A0i9IJmC3NtvAvM9h5T
47EvIOxdd1pjq1L1Xq+7sz5OWhwIVoaHw9b61+aS3bZu4R3TweyfvAyWPRo35+8RM3/pJvi/NVAH
T/pPB/xj8+1vT+pP+NT/To0uf/G30939BWDXw9zvMAvgIP/96e4wGiez7BJ4dzn2/8lOWR5Vc0Cb
A7Jx2Zz897M9+AVPLme6QYSH43Iyu3/pbP91J+Hvz3YO9ov9FreobjHyv0ynft8hBm1V9N4GOpU2
Zfemi0FykglnAuggH5ig1MY++qthJabH7NObls/Uwc0T2qpOfw5abZ02a6A6HWxxaCaGsuY8a32o
Cp43jKjOHho329ld9eFvAtxG76edXy2Mo/uW3VJL5dxAljUfNCgdp5JrhthwhjbstKGLMkt1d2nT
m++FO+9r18pJgxjGH5OaOZ2yotm1ozO85cqm8LIyfG2Trdqz4aXDFJbDtH1XW5e9FkbQnqYh87+2
YVii3rzI26ABVNWeWwTPSCFD3DuTOGhe4b0WjGySbs6KK6rqmnXcVapFBsFBsVboRaKYvYXMWq5S
e/hYQKZqt2rDppoJxACnWmvvywGvwgMkEwPgykWTCbV6/e51ZSJAsrpNXOPT8a7Jrdp7zaCodOlB
MCTAclmV893SBvXAzUTB6w9GYljL8qWR+jCjqwcxBiO4ZilMeqPMhxjrFNEMFimR1jZ5UbnpK2xM
z9YP1c4g30ys/Q7fndVxJQzbXZYvt6B8LM8CVZuaxUEckM8SiE0As3UXqg0DZ1JeOLdGlW9qKcl5
uDBwVQZDZmtqb/e4/y6c3AgwJ1e8RdjW3N3M+BFtseH0JG92invbaS9OiOOsakJxh2y/CbX3xrI5
8DDpbVwaQ3nQC5+f2pjaMMia+0x6pyaY2mRZ0g/cksdiaej5NN09+5rioCuxjhVuRynAXWhmxofd
Bye8U6+pNu1Nj/1gQ1+e6NABO4L5k4/j43Ay9T3R9Nremocb21meq6p51lkGqrLuTVlYFgQH5uYf
5Drt2sxE0e2enc3/8Nv2DLCUUBYjq3OX2FLbc12+M+y5n326GmCB0lN4VtO3YdUi2U48er7DAKs+
yUG7rxVXiq2RIZFnegQsb8Z+DSfv2Tu76kY2VaWvmFK70NYV7tMKdXfLpp9iYHFHUE93lcWYoQiq
r1Hpnwb/QV90M8R90kWmaH8oh1yQeRO3utzwVrTPW1qrcCvNWJrbWV+K28FuymSt8oOczKPU5Tmf
SYmRbODRmldzXT7G0nkvU3TSIX8hAfo0uQMLoMjI+m6w6gOQbuLKz/zCfhlqXhlEdlwe5n1bZ+bj
/7cKv4G4F4zg37cKh+ZvaJN/O186hj9jCP/oGP5IIujExHA/IDEAv1KS/9YxuL9YRCkQ7mQBInGt
/ONSMWgLSJV0wag9RCxuo3/cKob+C/cSxLDjc7XwR5y/cqtwb/2hXyDCxrQ9rqhfw2yCX3W0383V
L+hooxQ06CAemK2eBjro/57dg8L4h3+HdoT8MUgsflr9cnX9+r//7t/hVcQAixJ86FSeHgpV3MlV
P2xVV9ah5dryaLq5fzZzrLF01XQFmtG44erW32VVfc/ZiwiAJEgScHOEfb/WcZhvFK2LPed7p9C7
tyq4eAXxdvBKbyJJew9jiyoC9K8CjrfXEZMr/ans/PngMhPhlEWbgUyTd0s/fpbCk6FL8xQxamds
Qd4qsou87xy/pIq0gjcfbR0kTLGowMZorSsUjUmc/ZRYR2uo27gbOVQaHWtMM290OQt3YzMXzY3j
99lupKR7MBV74ed0Ua+UIUbc+ow48wFFwxW9z/67nnq8LdwcrYGleKKtVtwdPmhmO31fyIHZZ617
q0+TuBcNkVZyyQvcaMt71xTfnao7K6PNDuygf6UPdQ8b4QWjh7WFDx+qihWmYLD6jicveGWmmL2P
PomFxmal8VKraZ/j4a8LFJnpkQuzSMiMeMBKqyK71Q9jVfW7WW8eGjs3wxU7Cv/89jp4HiZo0DIY
02kORT1UJxG4B82HHe2NpYqqJf2RLf1t2VsP5jZfkSSshemyHEU6PpQkOkWb4X9UjXhecAoXlv1u
elyJoGUPYu4/K6l/qW5+2Rz32i02CDlzWiPLT4+aHRy71Pq5ehyjylFmaE/zD1XpKx6nBgHLuikr
d4nKbs3uGgxzxzlX+TPpnK/4ZtMk8Lc8cRrbiN16U4cctf+yVI+FFP2IjmQynbXBiZnbrlG5zCUi
03QP7e2EpRL3U2tL9rq36DbB3TR6h6IWIvatEf3Lbx/zHM9eamBf4r0/E8ny2E2lxI/MpbjomIsq
nfCBlT4tqjtFz7My2imm5uBiFdvkFiRbq7xrJt4mhNqQ4UjqHtNKdJE3ddN+cAqHx7W8D0pAc7Mw
jtpU89SjEF1ZQsA6KgjiIW+32C7I4RgzxUtQ+HzZ7ewQJr/dblX/hluTnKeNBkx/tzbry15wqTtB
neJS9B/9drssTNvwbkkFp2R5D1tQWOelGPZ1YT8EaX9MhfgccbOTjVyjZouRJBg6dwjtfIefi//O
WxQ2JV9WbRZ13KSi2Xlql3XcS3NL6oknOvHdlorYqIwIpRZ8cwqIVhZLEPldeoeqB3hdyglus6+k
EdGxtnhJwQTirc2zA0uh2WlUjg8bMLty02nnrc5hY3634+DwdobYHpnsoGp7uPYYMi9EOmR9nOXT
bSnKIeaQ/lh9XEeNZMK3Gjy4pvY69wCbAW+QKL5YX3KfzynPvVBntPvnTviJ0TNiypqnWjcn7GzV
9Yq/1HGKU26gFINcExjb2XXiVP29u6ZlJBdcpuihTwMZu+k2/3CUF84pFrvVr06VMh68yiKwrNn4
ngYMonZt4lnz211jrA9j13/o6RzZDd9UPWL1HIrTUoxaWKU13nerwwTvfNlmv8Swn5+6P5O8mBPb
Mc/jtzZY+foWEz3C52+MTR41fvBezMEhp5gw++FY4hwAXqcJ9/qPWSseWXxzX5kXCdQsXwa3vIdK
QD639Oesax4LU39M++C9AmKi40ZVAtE4926BD7w4Vb14s9lik1fpmzbOGc2vUpzPuAWgYJybQRr+
zgDNhPxtxbLz265h44HfYMVzU+mGNMzFdcarFPPORLVEF+HNxgDteOXB73v2iXLsu7ynxcaEhp/c
KR6m2rRfWnyXX7rMsp3oLaCR3jrpriCPoyc/S84ubv2X9l4m4qE/rMyjw79eGf3r1vn/OJpJ6tK/
r4quP+u/xZCZv9dP/w5l8vd+a6/9XzyS1CkEiBogR40q4bdSyPuFfCyykEhZt9BSqMB+A9bNX4gh
p1uCJefhMy+jvL832FRJlC9454gRp74iVPWvlEJopX8oUvAm8S/jEPo1voiR4uWH+H2DrWj7l6o3
86vO74YY8v4eofBHy5QoLJrWiRl2dQe0oTIqzDy7nRhYxEtVPAGk4MXI/HfIYmJo0rbjYsio5s0c
y23X8Ka6w5cxl31SFNsImOQauNwdeA87a57bDj9TPvXmya0qWs1aK0McgwBAbou/VyOqYtjgDnrP
wnBPXA1Orhu7UXasfMoiBkuxGs04t7Ychtzu46H0bpzWw2Pf9TeOuPALTlvlN31bBXFFk/acsvx9
dhn+tZacoo6ABgY39peY6p5P5LI7OruyZeqFTUeWS1MNz1Oh3llCik+a4orZ7ymogywGu/hwcv7P
9BlfTOWwRCrVh2/4i0RIohcDrSUzCT4AEVuNTkXLOBI3lLke3lrz2+aXOuw+iIE2A/qQFCTYBEq9
4TlZHvtd/aZPrYjGkpSHZrM/y1IKRGr3VGhGFa5EHi+l9aXPqY8vbOFnnWVY5qrnUrf86wBjDhko
5gNLPt/Spb9pDfFaDowXRY6QADf2SlcIXYaJ7kEfQLyK7klk/LKnGUNtZoyECMGchw2ZWpFjdziH
vL6K6jZlLKgIUzCL/sM2m/WwperOHqB7Kmw0Dkth3qq1fEsH7vqJ4eWuDfziajBbeVyywSZZe3R2
biW3awmx/qPRq2lXW3b36F2CSNaluzFb0kMGy54x5Kx4C5q6hnDXH7WScJeemwm78rjvDKJo7aa7
HSzWbVJJj2qzdh6W5gThQcQzJXG8rqPNnoDuaI3IsGnhPYvVbxKdRMdYqxwvWacKY1uQ/bS0MUXU
cIedJRf3PHegN3yyfSD6Cy8TaElBqFK8ZPWarKbmR6lJ7BXp2yrWreJn3+ocr0PrRYbePi5Weu+3
6tyX4ibg6Xs1jc6JOaP3jgqulwlnW75RfHpEhbnQTIauJ9kCeD9pRkcTXhy1dTZ3YHkYr6qHwEh/
ehd39dTND9mI35pm/XopvSx22CFlGrUfK8zZiyMfvK4NjYtre7z4t8XFye1L8AP94u6WzvDRXPze
4lfntyufbKzgssjJq7x4wy8u8U4fry1s4wGSBeot/QaG8loGNz2Lgw5qSb8D9sqb8pJb7rsDkU5e
arNgjNFmaZdutA1jHCjN2Aclt5bdmk/LuO7TccGQklEDWVV1pXfyIb/sZQymh0maP+TKctp8cn5q
Q33DgP+MIHdnNXwKtmjfuhfF3Eu3O60tji6lU0yGgpHMucNeer9Zolk4TLO776PW8l8ypzywFf5m
DUxwR75gxOY1Q4+wl2MOdx4q1Xxp43ADrvRz6Vc+gUmNJWrjM5CYYkpv28HAPFQjb69LtuniuQjf
k5AJUt1usvs7NXVfZmc+avgiwtlIb9M0ONmcQIOPi4zRathY7pEH5pgD0BpOejt6JrX/FPC7butk
0L2f7jAyQJkVHEX77ljBhs9uc64aTfKmMTlaZTCAmPIdZmvbMghGyWi86+4SRdS1+YseTK/sqf4+
CtS4Mc2+NYoRbLps7b7ZJN3CIGJh54exLs2dVaPMNx3s0drI/ZxvTLA4aOem+UmKSbor7UxnpGrW
ePenOSY7dYr01FNxOXvfikH70Pqx3pvLSKz1YL80ubPbuEIiX5tvV29Yo3o2D/XijrGXjqdG2j/1
fNgb7Xzjs6DbbHgVRHvKhpxYtExdWfr4rcQGEwW687WZwaFsZugQbbesRK56LqlVmzF9IzhtN6tB
XpErH9yVklixJRfWXk3qgy6WxK5F0KsoD5a3+Nw09dx5DIYEVw/SIGXonOdX/uhdbZN7ZkjFvNmz
vqBRyJ/R9q3RxsZmb+FcTFcBER6bNlQJV67cG37+Y5K2HzXKuC0q5x6b4Nlq0+um1K94EcOltY6D
NtwRh7o3tvaVfSxmvGpp5FVksSkFHrEtLaVtS6hRM62krhgBEKJNElgDj5ofNjvj0WQoWBfmWW7Y
BlZnb5Y1TOGaf2FuIDfK9R6Xlfyn3BmO3bAQLFGdYScS4NPPoNFehB7c6pbi1fGHUz5vP7ttSyZ3
YvBPiq3wvuVG+uQE2k/AtcdOmDWmXO4b35vvR596PuWYSll7VazZAyLOLRO1S1K0sx+5HvLe/V6v
bmxKK/bThQmnDlEstEcfFEgX85556r4q3CQ3e9719Yj98UmK7bbMqj3iugjFWhxlS/rGpO/tvCBZ
qOtXKtIFlHbvcbKbJK6RvUImoNaftkVn0piiH6T9lTlLXnuPp8UfE0SPLyPo2ACWpreFK4nYaViN
ljvtyRwtzj/SicZLSp1Enx2Xc1ubFVGx81UqLjyvl3Chc5FZ+UfhtEk76juREVY7peu1tZElog1N
WIzT2ewIxmuMawX8Pi4pi/kIzCZx6GeTMStrGoCV0WgfVlJvWe10cOmYh3pyj1slv1WtaUXEcpKP
iLOFLTKk51nE3VhF/6CTHjuZ03DUASQi7Bc/Vku6EY0epjnpkiMB1/GipArCTR+gZwvD26H978lb
vE1d7XqsdkI1Oqsi9Ae3b17Wdf30rIVrzLtLq+Eo0Z4iXQSv9Vi8yFTkUdfBnei/oiHjbdXAnpvN
cHI0PuTMMA0I/Uqq/DDNHSl61inNClYkO4cAaMSts6NrFV5U5OSdLUbzOHpus8/K9BvT1DFELE/I
HAcWM5Ht4UPorwVW676Xj3q19CeLuKpY0B4zIYFQTOcChw/1AxJKDhXGFbNVGjOFvIw43b83c/Z9
nBgzWy6KBEtYf03x0k8ZbruoG5z3atR+WMOSTMZMGJJuz2EhgxjIe04Ktz+p0THIwiKzyuxJWOrr
T79fm8jnA8caB0Dol8HnrNfXojFemsx+JRgpSMzBK2/4uM94lMgPsa1pl2rV+1SmBNgN9sFW+dPk
5V/wA8R+Ib0g0tt26NUZN+uwnD2T0nCZurdykc+sYmKNnt6KRBrqJ6anLTb66ciut3bntQFZrebI
iUTekyJfp4aBP7cm8SMswE6Q65xkZJpxtjrrSVnajy4L6HO7Hhi4sPqTNzJNIujgahNzouwOriw/
p9X6yJqi6qEEAgjrjT25hYflzjAuB1IvsqSYPSyNrmYd8zLd401GFemN6tjkirvF8WagpxoreCCO
mrveYtrAgUhYfdzpk5XYRnE32oRt5W59146mDI0Up58phieNrRRHWQZBbJfVzB/nK1YDf8LuPPdu
9HE8Y1MC21JMVjpEhftqKh51A1A8lxcRaMLWarGWcj9MMn/aZDnwwzZTqI9LnDJ9os86FXOWRUM5
6/shs14mZn5cs8ZNYDTmSYjthrx14q8tzvlFym+eqRjEbf/D3XktyY0kWfRX9gcwBi1eE6lLa5Iv
sGKRhNYaX78H7JmuLBQmsd39tmNj8zDVnY6I8PCIcL9+bwAzgeM+dK31rMUuN/eeoRoNXZltIF4q
UXrbiBZw8+S5T3yqF2kPcU3VQrsTiXAuNdUhdXPFVmp5YzbxfakZ2aEMJIqBVvnWjTDpDs4h2Haj
EJixc/CMHrCV4NwmpIRXJfxJXH5EcxMpNG3CevWSiuaeat2DqSH2agTuqysrtIiIiQZ1kFVT2Vfc
o6W1l0ZhXncknNaBqKicylZy0CrRsqVcfvIHCEzBmlNJ8vL7zqwfZKFFI7G5isGO6T0velnx39Sa
a4DohLVtACCrDLdcBTCJ9V347MHeEuVkCOPOh5xmsC5IjijkNQLCpK/fwl1AtkBQtmbS5Wu0rNd+
VqwMY6OV0UXmBqu4/U4aB4x5j5+hofDTKYaO5Re6vZAEgO+dlxzExM4f815+2B8g/wx3vqRH+1BI
VUqtxhWpGpfuEMOyQzp/V+xl9Vnr1einhMDE19xqaSoBKPdWBqF36Czw8UZf/pKp16JuRviVpWLr
pd2NBYhu1VftF88H8GCWtPlKGhQarUFhDlHLMtxXWix+U2RhTwrZscHrPgkm94TYbFpb4AGMCG8o
bmgjgYagib6W8YieU92dm0rOE8lsyAIMgnIYcvkFfPADMob0phK9H83gl/sq6cOt4aNbj7bBVSRX
+TpWhos+G+uqSrot6PLe/PWkyv8z3pd/gw/Okr7c1SAW/ocW3s9pFbrzT9MqCrGXnkIDvqJT1AJp
FeguJBPeHxRcTzBpkv4vwAwaAHBA5wrfQmXoP2kV9V8g1RREHbjxgGoAvv1PlPpEGfADjC9jy+Mf
jbinSRVXhRxv8HvtYFi9Zkf68NUManHDP1v9kXj7r6jvaS3LmFia9AfqNNA5CQR0hwoMZ55T7RAs
28kX+JTmregy6HnKcuZUWSwzBIsQw3jMlquUGwVPA6g0aKCjZmE803TUOB74GPRRaJH6HNDAD+ko
uGrlrGta7cApc53WwYsSC7uTHN3tH+CR0ybhEZ3yof73hw3Sa7RVGqOSwkcbQEFUXvdAfQUh/w5d
I12FtLZw5rWp3ZlxtebNcC17nnMJ/RjIWFd+jjgY+yod7I5v3+g+AVGCIXYFNPutb+HV7QE6cNaR
vDUuBct/BeJORsbYJ0G5A2sYbgS53FSZmK18S7220vaFIllFr2mzr3uoBc8Pcdpv+3uEmqnDeESi
EJaljyMMqzYvu0bSDpnu/izK5jkrhoMzdiAVnmgPpNg4u6Wn80Z/z9spVme0+lt5BZEbkEnS6EUn
9U63lAvuIAIQakZl+LHt8TL1NbBzxoUWk5P3mm9trl3GJtoRpL3Om//so/gMaUykB8CiKiPHx6l1
2FCVsokbDd0byPQM7SjIV7mlLVgxlJF3/32UdFmg4Aa7CJ3CMlhlWqc/2gEmIqvxUA+HriIlIdSK
sQmN4MFSISgGZZJRe02GCytzgDYY1BHcwLsy6ODilOYEScgQkh0he9gPNPRGqbGGyW4XKf0llQSN
1Bkv2YxXZShrro2WWrcvCkvcRCoo6NKiDpzEVnLFI+QikftXtYM1NiD9UXupvEpb9Q14akqyD8g1
HJjP6OEkW9H04HK0aunRSVV5H+XxlRqI0FVmbX6kh2DLhZjHwYgcoWwAI+hRKIob11EO4WBclhDJ
imtnJAORwqc4b64sOqZqBXLJfLjynITGA6OCb5SDOPXaq1JMhXVspjvPEB8BtD/XVRbCAlrQCSA8
+EXtbOG4c3kaunfkablAxtUNVX8PkI0T2UbRt5QfqxeNutAa7o3vsCd2yJw63g6NTmHlZpA9kwqR
4Cq0nN6W5fCFl1585SnannSFfLR6t9i21hCRHTOKVViWuGNCxqx2tVe17cZGzKFd6UGKOXn4kvgp
5CdxN6I+5UsV9CbZwjdwi+uOkZIOjY95IV4LIk3IXtpTvqrkZ4l0JZktFM2EsNBWAGSvZSOHt1TP
Xw2A81U0HKKy/9Il9XUs+Pk+BP64ctSeVxqX4Ezlpqa04ZfaDGB3jZvhIqbZNJLEo6JKP6D8eiwb
w7VJzT6ZWn7vyjDwDuKTmuXPsiemNsmFkaZ2ODZiCuGQmstrJfeA4MOStkZbFExv1UeyQb6zHnss
RqCW5R0qQyk2mUjd1ZQ93mz5hZ9oPxoIX0uaY1YpjUp9C1w57grTVq1Y3bedsfdEdq8/PpQjbmxw
/JLy9eTgZ4Sw4a4DV3TJEz64RIBUUteiaY7NC7LbwI0t+T0sqhqEOEIQJ/dhYwIGY8lobLA8kq5F
EezUkaFgo9ZG/p3dQRaNLoCQYAGFfT5ov0gA7Xr2W9gLV7HbvxlxfeGE/s+wKZVtKrZ2P9CcQz7/
oMdQeDoh7QNa0F7qVn0nB/5FW6f5uq2pSrehGNJ8q2UrsvHg/0ooymswUrq8LkLlXnSlvczjQPbz
r3SLjb1b/ZvHBYJmac4BQQN/JgbNVjL7gsxnE1zBR0RptoWOtc/15kl1B/mLhGDaSs5B+HlK0aw1
a3BWRibfYtfaWWJ3KXmucUGa+6GBtRVuTzlfm7wm1FQ6qrkO20EqGa9aqKg3cSuF29zIfjUUeOtV
R1v9KiuEr7Agc/31XfWYd+mT4hfBxoiCkLs7pVKdxJXNo+R70DRfajgMXhvXiHYCslk3NMcNm15y
rstGv+684SoFCb7KRIlXX+ZfqD6l/8jPrh0nQsPRdFraSyJezWr+NQT/Ds2lRYsi0jLb1KGG0rJu
thHzasha6Lmjjh4bv9A1iv0AsegyB0YpAAlr2+Y2oSteSKvQFiPT2Q++dEcL1rEeILDr5RoaMHXQ
D6VQ7mTdvY0t4Aqq+8U1lJYGELZ6wUhXki7VUKDDCSTV0XdasRy7FfrOtnJ6R8zSLx/lpCh2Qaa9
kUhv78M6MzbQJF2JNAuvilK9G8COrStFonjaXyRwOFeh7twPcXaQNE9b0SlEJmcwEQ4AV6qKzbVZ
d83aB7ZkN2F3HY1kSjyxf5mxRb1K9NaFG+rrhM5PsYaggLe3Z9hDW9sdrDhUgA6NvPOUgHr6Rhni
oyCIr4IzfOnDZFMrr259UQfNTm9IeZhqANEbcVgbHiV68gCx7hr9gifwl5xeVqG3Qht4HVT2NcSl
gh1qrHebbf3OWtUthRlHEmwhVJ7Kkq4b0h8KfNd6vavkDnmwt15TbsxyHaBKDuwV1v5uJYeXUpf/
opLv2UqLdFRlbPtUH+mDq407Bk7ViGyUS986T9sj9fCiqzy4u5QOPhE0gmwWLzkBUo/KVwo231Ok
EFM+bqhATor9Q0RuQ7PuzKJ4HtDb0sixe1K/RT3rQkzTIzTtNwNEGlH37PjacxWCUK883Q4zjY7d
5EUq2ivIlLe1xeMqp2E5cOjBL6uvEP6zX8W23PWQQssuPNJuZOwqS/imRcLPKs/3gUblA2rqIXqp
4WVO/Af6Y/ccMUamHhwddfZcQcswgIO4eXQpGtapvmkjnoi+1F0YYn/lFfHBBxaTR9J39CUgvzX0
XQjh21rA2XauodYrpaAbPpDrO7/i88yyORiCER+0kjS+PHSwL0rpZRw1OhvFbW1HERMkfCzUMkbe
KdOoHtXMiOhL8WsS+OBNaae5qKWk3pamdezDTN1CM3an6wkNko0sraQgV1cR6VR6e9OjalTuZRDV
4LXSqr30Wo+4JmvfhYo+wDwEGRa4pQYK07qE9+qibmqut7pMcTR4S9vyC0WnQxMgt6tIbPtO8n74
wL3sUG4fVQ0gGs2iW70qxE0Pi73SKnS40yO+ovUSfkLrSSvdL2JrwgjoeD+0driu3OFyUJL7ti1c
ZDepnxWxtpFFmjQQcHxu6c9b+SncKZkRwyaRbiFbIbmb1y1XKRJBuZhLHBsZaWRRf1U4+RVX3Uc9
pJWC+wTGRKT2mwMZHjg4kIe+jJXkkvvgyuqRnvuZy28wDgOs0HZ55txkDSwc4n2fFZs+If1siOtK
pbrR/qBc/ODFTJY2HDtSnEXxZIU/TO0nfBIDqfgVJZ+boVO/h2ZIg763g9G1Xnves9/8EgToIONw
lzj5WhfXZVHZqJDYFswRVgMDwFukPSRDv0EsbgcKRokRpC03net+kdLXln4WHWBLaBFcKXVvZEe6
ExT3J4p9137ub3XaB914OFZwS6e04gzgeVYpIYuY5D449XPiUsqioOZ0973PTvYk2BuyTQ21fGCR
+VXJd4HZlfp4mxnWNq+5Gsl8m99/g7qezL+av7qSQqXHgdwM5vM3K09fuYagpDVANm1BJwAIJZBt
laB04UDM4YGf5JliuBvfjW99mYuAYWSwyYnarmvzepurrncjtYCxiOlF3+AQKZArX+27g6PFT1Tq
1o0bkQ6PD6llVqsGvKFHWn6nV6otN84vNyR9lCR3MTJyHvzvTgLr3SCrYMkN3zlqIGls14e/QAzz
X42Qqzeh4ldA2cx6DYDL2FZKrNiWFidH3wdc6BkviQSPOUKwykoQE1sJTWWdiBQtLaF5Fs2q3EIE
h3hKzZdToVpxd/dhOqm/WL2or2Krsn5xlRlpR2nT5w4ByapRSwej9w2Al961QV+YDn8NwABdOiRw
97kBa6ZY6S5zaIFtwUPw0GtotcmkS29Ix2/vjn2X1Uel5xVUsOUJ5BDfd7r+KIwksNx84k1vWA8g
YV9MN7iMCvEJwqPvTYFACml/tcURctXYcKFDGpFRRokgvkmhiJJK3XXrlmwdlyEz2v9+Wf2lvpj/
Z3mod8wyCYZzAB8f3PNrfZqJ+vCv/gfjo/zLooEVPuF/98q8Y3xA8sgS4JTfiqxU+/7E+Mjyv9Bl
4m0uagB6Rl3rP5NR9E5yGxsBQ7Ax/eUGyenDWOJH+AR+EQrksTPn44PVpWnOqYCAHALlKZH3HVoV
xuPJrMykVKb5hqmJydvbTOSIJkLRPKTNPqipnNuhuc37gz78pfQQj28Iqnj/gJmirVQVf7cLnaQY
/LYORIDGziErrW2mEdEia0GAe5LG+GxjMpi+bNxEbkQHzkfOJ/oPEQghv3MYhlF7HBKTVkj3PIZo
Y0tMkytFnm3gwI3/2HX/x8ze58+Y5BmM3Ipdq+Az6o3y1hGr7PNr9tEtPv/+iF4/mUo47ENuFvw+
xzzFpAEA6QKp2JKFSS4vLd3AGmIsiAWN/KvN+e//6HOfv3/8+8n3++iwwwKKK7gmsTZ7lL0FA0uf
P0miVaITmEAlHZK4q/o6o9SzoDqqf0olffRmdfz7yRA4QiUvCErnQC/upg9AWlg8tjr/LfWqiwJF
+4DrtVBrwGFbyoZPavIDlR6AAaL14JpcA+uE19xjYLpfvXgbDQNtuME+F8RhY6FRtjF1IA80ZoKs
My4yx8gQI1J/JSTIKHX0PFAtKt350AHMDr213gZbt/xiqNU+iriADeFbovuPHU/GMLs0KS+nAOWV
ul7TI0cv+JWgSPtajn+ZgfhWh/qdH7tbObmlorYFo1UDe+Cxp7+i0HiTabcieR3LD+UFNx5344d0
3DiHGtyV9FsYlqRMnEzNwE8NkJscGpMDFkZZUVqwMOsHJxYmjqbICYEgk5xDLCP4Fd+lgfFQtwsZ
2/EzPw8DdkTyiyQnxfEjTlyh78SwqUTNOUhwdmmS+5bJX0Wh5d7qIbtzOL91PnPV/J60d2uTvS92
rsVTRXcOqSQ/iSJ4M/i7t2Xf3AOMMVcFpGM0wF0U1Nyg7FoIbPMr9m58smJinTptPzDU+rlc6wvz
OPvjugzPD29LDs9Jbn8ootCnz8I5BK0KkWXDk8F5PD97s0t1YmIsL5wsVe1mwLGT3jmEZvNLrMSv
Ji+8gC1ZSclTnRQLR964Fp8848Tc5PhulchVGqFxDldFcUfSEIyRyDP8/JhmffzEyDitJ2NSdMEX
6fN2DlZK891Qgaqk0T5aCHhLizNxcgBIapjHLSH7HpW0JQampV+fODUqTYAdE37dzPt7NXgiqbrw
/fNLQdERilkDadyJ51rob1laQ7yW8kewGBA7LG3M+XV4tzCJNdDSdQJoaXxLN28Vr37MOAmQEdtZ
Srut8K1YN+mtIFHs8rJvgOxULXyAwh50ySaPh/V5t5h39ffPmRyBWqSDvcrxPdXZ0OK0JNg6v2J/
/rw5Of+MyIuVWuPnO5W0J71KQZ8uxIPZCQWVA4yefnVFnbhc1JdaArkhF8ZHyCQddNHEha0zO0eE
G4peEOiCoP+4ddqO5mgtUBzySiE3X4leuvjQkZ0QwoPpJI/nV2R+PO/Wxik92ahxBh2DQovWQdE2
gbMVIB55OW9hZlF0uv6p3xFB6e2fjAeOL0otdYGTc2DnGqJ6ycKazGyjDxYmYyhl062LkG3UydK6
q/1Nqiqvg9Pfh5LpLBze44aZRE+oPVVomll/g7Lgx/kS4g51PBVdO+h7tRtIRnvjW/jwN2bsxMZk
07qd08LdyIxl2VAdK98D7msAgTtvZWblwTJIBgAF6uK8Mz+ORDYDOWBxUOgTi53ntbRbFKsIjOV5
M7OLc2JmsjhFgXI3eRZgTpZkC2qyVdrnqpGOiF8sDGgMHp+W5sTSZGumvakrUo6ljFRpghxqSgr2
vqWvKlih6xUthYJZxz6xN478ZOvogP9DShQ4tkWbSVt6F3Uk/R1XOLExcTetgW4VzUFcWznIXLf1
u/OrszRnE1czPKkD4MKcFQjrcs+WzZscMVfKEndCU1wMavlCH+R5m7Nb6GRMk0OAipjgCKM0pAXX
8mVt/p1o8P7z00NA69shDDx+Xriv+vuk/nr+6xdWfUoOlf/59f4KGebD+R+f3yykIgyivwLz40eX
MgpVaJEGdg4l3JjHqpaeyV//6J3SP/rFsDBRo+983i/vxuSPxhCrTFHPZaKoJF1r6OjSHKvEPEur
Yt/r/sLunB0a7Cs0yhsSypeToUU8p8q+YGgxVdZBc0Fsu+hdpxSJs+Lb+WmcS7nAP05+ijmEw0ud
uBj/X2FkQsrVDfZvraJ3IpbJpt7LPY2csmRLdQq3YrSHUm6vBM/nrc96yLtxbXILqZI6cEFs8YJE
vbMP1iUg0fMW5t5bp+PTJpMJmWxrWg7j6+Vt7+7TfJM8Ofdau/rxDw1NfETWCy4pImNR66/KtaDZ
5nVYAl1dyQtZstmgYIGuU2kPsUh+fnTGKA+SyDIi3EOjqmfnEEl24XflNr5YGNHssXdiaPTTk6jd
ZIEKMWdMRLV2yWNyS0ubstZvandXxgvX+6UxTYN3mGTonOLyktBuYdSkdKaUAHjLu8TMaU7W79Rg
IZ6jJDezqU+GNwnont/SUFdjE25KEjuIw4LBaJKdg3AQwuc0Gue7RNbQviy+VZlHj0pBxVwtCmnB
R2ejy8mHTLZggsAmtWgWNAwRpd3K1q9MCtYLi7kwWmuy1RCHzdxWxYilXtXAkENbyV6sjX+FLjdU
w6si/7awuWfD2PuwRiKSU/exEi215ByLgrVGWNm4S9tntV8a13j3+hSaT6xMtp2n9oIMBImURrEd
yUxF24231bP/6DwYV9qVFO9pXDXaBSza0tjGrzrZGrx2rLBMGRshpdiX+sLPL+w81F8+/Hwgtdxl
KgZFkf9rEF2lafuI/PaCS4wLMJ06XadzBAC5AZHjZIF8NxFboQmcQwWGDOCE68pHaKhJ8KtbjcL0
yjL1vSRCCUBnrSwumB/HcM76ZOEsnRdjl2I9plXId5dvN3OTeDq8yRp1pU/fAK0YB+rPTr138k3W
7c5P4XQMkOVwY1VR8aEq8jkDanqCKwu0vh4r7djuiyW47LjxT6do+vOTCBWGVeBHGT8P0a1UJ8fc
pS/X8AqAd9RFHeWbEADSCPKFlZnGo6nZSTxCbEGLauCqxzHjWrbiJqad2vrRRkZrG1L89fwcTrfS
b2s6sGNevmDAp2kCOgNUD8Yv71hDcYEao2O7D6H4/Z8ZGT/iZL8aCkohLcQfRxdYi6B8k2JUC2Kl
+xW2+cJRNjt7kJ5xdZPlz0kJKSMPZvWMx2SharW6DBPthmrVbojI45eDsT8/tN9Zjk9ecmJwEiya
VJHaLmVsEHSs4mrY6HTlpYL/VMSKA2quS3Z6PXbrWP6uUelA71ES2EDStwv4svMfM+uxkEWp4GXI
p09vk4GlDImpp97R7/2veoiwEKANuAR6nV48DRhtKt8a1vN5o9ON/tuD3o1Ob5ENTK5aXDIBlgzs
iLG14yhplFT/YlieGpoEzNCqMnj+Wdq4BewYdTfIh+41L9ycH8+sB5marEmyJUG/OAlcLgLdKUw/
7IixZfHRfwJFd+HCKnXezPTO9Xs0J2amfgMqFKpepi1DrWXXJCLUjWJ2Ay/sU+F1ASlWB6463bs7
b3Z2v5+YHVfzZCvKIa2POpTgx6xLH7zGvzVQwYW6IADk3C3sxdn4fGJrsu1hSZPEQcJWV8D+xVC0
rE4XpnHGBqAoJCyh8NDhDptEy0TrYaN1mcYkyDsgeumrCFTt/Jx9esWwVhjBxNhYgNbr6DInk9YJ
lpTIaM4fa6SZPOsuKB8iGVlh33aAap83NrOHP9ianDpgCXrXHL08TdApbh6MRruEL2HvoEWQ+/HW
b4tVVfp//Rj4YHUyjU1IY9jIInFEGXJlRndcCoKfNHKeH9tMqDi1Ik9uwarhtlaUYAVeeQeV5cTc
pJawYGTeI/5cLHkSJhAj8WOon7yjYkbtNgETHYeKuBAklkYif/QIBGsiN4Ca4Cihq3kd5ReQO/yz
uZqGoUSudAPy6GNjDqvqZ1+8QDjxz0yMM3ni1nQjelE/LrpKF2W4jWk0F9QFd56JN2BwxhIBZLao
rE1WwxgcNcnrivO4gZ4kHxtPg7BfdfSvrYWytRbMzS3+qbnJukRBEfd1j7l6gLo6rCIYt+nBPz9v
MyfEhzFNlkaAmjdXxqUJpB8wRLQHJK0s2g2iL5KOBGPp5wujmg1AMsK6Fv17MhmbSQCCJ93MSp9h
Oc2+bzM7ZAq1vHgkE2ELbr83c/+uaK1N+u9OzP+KxZmfz3fDk2hUlo5kGM1oGMazEJjm0ZOHciGl
sji8SfQpKj/t/HHVHr2g2FQXv6ruaCnrMtsE4ffzazdvC6V6BUoJXbemF169D83IGsYRyahXp/I6
871oFSUK7TjiiweKdRfowTrxFy6KcxFDPrE7OQzzslG7QcWurz2UgrsSlVfTW4jiM3cKTLyPbeIm
SlYFtR9iQ/G+m7G/Tv19yFhSuqyqm7T7eX4qZ33jxNrEN5BDh5YN+fpjHH8Pwp3XLszY0mgmXuHr
Rtu144wFJlrjoD9HtFm09bOFe+WnVNR4vJ9M2/QG22uF2PgFhtoSIP0dUgEWBNuJ/i018vs6fHTc
VbA7P3ezIeR97qZ50TRr2gr9IC7NsOYBPoYfYdN2t6lYksC0FlKJCws10suexnm9LuFCHV3eGr4H
0Asqf+OoOp2/STzswiiy/HEwdMNnV9lT+3J+sma3joLei0SaBCq0iSMkqujXqt+wPvAdA04Af2Jd
NP3CzXg+MiggukfWd0oak90Dk07r+gh5HstoB8Wblt6fH8bsUXjy+5P9EuhaBJhb9I5yv6mS+MV1
O8R9EFNa2Defigq//fnE0GS+BKkrmjzGkElvqG2VAjRlLWoYtaRGa2qp2zSFXdPSCh0m2h6qTpO2
N4tOovPjlWb97v07pte9LHW11uzwi6YI9h5cCasEEb61IJb1hsD8YlkA+0e7gwFZVtAK3cZRrEcz
auS1LALrr4QlIM68K/25xtPLYRipYlEVrLGsr6BcQLHo/JhnYxYd8JYiy5oIrujjVoMoHejn6EPG
OLHOOMUqZJ123np39MhldpFkl6nZfjlvdta1RjgJKRxuTtMSedrprkqHG6E4i1w48NFTbGqD1KEL
g5TeLZyhs4M8sTau+8m9Uc8VN+thBjwO7a9u1UAihKJMsUrQF0y6heA860MntiYTWrUCNL901R1Z
tXXRgcMcArf6O6t2YmRyNkt0IWrm7wF116avr42mQ06X27B22Xj+Kl+Ix0urNQk0xSB1giQxf6IA
y2CWrd08s0246h1oFc87xuw5czKycSlPlkrIuO9IUHkcNaM/WKSAWuPSkV+DWF/7YbQwjeNaTFJh
snxibBJ3Kr1Jmnxcq+/D6pgtRJO5kShg+Hnrm2S4xMmP02tMm3DRc8g0L4Yg3ebaK63Mjeus3WRh
0uZ87sTU74PiZNI6xQvDTGF9lPSxCxp3Q/lJWp9fmLm5OrUxeRe9Dyfz1I3YIlpIj57z47yRhTn7
ffE5GQjMvp3ajnNWaK9KNKzF/Dbr7ztYggJTPpy3NXt8no5ocguI4eNUvNHYEFTblPQr6cbkTUW3
wZcFCEgb9aDoxi2aPuu0Xzhal1Zs/PvJQDU9kwqL9rijUaq7QP2mKcnV+eHNW4B4lm4S0+A/Hy14
TSdkHtyJx5QUdgconeGctzDvEe8WJlu1IsclFCkWHMlZA4O69YAdQEH6182QxLJgx4D7VuRF+XEg
lmuh5kpj2TGPC6hvD5a8C/Olq/vc0f/BymQwARCtNHVHmKYI0L7f1LQqeJ0BM+KFe585Oz08NuV1
4zUHGYxnCs9CE+QL4WjmmPrwDZOIUcJcn2V17R4FEfY1YJa0FNZXOq2I6q5unv/y6p0YY3o/TmuC
fGjDrd49pi6mBm0NXgkpwqUM2owbfjAzCRtkz7zaTTADJQGyn7oEx3zjLoTamfPpgxH541h8vfZa
08CI9KUoD/nKvZWFhWP9/NpY4iRYBLrrQi+OFwJZh8BrbI29l/PrtLyDSHHDfX99fnnGtZ4cTR+G
NAkQvl+pUkxfzjFSBeS8zENsWXtNO8jhtYp0qmsOew3+vPNGlxZr3PEnUSmIzKpDesk9qmYJ739v
C0u1lyULk4vLuzsE6argolIubKHZ35d1yUTKEB3EKYhUF2hrhvzWPQLEf+nS+l7KFyL3rCOcWJgE
CleTaLmRsWDunGc52keJ/Vu38c/Wxds/lvmU92jWn2ULqJ2uKhLsVx/XAZVWq+x7Ft8NtQuBUCDC
OB+35l7rl7K28xP2bmqyIJFlZrogF+4RzWB55Xvr8x61NJJJ8HbF2mj7KnePV/BylxymcCn/jZOO
tX4fwmRF+r5VFaRMx61ih4/S8/kRSPML/v7z06icybmgVhknQ0ef8gqqE0m8RW6jru7B2ns9Tfl3
JUKMoveaGeuFN/640p/CwCjQhgQPub/pO0k11Fjz4UpEx7faK+6znLc35d/IQY+89n8aGX3kZNu3
laV3XYgRT17pD8bu/ATOzt/Jr0+cWYAttyiawEW+3W72zg8l28FIChuoni1YmnW2E0sTXx6oCgoa
nR9HIpeh2C0SMAKkItvz4/mdVjm3JhOf1tEzc6s8dI+jHkWxDZMdPsH/Gg/eug5WCLAo2Q+1Oi5N
5JIvTPy8EMGddSZ21TvrrdqES4Ruc2mYD34w8fShocs5Kpg/EKTlxupv0002smnu03J/fg4XVmqK
JAaK64dCjsdxDLjdepA3wX0lHc4bkWetwNRHHceQ+e9kPG5vxZ2bCO7REIYeDqxkD2/1ddg7cNTE
PxEBfRgKY5tTnhg1AteDCWV0k2+0ojuYUvczbvwV9N/fG6G4Vlr0gmox+qEnia026U2TC7AimFeB
10MPYF0Hycv5r1/4+N/kZiebUlEqoTYkjxwiVye73gk7LV4IzvOX3vcJUiaXs9wxpG7QmKAiupTb
dbmupXXy7N4Kx+YK/sOlUv6sA5+Ym1zTsr4RZCSOKN8FDylxTN/75sLpvDRr02taZPRKrTNrrvpQ
Reaqj280wB2Ns2Dnd97tUxA4GcskZvpWWlhSgCH2fiUcxeBlJd/6dnwpfhlJrb7p3gom22cVuVwk
797+mW9MQmon+UpVuS4vL2Odr5tNf7l03V2ax/HvJ96Xm2jTdGJAKQO+Eet7mNZ2z7XdQfvr/FDk
caLOTeQkmqZOEyPHIbFJ01HdTDce/a7fSynESXFpQNKUrjVJfFPpZ5b826oo/XWRafUqi427RnzJ
zOq7Eej6Wm9gFjPdH4NFaTMzSkTyJMuW+/wi8NsvbeQs9Sst7p5JPE5BIzamwSq4wO265yRfS/Dt
XwC1yyC6gmishGp8YbqWZmsS0gJLlUQ6CIgK6qNqNeuhWMKnzBWXdNTd/hM1p63ugqRJvu6x9MZN
Y+5LWLTNcmOSCo/H7LPxOrwSiJZS7/P+RgubIUkWPVMTj4YKvLQUj1yCl4hXGaJiKCt1q9IQL5tG
rBaei+MkfXa5d2MT567F0k+HaDRW21qxSXToY0z05JK7THlRh3BVmwvLtjS8iZMbnVMV3jg8mKl3
5E1ld5UySMn/fn43LdmZuGTl/ccOGnkNUmmMJVdeXC36hzM4ccN+QP3KChgPpHGweN+JJAQT585C
nQF2fMQUfKh6zg9t3vP/XDRjkq+IpRqGbReTeg6F0pigyzttKRqN83PGM6Z6k3RkyMT0jgJQLK0D
nZ3M1m6vALJCubAKEEE8P6hx3c/Zk/n7SZitfVRFYqNlr6VrejgTx/Z+xeoh+KvdTxTYDHizqUGN
rMoAwj7aUQMSO+lAQTITlE0/iDeDpV2i6bQKVGthSDPr9MHUZEiWAtAIBtOxlhejEv8aeeH2L0/a
BwuTM75QaUoNEyZN64xd9mbCxS9Wjl2Lw9EUlMfzxpaGM/79ZIVSKzK73seYJXq7OrE5eRfuwjM+
92E4k9AHzZgmxyVrk7wJaCU2hzjYCcOqbG4b9fb8YGbCA8y/sjJW3XQAtxM3kCsLYWUlHpFmB8FZ
a20LjmTYaM7CkH6zFk/8+oOhiROUXW7pcZdQtTQyFFciAEf9mqbO7SBL+jpKFUjwZfmnFDvbwNBQ
RWx3yNHYsKg9Zkb/FsWR7WgQnfhyIth1OfwCRruwsDNb78MnTrwoLL2e9yLQ42BrlA9wrJGazJ31
+QmfqzF8sDJxnyZOBFVImQhf/OqCVjecVZpde0Ww1QT0yKNNXHNL0NSFTbi00BOfiqo0o0OZhY6y
8EJJnkt4eCML5smlAS4ZGv9+sj0cX+li8hMsNIyMySpbhbfxP3TaydnZZDQ5FzVTGNux/dVOF3x1
3g802loA99JxNznKskEBWO1kXAa+AmtGHEJtdq2w4AfjfH/eD38amRboohZ94SBnj6O04SFx8LXA
r0s3WsLdzcYSaNn/PZjfL/yT5Rh6IXf0gOAbBN+UQu+RZ+lskHh2zg5TPJR+sLvg4qMLfx4bLVVj
nVP5VGiCTTdtoPUEiTvYZbkFiyL06yqw1Wv/ZpTRsIcrKbWHb9LmvOH5hXu3O87FyVj11g8zoHGA
tbX7wUFBjBe6CJlDIK58f8GWNO/n78YmXmJUghhnYUjkbHZufZ8M29hfIY4rw0uN5N0tRNrJdXbM
vp0f43+JH3/anSZKeHfVikQnyFGF5DU8SJdfBc+mgye81exmd97YwoRO+7s6CV0WsWGMTYak1sq/
bR+b6+Bvbbf3AU1OhrwtVaQcMWIoP9UH5BODV+uXLi/Ev5GR75xTmv9L2pUtR4pr2y8igkmAXoEk
E9uZnu0qvxBlVxXzJGZ9/V30idsmZU4SVSeiH7rD0ayUtLUl7WEtwbubRqWnNMa8gRcusjw9vmIq
4htgS5pi0K3bUEpG54KLe/jlOVzf6J/DE/x93EzggSznEzY8AR7U2KDSTX9dBlldqP9osoPLBOwf
55bPYrlTedvMdYxQqxqUj0SySmcos9u+hWH8KRvDP5fHBZw4JqlSq1ZBVZSKjnIdToRV6YaPX502
nVpgPEfS5kuPsqSxWk7BdXVlVQ79AQ7bDSe19X3hmLISjVaUy0gLmQoUGUOwpbR2vnWUbKHM67bw
SHzUsBjDFIIHFe0IujT6nZSA03TaMLK1QC1ub5/TJbi+AZrouppiOFDAdiAi/DwG0Oyj0A/l5Ekb
wSpusd4Djdy1Fd0U3ftl81s9ZBbogi/8TMgbcnRMs5kFrUiZk9B3Vr7pukNZG2wUXK+eMZ+QYjdy
1kadWqmzfRjjrWFcd+MWW8/6lZVos6iMrKia2EVljRBwKHMDOeSPwvTNzLNyN0DAyVGOg9+f8jtp
X5wgdOKPv42N9VzdzwtoYYPpiUEzvSDhVR/kLnh3nZ5zG+xoIJ5W7Wajlmt1KhdgsxEvjZRKSqhn
GOe3bkf2ly1jLSoKYY/PSRT2WVaoI9iSMRLzOr8q74tH5cDf+1fwhVyrtltlJ/YLzSGXQTdXTth2
hTwxFrcYkXkAybptXtfAGhTH3cCZIwxfLjqLwQm7DiXXTTkYEATL9W9D8VuVqocoYg80rx6s+r6E
BCnNWhwyG7DzdroEK2w3NO0MqhpgTkEcOWZeCDLTH7h8pDflNw0NAYndGXsErDY85lqb6HIp/2HE
XNjJoKhNDPkWZB4PHFUHNr2ubvPAdszQ3xjg6t0KrXDotEIHLBj5zi0y7+JiyM1559mZ1xzjK22X
hFurtzqLCxBh8cosLGjdAaRTvkdae2riexPpLe3Yxsjskhfj9fKoVs+CBZ6wakbVlMoUAE81R6SU
miJ2obBxp20RNaxu50+cL8tUsyKBbnZ4NVBVc5WU3Eum0m1ssY3BGELcIGc0GqGXHl4V4UthPZlZ
7Py+PF3zGotGjvouSL2Z8B6QAzu3gYpwKk1RL/ld/ArfK0dOBDnRyxhr59YCQ4wglkEKBqN+kvw+
hjIIiW4UFjlQiixYdkAB1O4vinTNJZ4wa1kbgu61GoBX6Ok+UfMDpE91PMrSYLxR9QS64khV/Y+D
VM8nMp/UgUMpUvLLQNvz4D1O+G4M+p0KudFCoR9ZLW81za5treU4tXPIHkoNrO655EcMOu/UQAKk
1eXpNgmlAXI23SshAbLV5inImZcMUFitIo3uoDTgy3r3EBD9rikKr5zVEKsyUK5GDjUqYjSvDej4
r3gRo/FyZNMda4bYNSwJUQYt8mOzLXYyl003HDM3MMbHotEQghgaKKOMTbvPrcJrJ+vabGKUsUsq
VElYfdM3IQQkeuhcIn8CFiNyEybJDtqHjxCEv0bSaFeU433GGXGploDJQsOKXTbEtT27nLD57wvX
Ci3WAZo9o+RDHhyXtw7SU5cBVp33EkE45HsuNw2NYep88gajcbIbAs0Qu7FuW+V7Uuwuw20ZgHDq
g3t76CuOzWuEvt7+mIgXnhBabh6nkRymaUtIbwtOOC+0kPA8pYDjueqZUHmHFmsf2gH7jgCn2466
GzePW3XpW6DC+ZEUGnptwk7yralDIGriEMp9IyEmuEWRQPvYgRdTgRTy5ZldOxqX6zj/qoWlZFbZ
VwHBUF9Yswteyhtj8v4GAXpsFOxhYGkXxtVmWhBBcVQCM40TmFDKjbNZXsWVePftf0MSxsKYJpcG
B5LWSV4oRbeQ6Xa0ooMUavE3SUz43n+HJSYxeZmxhJsAa1gNjpDYbVXdJ2h9LlPmMe3diG5GHPya
DlEzJI478ExcHu3qHqfQGVNAvIWpFZxiB97hRGlbCWQ53ZURTjutf7+MsHYog01GwaMZHbYgoz63
DQWazjExEsknavtGkPmuZundAXJOl3FWLZ8CBJ0MSB2IAdJAG9quUmLJl4q8sNs4Q26CDhCbMw7Q
d3pJ9H4C9b4O+q2tbOYGshg1TZrBAuVINh/YKpi+qtZBmTzETU6Bov4Yp+YUSeND8RdPTeVzuGII
NZR5GZmslPx60rwpgFbHVrvb+sL9O6FikwOdIF6nsUryq/aKfujqTe1fXrF1978Yg2B8RTvoQcRz
yc/a7qSW5EddnwoOgWmEau/GmpygBwh1Fxq4eL0rEOWds3UQnzc4SM0u/5b1ffA5WOGsQysn7zID
08kb7k8UKld8w0duWck83QsfKeEuEQc9phPaqobHEvDWh6y6q2h/hMSM7DRB34J9VTvxqt3Y5Gu3
VnS5q7O6LVIHYgMm5NRUOdApbq0JuvOM32UUuwU78R4tBOZWp96a2aCLH/lbkEhhIwrjbKc4ycdU
w62B2hGYVvr9lhbp2lotEYRzvGFx1aKnVfIhMi3fZX8Vtlp+Xzi4QcFZjRzS436aHyxwhxE7fwq+
teDvCDasbq1oFwnEz8kSjrVUAd0ajXQcNq0NAlYVTcT3Sn9immuiPNPJ3T57MTsXimNs2Nh986fF
p8wSerbXhT2acREkQYl1ajoXBYR2jtTb8+VNtXYtQLumAu1k6GzDIM4hJF5D8hLS8X6ZH9oXw1OO
uHNfhlgrA8IMfmII5taVEJA3Ywu3+sjNCJRyD1N/k7IfJX2DOl1RPsb82vx9GXTdAD8xBQMk1SiF
UUAkf3CgIUjJxpjWV+bz84L90RYKnlzB5yMIA2ve4KIrytd+TdrufxuGYHy8UVIlyUzYeWYXj3Rr
H80z/9XAPochGJg0KKwvNNh2ivvTzZQ77cPl3/9fds+/CGJQoTN7Fps9BkAVW0M03rI9tzO8Ljom
vcMm2/hgP0h5TTMw2m60ra3Gthd2J8YaKK1YSSTYHQ/d9vssRfw+FE4HRZLJjVKwg2009qgbVmGo
55vJGEvZkCYATto1ZM5w0YbYaPCTcps+m/fhU/KiXNVP/Zv+CsbmaX+4PNcbJm8IR3VKU2hOVThC
6uYd5UcQrI28v0HADdHU0BMDEe3z8Vlm0Q/DJGF80l2BJ7Ekbb0hVu8boDr/F0KYwlYrErAk4T7N
2UF+06XdP8m2qPpJJ4e+TVtJtv/imz7xhElTIc4+5lYg+Uphd9q+Mo6J1/9gD81tnTpuQh4vz+C6
hXzCCe42hGYgKTN0MMTBTlbvgzvlZL5BNHvYqrpd39mfQILP1cCHFycM4xp65kCiFjWs6C7KtnRK
1m3uE0Zws02Yp+MUILQyZY/gj7e7bNrwgP9lF39CCK42qpM60Y0IEMV+bo3IPIgr1m7bP7cvFtvy
GWtXQKRscC/SFH1mpz438RHKiRGNYeLsOywvivbmR6zafLLDn+F3lK6O+/R246ia5+iLEwYLCzYU
otZQMT+HlELeVXGKuxKFVGhXv09JbGc6VP8Mzb1sfaurZYAlZJafo0RsaZNjlst9hndegAsLqy0n
y/jGBG5BCAdWQEctr8ApgPba8tlooptQ3rK51T20GIVwaFUQfmKgjwW7b1O7aprcBKFqs464k1Xs
omC4J1m0vzxxG5BiDECRIsnKVDxcqfmMjWRX0ymU7ITFbtNuHCKrG/dzdOJbPIgNYzSB54edcbTi
dznMG5QwF5scvKuWPkvZK+iFNpArPzc7S54IbxIoMunQzjX6AFxx7Y1SV4cGAlClpFw3KHEoFJzY
jTI+pBl1KJiq7HgAUzpRs/3Y3wbW8zgRvPWgEpsh2nN50rd+4Gxqi9uvzmhIyj6AqlPY3PaNdSxf
jFuzr9yqZc6gNJ5VWc5lyJXJR4s7qC+1eUrAtXAOWVgxdFZikCvr07M+4iiIinHj5riyQaBLAjkN
GU2lJjbhOcTIW5mmJQiWh51iedaWsMLaCJD+gtKpaYJXWbzz1AaqKnQwrPokHQ9TejXqgZPDgi7P
08rSQMDtE0U4pWXeE4OhEcIP7VTxouDaiF8it9YPFf1lmBu3jhX/CFEQGbpe6M0EFdI85IUdjIXW
yAUHWzq2uJHsY+nNODSqubEuayjwjPD5czkEWGTPUdJ+UsxkJtEfUYgld/ezZDFa8y/PmzlPjODr
QTvwiSLYtClzK9U6UE+PEA4C8zuu9RCBewRx7Y/IlG7bUbqJWd/tQMzmpeVwlMf4RqOhl5ro3A/9
vita6LNEDWSUQ59YyZsOOVwW6oaNMOj3kI7Jvpfi1taH8T4ym3xvjnJuB132ENHiwRgh/JzjXmjj
X270sERahzF7kNXveUMeoiBO7AHaaehIR2jTlPdpYNojM3cBBMJAQwWB8/G2wf9qtRyuL4F6NUrl
PlQSxnslLq44svYoVqF3laUg5xG1tzRuTqQgstMWxaGrEmMXgILDabnlVoX0ZCRIuRB9V0BUKx0Q
cqnLET1w1Z7W7YOV16ajQzPZQfudoxpbZJkrTp2CmhFEydjuBnjQzle8BnEGhL7DwMexGNqh1tl1
38C3l0kJafBjaIIDtERl14YJfLUAbHwD8WRwbRlfeIqHTOuNgEWgPodguJU2u5Q+xPH3ko07Of92
GWut5m8JJrK7jWGeqHIJsDKIfUUOduEYQSryKaEPJqBnzXLI2TE8VC4Dr2ymM1zhocBgP0QtgJul
8r4ekJ9EJ6Rbyqkr98bGILewhGWMymFUuIplHPaSFTtte01jZ+D9xrqtOdblzhW8UDOYutYq8A8Q
hEvsMVIn19RVr2q33N3sAi65iHm8C3cHUW3K6gpArEp2NT6fb9XtzHfYSwjCHZe1mdx3FHpF4CdN
kOzSryOqeo02T9s7euieLhvDyj4783nz3xcD6hRNlaJy9qwWGhiTBpkhLcHzFEAlGiudqUHnWaeh
/OQy7uqKwZNDqWTmDhULAXpaK5KqQ38lTl3lxAe32mpOWB3ZJ4JYBqB0hKYWw0Sq2iueq8h7PUy2
inxwor1eHsuqUSyQxA2VaUQpCoyl7Mp9IX3DdXTDvrfGImyjqku1UkXA0a+M5K3V63s02qMQNHS7
bnhNcv4R1I+Xx7SycSFN/e/6iBfQT0RoHiMdE7+SLrcNvXVYaG4UFqxa/AJqnt6FCRKtkq0kxULF
MHR9IEfe3vFqn4D7t6/1X388LnDggKeLWDoq2ES6pLCIRySWcQWLItmR6scwnEwbLamHqd1Uulu5
iJ1hCXsLqn0WjTUoTYTVS2QER7VWnquhdYsR4QxUJxiReq9TeWPlVqzxDFW4JldaZLaBCdQ4S1+4
2UKJPvYuT+KKOS4hvlSrj1AkxpJBo0OiHsvKQ54/Fd0xrN8TNPqXGOJlvBVjPMMTNlgHosIoqHEx
C7XcKc0f8p0cHP6GXegMRdxk/06cNiWeFPZeIc8aLgGuOFi8yyNaXSRkDyCLC9VSkBac2zwDY1fe
y5jBIr4tdFv9i3MKhPCf3xdMj01SmFSzhksY7Kb2mAwbb4wV9332fcHIUCSmj1TB708C5ycuKs2f
P7SX3xcZOosxLqu4wBsGdeR2Vps2ie+nNtzwPKtXsMU0iTFTxUpo2HLA1Jn2aNBgp0rBXg4qTwl+
6vF9FFo2Hue2VNT7y+u/uoM+10cVbK3T81xSGNZnkJtoD9JXBFCT/p0F0yPTSubQAlx1lOUby7a2
kRS8DImmQHrTEFs/JKnJ00DF1S8EiyRITT46YyQOXjqyl0jDVqPJWrwYzVafcMIo9XosaDfBSqqx
eTQaxOqCpFf9lo7HymgbsACQG916lxTzTlLHmcWBnUISdD6Tki3ym9W1VmQLhO8yKN+/sOjmNaqv
UR0HXa/YayNi01O+Z79ogQzH8xZnwNr2XmIJ2081ChZB+wEO8nm63krZrdnO8uPC3mt0VYkgAwKJ
w7pw4/5o0tqlPpcOl010LbaL1ft3wsQ9OFQJzacROFwHZWzSoq6uu5dl1Q2UdqfUgxMV+jst+qdq
vOeSsuEhV24FZ+iCzy8LM7H6+SlG2Wuh+UWyFVNYyy6cPTEFhCiyzBj9bLNyp7LLasUpwS4xdDsj
HLyselWScMfr31YDMoSkPIV/rI6Nfpuzd5h2fgYEeq0HA5Wor3LpZGoyWkY7Y6sjcW3HL160YgoZ
9CFNC3JnDFJ6UmYm1xzlsKGLQnr7srn8E2YVHi5nw5l/yeIaN9YMJ05NqB/+Vo3uB+q/A2/QJN1u
R0bsRKuR5Tho2p2lHyLUFpmd7EkUMkDJPQvRN2gSn2eqGw7TPoDo3hUr4Y1DbbC5VXHHKlJrF1bG
a1GR1C269GdeagcDPeJPIyW9Dd1qaTfF42Os8R2uCtdp3z+1GoIpptSpT1EIn8JlOFqttCd5M9Oy
dhwuZ1k4zpWJa7k+4pmrMtS4mQ9tOx3rZvIvT/EqioU+1fnGoCliZYhOJKmO55gIHOY+jg8hVMbL
LcGVVaetzgoEBP8oX2SGEppB443ALDX6TB+fkmbf5ruO7ZLr9iRvHUjrQ/oEmx3pwmgMsCJIGbhy
fR69aUbljfGtmv1FRQ20pj9B5h+xACn6aaqVAiCRcdD7I15pdihvZevXXP4SRDB/VDyiISsCCJ3Q
qoHwjbK1wzZXRrAyObA0g8/jCMLYRu2BTZ12OMa34S1HXiWxi62X2SaicI6RqZJJ2wCxwRYtpcNM
qD2B8oOSuwgs1D8v2/d8cH3xIIt1Eg62gcWjkmmwPMWbXhoUtNnjRtHfGqfb0hTEioeCSwZp5i3U
xogfJnegHnDQUmxezeIAWukZORIqO9O9PLBVJ/w5MDHubxZBUTIJA8uiwo7Tl7B6etXz+8sgXw9M
iL0RhLVkE/rqX3TVP/2vXvFTm9fvBUQPWPuEeNIJVc0b7n7ldnAOJ5hGEk9RNjC4+7TUhqt+KhM3
R6zSrtDhZuuBqdu6JQdeVzY/yg+r94Zy44mwOl40oxOwykNYTiTPrEy1DSoFPyDH6dzAuaNs2x/U
1qYlercT6eMvpncBJ+xvMlCDqRHg+v7O0C0nGn1UBNo03Lh2bQ1L2OQjHVgdx8AZuxMjzOHpCTlN
peB2t4H01WNhBRcjElawrPsgykIgQZplp2Hi5KzdaEL86t4BYSm6+Q9XwZcOZpzTaFhFNMYPBlty
w9stK1wdwuL7898Xnp0mSc/IvChS72V1Q52Cokfk8sJvYQinRwTW4SnoMQa9fIDEN3rNL39/nuZz
r3c+R4Jh9Qb0J8t5jhrE88JMezfLH2HNDzl7ZVKxvwy2al2LCROsS2sgjzDNgxlRLyk/WLoP+Ydb
cyu6uzpnVDHhkGRtplQ9XxdJqvpeHQCjdvq93qfH1my3qvxWbWuBIZgvuKlyUx+BUVs7Q3fZm6Zs
WO/WKITzKCmmWu7nyUpD5hK5vUot6dvl9dgYhPjGUup6GjrkofypaQ6qQW0pMtyC/7kqHGwMsrxE
1RFr/9L0XFZhYE7zXKUNKiP4Q8hu0Vy+EVxYH8snyDydi80YaNFk0GpeEF6hGT6xM47LtrFVG/H1
MD0fi7AfoQ0PUitJpj5LuZ/po52Fige6TpvKf6xaeo4k7MzEolzRUIyEaoD0gWUyaga9gL6jIvuy
EaywWJwDCdvFHKpORtUP9U3L2g2onNilyMGmNCEuHm8/cAd7aCPQ1fAKTPFN96sr0v3cziK15NjX
NbeDKL1TteCRFHXppFNWOi0j3T7XeG+n0Cmxo/BV+fOmpfNfLWzAHNcoA/wbFNUM4MbkHxDwcVG/
GUVbDZ1bKy7sw7QPrZwWKlZ8aL+VbOjtHhOA2qVfg5xvua41K8YWAQUuJTr5ojtsmdXU9NqI509z
SKXHCIlnc4sIYM3lLzEEw6Itn6KYYL2HyGiR3G7RP2kU7iAn1q4n5k7tdqb858R6iPctBiYYWZBb
ccUlDGxs28QnnfSWtsGfqyqegwg2YcDWLIMDxGJ2/FCerN+GthG0nX+neF4qKJ9BABOh2y/y5Gki
JYNp9Tjz6VMAssqrND8q7S1qoi7vytVFWuAIwUuW1CWI8v/BqW/KrN7JHZQuUa8B2Bw55nbDC6w8
tjB3C0AhHlQUUk2l2SqQG3VDqXATdbyagAPuRTTKZ03qGTqk5rRxX+rPBocv0Dd+w6rxW+g3ALUU
KFLECAMnJbGmCMtXjtBeP3D06n+/PKtbCILpS7jdRlMIhGjqn8z+Z/EeEOXXZYxVC1mMYv774iBK
CQtzRR5gIfwninacfvrgZD9Zk6/WW/WOa3cEqBD8O2OCwdOuH1JIUuB2CPZ4Ww/jWzTlbgXxtgYk
OMAkhfJPP09aapWKY3UWd3mhfaTgK7QnyfgmRVsMgqvG/zkskYilabJY7aV5Cqn0kw23pkT2kn4q
Hyey76aNp9WGTVAhENsWZmvlHGBpqO2a8UouvwXDn5eIYHctRiRsZzmRdCIj3upXjyE5ocMxqv7G
MS0QhP2LFnW5y+bN0zblIdBq13pKgpdiMBwt+3NuzPPRCHctUvUkt4Z5yvLrqXOz/hTldj/uwP22
8dDfsoR58RabqRpQ3KDOmynrbP4K32sHvhXe9MUDT3aX9+1sxl88u6UT0LijJuRL5JEoel1K8xJZ
sLZmuE2T5FrOVbuO75IR8lB5jpYN3bsMupIGmKfyE1WYykxH32AZTziM0ZbBo/4pz4qDknKvbPYZ
bfZNDn6eYZ8T06nayqnijebCNeuf2b0M5EwRvxGDQ7oRGJE8wWwoUMC8BR0nB4yBG8u45qeWKIL5
jylefdp8+tcYQ4GxQNN948Bcu6YtIQT7byyFh3QeiHItPTTdgQz2ZlHP1mSJi9XoaLiygKEGL5p2
YNAACrZU1lbHoUNoRNMIlNXFRuihIFaTDMBoQtCLB/jPfTrFPpqmY98yCXMvG+Cac0d94//Did3P
DSgcSrMCHIq7ahRehpI3ppGvQ60M6ZIRtKEAvwy5OosopMVDELUwuOae7+lRV2qI1mOj1dR0K566
Uw8NDXWrz3QLRjjrxz7iQwKa9jnjGv/S/7xSzpgJMP8dhXDMDyALbcr52OB4l5GyA/UKSCgl+TRE
7NUqsl//26QJJ30Q9F2sWoAzLS8hRxS9WluWtzVhwjkvgWHD6v9Zl5Tswlx2hw8ejg+Xx7Fub/9O
m1h2WjaENd0MEu8epsPlb69vnc9vCyd52KaKMs3XBrNCGlXz+1LbN5anEecyztqhBAYhmK82twGJ
XTl5wIhslL3lG81Dk+U2M5jbhK1d6OYuMZEp7NqtzMHsIMXDaQkpeJ6yII0s153lJ5V1AJOGG1WN
Nw2pPRQgIjEOUQftWE2yeT76Cf3WjtaGe1XWrENH952M4D79WryhS01kooXA9CMcintQ8TwrbSk7
ESndhuu/uMVrm2ija1mla1bDaJu1ibw9HRVI7YYvLFCf+FRuKT+tHSzLXyUcLHqJ4qzYUiEWbcYQ
Dyja51rfovlcxQBvL+qkLJWC1frcX6ka7wboy1l+VO3y0u3+wpoQY/v/z4uX3SBOa+QYGssvY5+U
oaNwZkNzwUxe5YbYcbAR8F3bJEs4YZPkA9gEprG1/KG4i/fDeFKQHv+bmMkSRFiWsglQX4R7ta9Z
5SHNlWcyfZiVBMmirTDQqlmiHwdE0yZo+8X7ixr1mcRUCeLXdbqL0PEgabek3QjFrd7S9AWKMJ5e
VXkBxg7wmavSUZNK2R4N62FM2m4meYIEQlhlzzKZzW8MEONUB7pLjUF19V7bWL81B7r8KcI9JxtN
NkBO2fIVjR3oZO6RqZGMMUSZ9GtSFBvXg9VE2xJOcDwSmyqQ2QSmn0S5YxrydwOKGUOW2bx4KVX5
ZRpKt7We5PJAwi0ZkjU/i75k9EKpuAwZ/1AyLi7/Qz7Kkj5Ry5/ql7rL7LB4gQB9Zeg2q39edulr
ZoTwtImCc7DofKGG7RtaD1pK4NL5oR5+KOr3JN249sxuQnThSwjhPjLRLIiLFpz4SQOF4z05TfUb
SKWojSL+gW24a3XNaS3RhOtJo5Y5QmFA63nrZLnSXJEKNdSTLllPQRCNaIaQ4+tMY+ouMobay2t6
K5v5McktL1Yg9FxKY7CPZf0pD8ZfEkdZRJCi7WekU+k0Vn1VB8XvIc6pM1R5DpGyrdqMrekSLjxD
XRqgY5MtPwYFVliojZsx/dbK+K6UpPdySLU9YUPiGlpsbHjkNRe5nDvB4UMiRjZTplq+GRU/cu0x
QFQgVVC6v5VMWLc6JMQoYgNoLRb2ckMsro4jrC5Kns2stJv8MY2jjVvRuiV8ggg7uJUl0AMWhuWz
aTy2xS+Qte8vb55VBA1Ru7lgR0Z10PkBaeZNEzZ1jCiUfm3UdlDdX/7+6jQtvi943zqfdEuBWiWC
4lA4uG1RO2q+X4ZYHwKRVUVRLQr93/MhTHI7Ur3OcS09oTNtiylv1aC0f7/+5YjXw1SuwwxPEZU+
o0TeGdTI0drmmJMtn7l2PMyZAxV93JDeEO+mMvaEpaeICEaT5maV7Olj4igKahMaxW4l4v7FvC3g
BOMqWZkaaYyosYHeyzKS7mP952WElcpZaEsvIGbrWJwCiZnSoRwaBLYkw6uM9CbVgyOum6qTStW7
TItfKIyA6G8EJZjeSPzL8KtuaIEueO1Rq7tIS/Cm6CCKqpc/0lT1oJyKNsWj3DY3qWY9lYpmXwZd
tcYFqOC8Uz2Dxwgw5DRCzg0xoiNFL/tljNWBEaQwZEoRZRBlC42yNQM5KFEwGQ6/jf4Nwh1oODXT
Wz3gt00s/wa53LdM3uLhXR3aJ6woOKgGdRFlHcMbLfP472ZLXXJ1py0+L7giaJY1Y0lrjKrrHAv8
iQFpd7iruY2+FTlZvRSSBZbgltA5JGXjgKEw40Pnuhv8ZnJtl5rsob3RkcrWrsveluL+Oqt/mqW+
cUptzaRweFC5M7RRx1C5XJ3k6U6v8ofLJrKGYMgy+qsN1Ht+yXWB+67NM6JYfkqSq8FK7Qbkv5ch
VidxiSFMIrLnGujvOK6zWX/bpmg65WDPylHJxb5VEB8NaG1Hv3L1EGvPIa6el+H/o+su3sqW+MIs
1rVqxaTVA9/ok9TpxrS8UjuqO1nA+aHg7HosI5Rgp3lp56bCbQLKZS+z0AwMUcvWMSFlCk42heKC
MJlOo/RQqKFKZktW9JhlveSOqrrPovaV4O48TdqzrubhoZTk2qlhQfuUjx+MT4ZN8volr1t3rqKw
5c66G2oZdSVZ9ZbWU387tCkYJau9qbIXkNTzBJ3P2fjAzbp1kqB+5ebwWjfDoxKhiLA3ysrVo1E9
KYkBycAwAtHtHGjLtcoO6iZ4Q0H0O5QLOyiLDh9oAtFx6RvJPtTr7tBIxXTFc/LSGurgqS1PTmnX
5w4NcAcq5eCbjI4U2wAz2I7U07gnUX4IMtRlBnkHLQo1jHfMQPq1Sn9NVI+OWtX8SOT+yVD5e1uE
uR227Vxtbsm7DvUUtqEx4iiotYHGG+9vYzi960keMlCOZ6ULbo3ameTum2mlhWdqY3rIST4hVJne
IlYORtamsLyhaD4ms2r3RK3vGsbHN70FHW3Og7fRMks7LpuXqZV9DjH6fZFAUDdToURtGqipisPU
PFgabuIKDRO7ZaVx0GSq700jhc3nrbSD2pmxL+vRr/P0Ts+nQ9OX020HRQJntLTRVmuUmHF2Y+Xs
GqoMpg0RoB6mXIP520iRjJa6CQSIDfMggo0Hk1lRBzwl8BmDEtyMGYJtmKnYjtoQpHF1iQLbrtXs
Zmbo0ZrsB4iIajeVNLTH0wGyxozJdh2aymuUM9OJpslyUoVCMl6Lj2igxX28qU7KOP4eavR3RTRH
IgGNPXbJcv0YW1TdFQr4pxQGDtZYya1d1lqVjdcRd2n2NIagEO9ie2is/Zi26a7o+p+0iPyCDw8w
jjuL827POcXSQ8tbGtRxxxhItHjZHgNr3OtsOuYddksY52421Tpk3su7WMmkQ0baGAUUUbmjdXyP
gtJkP9DpVIfVqz6nd5IQxoQfAJb7XnU7SXrqRxAH1eYU2M3zgCLLThqvZZKPs8LGHSlyzTbkAKSd
vV7uiBRRJ80L2cWzda90yODEsp1Ykc15YIfWbx2imco02OnUMi/PUaGvvNHC2FNIuvWQdpN0mnlq
bPVQyeO/YsbfdJ5lh4KwNwtE0CTEVUcvwcw0RKGbQON3SooTg+avFJHhqGsMCsBqF0JSjJwyazpI
yUufpjvwPHt5ZWZ21Uf3tRrLOzZTMjfEOGW5eYRaWmjHPXLqUVHlP5ViuJpklDA1cgVRXo3m3jST
VSudolyxmGZOZ6h3ClitiZL7rY5gQ1+DmoKC+Vrm5KSDCVuqulu0Gz3rdXbTzDzZ1syYPfYcOU4k
cLs+Sw8JseiuMvlgNzOfJU2qbl9btYqsxlTthqm8oYy/h+XQ74YGDG0Zg9vpk/pW76nXDHg6Do38
HLbED+XyNiWjHXZTbXd553L8lKpV473EJMUbK77L8bBBS7enV5XdxO3vvmB2pxTPZTz6MvIMcGc3
vEgeKzP10qn0mjx5Yjl3CwXScVM2OXlaHWhS29zUmU0Cy9W0wuu14ahqxX2bqQ0oKBJP1pvXEM/p
Qhod9Djuw4DZfaY8Wmn9YIHHgcnmUdJ8Ug0OevWlmD2ouWFXXXVM9VyGugmqX6o6KUD44ETVo2al
gycn5CWNnv+PuytZkt3Wjr+i0B4yQZAE6bDeglPN1VP1dDeMvj2Q4AQOIEHw650lS36SQs+yt1bc
hTqqq9jFATgnM08mxIZhAbsJ9+o7EVwdKDJYUbiwpBiv3hQ1TCokzCpy38XIDiJzYWJRrEFMrq4W
89XfYoLRRQ1dSYQRk3MGC4z+6oWBYYfbmeOsd6vcs6tfRu+U77AM72JIdUTsrxXs95abGSYbKCoS
A9ONGuYbiC3dqFylDfHbw3odlJ9pOx6zbMJJW0oa1QOpgE2zPB2Ld1ladWTL+iXIMcwv8Gca+jQs
341r7yDQu238BsmrdRvb84nAjSpFn5eIQmHyCKNxQXbrrqHVDafB6rxISB7EPoTPsq2eC242pjMy
MWQ6SVgrRl5Z7idCkZ+5VfNwU47ephOvLkYS2uBu8V4ZwIRh9BO8Du4RdrE0Wqz7ZW6wCd4hAyjU
mMprEJsk4e+9Qtfl60nvF7kPAhsbUL3phfM22elavFYOX8JmLqpnynBJg6K/bdw5XWc3D1U7xMOK
+dnVgoF3/rzM+a6e6absWeou9XmmwMoHXM91NJuiKG9Ii4JDUmiRK7fYLtaciLk8YrNFTNU1BEOJ
D9jEV8lA3Wiwli6eO2TM+5OMGBbEyNV1GRVq1LHqsjrVPOdb6stbSoENNnO5b1EaqpWFE3zeQmvR
SC9TSPDFbrCnMGsJ/br5GK+wjDU7iSmpjDvfmFQp2Ua0GXB69Djul6I9Wj0W36B12Vb6LdxFbWBv
Q1ORBn8Xu9imPKwmewGwRqKu6bJnyVwZsgFT3y0uJ8b2BEvq1jPhmvkH46C1hqLodqj5+Am5hwg9
wd8RsbklFJHgMJ8N7ZU+oCo7SiWmCAqQY2kDBwpmf6M1kAVLYkgKxWG+Nvc66DYDUbtuZE9+USO3
DK5V0YA6byN6vwwh3LOOSo9JXq1O2IjKHOCfz6LJtjkM/Ds/JLO61YFOCwsZE+1auhu/cO84hV/I
6Mi9nOc29AybAT2NZSIWd05qHTwFuWVtC5jfWIwMYYHE9dCiRm2dbhxCIvsHu8PG2pQ6T6a8h7Ku
DiQWAf9SAw+EeGZMvXW2j8VYPfMWNUWHNfUFObBxPltB6BZDFrHOY5FpbBXn/kRT+NM0KVwCIJz1
SdKsvQw7SPURgkhSPuRBImuN6DZS+rAGJk/t4m1EOd+7Biek92REWvYw+l2+yZcczVeuHtchA6ez
DHPoLoDUrja9ce2MH35JN55mj3WVbxyF8eDVfSsk3OCK3IxxZnUYdFuB4sGTK6p9BHbD+n9M+9VD
vrxuN56bb+sF+7BwsMfynnkH1QP1p0rI7WQ7KdCBIOISPXWpQZitNTY2LNSkR2AF8RMMOHxkyHcN
aTfu/M6PXVHj08WN5SybHFUtBt6qkGKH1A6EW1jaKpvCC6xSZ1NZJ9wwm9kLoC6AYDYrnD3vvK3n
wkVizgQJR8OKeHUFuuq5nlNSc+QnONgteLn11qLb+LV1yYfCDttO4+4OyhPs5N+WDoHcfLTuDPOq
DpEMg5OWk8NCR8z1bak8GBTl2zHII+mKxIb9RqM+XErLlAICjrVj8STwqyOe77s5RwbDmCOWodFW
SBrrqVmKewe4aSyGadwg6fJgFWhLHNHXu5KretMQ4eIbLrgDoJ2PClvUWHLtC3fJ60A5Rfxy8wFP
9joVIx4pm+guJrR/9TBNGNaa3wxMtWG2TAT7SAUyL+tDptSLW1Up7jiBNaozO+CxNQaeAntrmayO
lp5/WNkgo56IDLkT7Z0Yu7jP5CviPyM+zB9Cyg2XsoqqQlWRbY2Jy+0sBUxjTh6krE8Ykxk3DHbF
1uzCXclExWBjRGYwoTZQZ1QsOFm+PCtYM4WeL5pnXvUyLh3T70bitLedB+kzVnKIRPKMfk0yeC7F
xGCzh6LOK0cnlT4k/Ubm9sZl5ZAEI4wS4aAVre5aJLNxzwRNRVQE0Lii4HWj0tFjPNrYdLOeHccB
e5fpAp6YrsmeF1/eY4AOpRPMEGOjGrppJoYyQ7g+jxSzadIPgdnOdOIRkBMrsgaUztXY8Qj3H0mW
vmQppU62qaaORAsgIi5XmbR+gZ/s2g7nfpk3CrxARFBhJcMSzEnp0SxE6dbgPnEOk0X3q9CPKwy5
2Cy+9T36vAz3zJaSZT8Jlx6yVfIES1uJsl8EiEbr8VbhsB1marC/ybFIHerOT0FLeaz9moW8wTrm
12gge4NIk1ki3MEuRnUoM1ZirLn3Q9rMWcr4+m2AqwueE+nHxPMNSC7rm/aG7VRaTlhl68mZ4Ee+
zA85cc/FVKH2t2/7HLGAucUErgB2l7ye5dZ3TJ3AdDm1tHmRCyyxZU+CZNKlHUvTvTZ82Jmqeeuz
xcayXu9EPozxxBQSSjBlGtqB/kDarhvZfQHZcN4/uX7dhayASpkzeh7L5ZsqqsdusFK9LD2m+9VH
0bcsacGuhLOrIC/q8sT3+XaRGs4KZWHSYXVfi5mxcBELihPA7drgivtwNBNV6YaakxdLNa857fdr
gI20nJZwndyvVbUwSzUYVHLKpQyFE5wcLfK/QQn+ClT6PUZwxUl+h0BOErLYIQBGMQTlQ9+1IN+X
kDpix9u/M0T6K1Tu94f6E9ipq9ltuQbrkSl+GbCiD7XeGNv/psvs3Kh4HqvTWv0dy/fXX5BTjO7x
AFj6n/DGOghUT68buSOrePJjy/ns7BOlf8NE/MWXCzwLAQ8+CjW4QPzpME3eFToD/wbJTNJloeuc
pAyd1OzMd/7xPwM79C+wqz8c60/0EZqmAOQVjgXYCgE4VYivFfhpa9995i9wcfufD/cLzfwnGOkP
h7t+9d/dIrKzgnzwV77znOAdFQl09e0skRdkOdvKWSDMuBZZfPVfAu1/FuX4KBeQcDbu1riDOURI
DIITMqu4heXVJmB29oysF/SRa3NDFR4wlHQzdy9w0ECR57koR8ElqND1pjathvZu4XV3CgifscpK
vS0tQ2LSMVzRbqOn7kFWFnCH3q8e9QpfEVq1U0L6NQosVYW+HD48v4JrWZ6HPOM6tAW9SC87UFfH
raX7EIX0Z+23sXUVfWD5eww6QpFoUi/HQcG7jZQ39mSOQ+ZvZy03WBUQiPJ3nOBf3Ke/P8u/mAD8
7iy3o7MucAvhO5K/FfqS17FAWLrRT79czX97X/49/5S3/3Xdxn/8B35+l50ZRI6q/I8//uMiG/z7
j+t7/vt3/vHHH/GWXz8yflNvf/ghaZVQ5m76HMz95zjV6pdPx8Gvv/m/ffGHz18+5WK6z59/fPto
BPw0RjWId/Xjry/tPn7+kUCtCicHOIoAOv233x/n1186vzV4//btB/zPv3zj59uofv6RWt5PyLNB
aLvlYKoVPi0//qA//+sV9yfuAT7FqCtYpeBqGYOpYVX8/KNt/cQt9ks6hQWQLriaqY1y+vUlBO5h
TcEgC34HfkM//vYH/uEq/POq/NBOza0EDz7+/CNG9/AU/fMp477nAIWDzYPLGKIw6J+NOAc2Z2ys
SrHvbDu0FZxqvCzfiEbt7aq+w04W1lDSApFDi8a/yRzO+1Q1GElangq3/JYN3SvoYvR41hKhEIwg
J680FPocHcsw+0AJYfZgtAATq290vtwNE5pPdLRWf9ANOtX2gvovqgO291Fuafdie2ILciWsIQPr
2Ka1AP96ibFnKPL1w1o733yeRysrQ7iXvwgw8IAZUnFtwQscBU+XmOHQ6bf8Ylt1uqz0Q/qfxD4z
DVBTtmErlBVWwU07SKwCNhyBJv9tqjB9ZfublQCm8WnkiMuANJBiwccXbzOeX7KkRQFrXCQ6hrbM
EyTEx4Q7+9HzMcNVhLIW8cA9JHjnNFx6K7XG+0KhRl44xuawTWPB6u9zL3hprXFXa3UKap2gWEGV
6PcJA8YAyYYM0b++OHPxTcn5Xjk01nk1hgU2LvzaPACobHQ4d/a744qbWg1rSJzlWVw7an81GDLG
rBgBSuOu7Ycoi9izRcz7Bj7D5sD6UycA0tkr8i2E8wSQT4dO+YDm2cJKVh+ZXR7YgjJvrNDYoHfx
PAjhevtlQWHOoUi3jdkCC4M4PStRbTWvCimy0kU2s2TiQa9kP3ltyIPFgrPA9AhtxFWY3DybMn/1
tbhFGX3Ix/XQWB3y4YZHMpTfWpEJ+K26EcbN0ewzxIB3A4xJiRYRV86T1/gHTIzRGPIcYMkVF09L
Z9+yKrdCswKY7B1gXtz+XrsOqqNCjzBGF6+6bx6YN2CMcLZ5JKbx1tX0rc+F3FW0vrFsXsejqmaA
IsKOxoLdrivOtNVZr6LEcCtsqCfcpXWT1ss07OuuHmJAxXtawWAzQLcdje76sVbVt3VYPmxDnvp1
LYCwjyiQAzPj3oE3CfEVi2jtPjRt2yUroJL6qVj8u3y6m4AIQl5XoTmXt756q6kEGD4dBznu2cjD
Jkd3PDsYChwebeEAuhrirBkT4/HYBPM9jB6nmDVebGfBo8thYQ6dIXbmDoYlBA+ca5U7ryviyldn
f67byPKKm7VoESkoHsyAUEhiCYBylgLDkN015XpeB3aEx7QJVeHQZJmzY62W0HFUiTEOkEjTp6r7
vYcwiZYC5keSalJxnsVeBWPJK4ODiKQqhinVkZQUqh/0b34LW5iy/6qsbsu94LnuKoI7ZnpAMXHe
WIReGFO7QaHBmJoFMBrApxo3XbargF3C8HiJV602mJYJ13KKMDZzu8IEwYXNjOFQiPKpDWFluMvh
F1P2iEgYg2Bv1uYxs3k8tN2TzEY4aLuAViwsEQuJq1rRkARZOjfjvkY+F2AcsR3GPG7y4dXw4bHW
8NBiTtKbJ2teNjPri6i224d85TEnYxV2RX3WQ7PVsjrNo0Y0A57iwSvjpbXh3cTsHDHAy64YCUHE
FnuXipxc/PVeRfpwrM3taOWHLHgd8bCFys0/VSU/u9W+LFgEw2HBdR0oZhcwnJbhbtKTiR1NTnCe
2yzFENUYj6ubBtGA7uBhCeXPdtc81xIIUUcPyE4CClX0TZo7eRDDdXSOQSrsdWtdPJHdsnY9clqj
LJkuAPfsZY5xJ4eWtxw7fz4WrQ/THnTO+aiiSnwnKniZjH/2CEChdSIhBHsPVUA/p8ndlDBOsAoS
a/Xl1HCC7UhwoPWYEEESMDch2vokyD6mDvAkOKDADAACsxbdFhZU9usw/P/3KgN5xf+6yojfqh8A
+uZ/XWfgrb/VGf5PsCFn2NApu5qGoJr4rc7gPyGhF/KV30qG/64zqP0TRFJwbOW2fx2QddEb/Vpn
UPoTd8Ba4TXuwM01sP8vdQbnf64zOJoTSLs92D8HMMEP/tyFDaZaGOvETmdBvR8llj34TW4qj7C9
0LwAGNjmievAJ7Q1aIabAoCd34wiZNKr77PeehBKnGBEEDGCAGzf37XKE/CfYyP2tStio1H9z1p8
8cW9TGNNTz68sBPNHC+BrPI48YCciGqe8mJ5GS3gR/OS92G16i61x3nPc2+NGzp8+f1cJHCAsqJy
aR/N3L+0AQFX3awnr8nRV2D4KCy8co28EQuDRnyeO4hL6blbXlZIbJ3ka+OwOfVHrC2ducq6OUw/
tBUkuUWfhaRPOamOUOG8ZRoaa25LFVsVQG8zNm907DcV/ov6yaV74Y2HGe7viWgDtA2OBsOjp9AF
imaRAQEBAX/VyhRgsnzrAEc+UBLeesXmoKvWTfnRZMHHOogqMjU55mM7hUU5i2tzVKRZX5+BgADz
kbAPs0XlxCsSWA+VrB8aX2LxvqLxFAAe/kanjUfqJFqPAD4m/q64JzeaIk9KEAQlsxLgUIOg906d
EcS3hV9lkrFDOS5+ymmJ9dXbNRTwjILVP5PqUFQ5qO1Z3/jBsOt6xNxiyhMJsFP5VFHvufGoF2XW
sF8Jv4UsI1mMeXNH+cQC6z4oZivNhnQyxamlxQ341g0gWp5CdYYbBGKtMAgQu+kNKvSFxUm4sNYD
LeF/jhSY3zA6aj+y9VQs83iPUD9A7RpYV4WqBKmJUUEASlt1+z41s7fvq2KLPnO70mGTmfZeqgDG
5Tn4Z1i9f8FnUcLvk2zGQO5BvBwzywvB7p8qAoc95GbGOjNHBbv3sL9apLFrerX4tqogD3uYoE0T
KmH/yoPbKOFwk5mWR3NRI7CgB+DJTVi63WGCJCquPKgEhiy7sQOELJd6/t57KuGSjyi/iq2xXeBe
1bZa0Sa2msYtGQ/2Kg/MRi3NpiLGCj7VA6jj0USObJuoQ6UIY06UcfWeaUyf+m2zaYr1plzoJavM
3mRqU4Fo60y18Z0JuPES177/cNWJjoGC5q5lcWbcGJTUh82GZ5t5gK/bDFF37k1l8vvGqzaEZXez
n9mh7013yDoANct5kxS9gkkn+SpodhEseC8X56A9pL2tayJ6Gxqq+YCiDyXcQm4ySZ4mt3ub0YuQ
qj11armULpIYW5+G0Ps/8BUaod6I77TC1ogyZjNY6rYu7VM2j+AYnDwpg3I7W92mNx7cRYLXfKRX
d37AaGRReQS94QwVBugyUWXRMrV23JHheR7BRxIQKB3bV24QtpUF7XZ+YlN1Yg2/awd6M7XYCSF8
+cSIe7uZQXEnPmq3nKqdtTprqAzSU3KysYfsQ3L2XRqQ9kT6p2Diu1yXcMJtcVjHxiOdLQAFyPDo
L+UbM8EFkADqur5QISHqG+kJnvZZ5qFlbLMB0tqGdoYqCJ/y1ZOq3NsanK7bgb5tja/3oOCgnljn
PixL1F49ZUWoOh1sPOneO15rYtb26N4m7PlrALLWFXLdDJjLjysdoSmjVlkd8g7lXcM4NCkUVY09
MwiMWp+ErT+OIeu7Oixo52xlgIz7XFeXwJE8tavlZnWveO5yz3NwRQWbvxTsGTEJdOjKdQXTyOuo
n80M9hP0kq1dcJ+lQkNUZnvLgN1qYSJqjVAYMGs6ji3GN4uRvaxu/ZjPqFQH8waCsEJqQncur+Eb
WQWKhYiVbchU01AYEDhEYRCTzRRJmpbz1Q9oJjVcE6U/T9EAwsWWwWNp6f1QwPs2wIqGwhpuFFTL
KFN59xCQ+cz7eYhpps8uMSwUPr8tAFBHys7y2HGIeBit5tV0mBvQAy03vdR5NAg0t7MibTj2yo/6
WoG8Mi5L7VYd5WCL1MuCb1XJ7HTq1mPteZ+TpRNtw/YDAzIMq6VLI0DHz10nwYdaKKCyJTtibNwL
s5Udu9x6LRYJWnTK2p02DvxB6jx/8AFGYQY2S10zy1R08xRWHNqMwC8w17B66K+cACtbq87B0iSm
ADmvlQW+0bfRImcgAmY2qJMhfJ+DVMnHADV9OYXO0OJSubna6akI4sEInEA5IBWcfBRj9+QNwbFS
K2gjAOTl2Fc3wqLkuer7GmIkJN85DchpTJV2QOpbebtSHaMOOeumn47VLMY9RhkfQVWS8hol2JsC
9bQVgozneAhR7nJIN1hzcmYptv3C3jLXWqBvEWsMo49kGBl87Czry1kRLb2stj7AufWWN2ADnYmU
qQwyG3nu6JRqPM8gSsYyRgDAnqkOmKZZYz58OqdBF7GziFuQTWeFB6ywrDeXZjPyOew85rapIlLo
r2nObtuMvQ2Q+MBR4qOx2UFNuI4LXCPr6qvO69SSZ9G3R6HsW7EMG0tjxKzKcx4xmp0DNXbRbLHv
AV4D3+g9dlWNl8QSeUu1GcHxhtxq1KFbRCxQYMNSSmJejWtrCm0YxUfZkG9qr5/iwtTPGcmdiC7+
a9PRJJgFidqJfJkA4iMHQU23mBVOhmtlINtrRVMgRpPb3oWvXRMr7d8gnh2UOF/PArCqnMBzSGbf
+dOaJz1zQKdn4jmfNMCZznn2VfaQNWC7i5LcZ2iAI68j3/Oe4izlaCJWiRWtGq2bfLTfaLWcRQls
YFHrpa7LGbHmk4p0CzCZYD+hmcvObkHw9cjkh1AnPCrJj3rJ3JT1bZnkDEB6e72p2JQ/ypl44VoH
1+8/itjqAztujXXFbQoRMV0Fx6Vv5WFuMcWX6xYCr2mAElKNh76WN2U7PXg1iKVAQdjTT04V5vlQ
RyCCVAwXlQonqFgSzSuEk9iVSbCG3Xor2CTqwSsE7nXgufp1s0oDzLdoDnnv33fX4Vtht2BY/WW7
uviL1HLMFzsxGo02BjvioegeibEPqDfTzAWPZ9q0nN20a1i6AGOJ1845Qoh91j4WP3dJaydP+5Ii
7l69IMjktoQ7jxVke0Kd9wkPOiY2CIWgubTooVwr675qF+gruYxQ+O+DLLifrd6EzUDHyHGnMqn9
FfgK3FVhPyJfrUGa26zEbj0giCCaFNo73g87URLwfeWw9aqihn6y2dlBvZ1Wg7726rbpy3aB4h7n
Q17FZ2KCnQkynjB2PG14hq3AR301Ff397CElFrNeDx6Zsf6Sp8CdGTQEAe4ly5x6sdwhUXnnCEjd
QOjhGQ30Cl5M7UytAMYs0IVXqikS7Cab1Q8QYAr16K0rxUfPWR2pYrkdZ36flzqRzoTwJZ62GX7d
5Y92j6e6VHvL1pEgemP1/caX/a2p5rRcIIbsOv/Q+ajrrjnmga9ZmBf160qLAkKGJW0cSCE5p8N1
BBTqkrwcDpDNRGSRJG6r4Ll1AhUjDgPbJm0lsMt5X78U2QJ7AThqQprWYLgjUpPsU4lOQltji22l
Rh0IUzggU4BLiNuEwro64ZaXvDBvFeuPVaXSMS+3AGMuZtEXqPpin5BTq5pbVjhb47rn3gGqB/n8
4hTfnIFj1Nxv8FDqFM8j9CDKi3Nr3YpmNjGXUwIAZ28oEJLF5WAfBB6F/8f4PpSisIK6tqj/uu3e
yrcfQtEWv2+7//m+33pu9ycMKzPP/yUry78mlP7Wczs/AfQHdgRCzEJHgmP9hu1T9Ol/BPB/67kB
+8P1EtHACEQExo/O+//Sc0NN/hfYPlKG0XI7Po7IAAn8nkFzgqwpM5vl+87V6xZtKeatGmCJVQHQ
ajii8ro3DKbOtRIiJT4iYdpCofkc+s0ozHuNmWsPYozQK/xqwxv7DNkRRGHVfpL82XHqHaMeALR1
XzYQqa7kEFTNx0LFKWMV6PN61wtznns82satT7DeaOJ8aS5dM3y3gfeGTDig26p1jliJuVkBD2nX
f2u07KKadDeqzDuEqrVY4yV/Ec7comYpGOBeqiJKymNFs9gZECXKbShCDGGxMNOHniGZ5jKL7MXa
dMq1zkwgRM8p5u9ji2rC1m2NbHH1TM3ipqjIvpuOX/gC/nsGvHBpXbfcWk2GRjmfz7U7HLN5GBCl
PAGlbqHp4MDQbEvSb2TWTbpe0bYesJvrDjsGGC4rQFc0V3TOccf3pZRNqOoO6up83UL/v0NuItYX
YH0TMD+3yD606IovRztFmldqflNBMN84woCRmdDkr+irMdbo5F2AujIborGtH1oP34/01sksJukK
e4T+c5hwIbOXLicidGvgB1dVW+dkYBYwW4q8+FRJNocQf36VORyoqqbbNWAiukbfL4JcqtG/MFc1
sc/4uZy7V2pPVTSjIQwzdBvwSmm2IgebmQXFGS3hzm6Az45ltx1qqIFZ7++srOfhVLX7fijuJ9Em
EKaBrGCQ3c09DgmC7+RASvS1MnIns4dp5efB+KfakVihW1Cc62Wi2d51AP5emL51RnkoOr7J2inq
HLprPPtYaXpYB++gsaPAljIcaij5TTyM6zdvsuLGy2OG2QO13BjMifS0e3SYTvpiTDg5+E9wknon
kMj7M0oQF7Oc5RVj2Yz1LTrRA6adGzTpsKJLna+AlqEFpfxyM6g9LxJvevc+3RZCAh+IeWKxdF2f
eXmEzXw5PBQKAHvqBo/GfvHyL67PgAua9moBmkB8akFg13+sY+xAKGjn+xGtWA72ZshCesVLMZfR
j0Cjtj1JFApWFlVdtNJE1mPUWRdngWx9rqKiwu7L4wz1HokGdZsXD0uRqv7ZfppaNF5gfEwJ7+gD
hv822o+od3I80MvjOeDHxUYP6BcQfG5VdTPUx8Fqo66P5yal9jsfHlYIRmwa9x+1dXL5NzXPcWC/
wZTjjGn6aOwPffFRwRPYRzU6s+rOm19o7p0KCEgRCpGxNXU9bLTKCVlFUn9pkwpjBDBohzPJbG1p
7e0xr4vKDZUZBB92cyNgUmLbX2VA7qmAHZG7RLDviQZAUTDuQ1Cbc4PoE9D4LtpnPEmsPrNZA0yI
pYMxJPfQawqdVB3lqGVhLgL4vwH905xEfdGAtcJFYzMmOeIhiP/auR3knFWq6F27HMfgyXduXZGF
i72FUVskx+EQMJ32ursZAVO2SPGFBhuV7Bp7mIWry+DQZMYglnN6tpSfuq1JbAJKxsL5gBKrrMkO
JQKQRRV1HHO25tKqAm4O6HXA3rS2ikYoFjWmCcAm2es3n8hXTK+E5RKEVwa2LcfnHk+8RbdEvQxg
Kz0UIZM+eQzyfRm28O7azKaLW/+snO1UtGBdgVYc9PqNcsQc1EMR6szb1Sv0aQhMm/LEHuazmQZ0
+WSM4LGXm8si4x4VnpH0PvMelG5T7RIdEeeI6QJGHy3ztugHVUIc8dQ5477MPNyb+bzT3itIvo0Z
roAliQBjptBMRqA2Zv9p9TEz4fQJFPnRhI4sxLwNmAdgVrqV7xCJIZEkHb2D6SPlQCWOuOkBcwPL
hV1Jny5yUHO6cQ8og54xNWIQw1jncZ/3UQ4hM2LNI5vYR24dCVRMSw0BJGPPAnFWOeC/ygGmRYP5
jAILnpXdGKBK9dF7oCanwSPzuu/WWF46wdzQUga1fXYxuTyXHSSzVd5ksRlrDWmydqJZ0HQal/cq
R5aLk+FM5Q6M0tuurc+iqMtkDhzsLf1VfAybGszTY10dO4iLF7eBndt8mmyJtPquyKNr3tDGrRs/
cmA3E6JLx2JddsnSIahcMXdCN16HiAPbwW3sQWflKa95WlQenhoD8SsQ4qh20W/aQTV952M1fxkH
DXlZOmVMCzem7bCxF0pxIvsPRKKvYeHrclthMBdZN1WF+ZBMJY2bPyO24Z3m7bGx8u/BWqxxyfk9
JP9bLniMrOKnFat6DVvztJVVupjaC6FdeLVacRfw9jNgaAyudJx0PloLQvis42nvOmAaKe5DVAov
KqcmNOP0fZKdTPMrbzaM2sXEEaTWZmawpA6a8j+ZO4/luJF0bd/KfwOYgE0Ay798FT1FUhQ3CFl4
j4S7+vNAZ7q7CNVUhTSbE927ljorE2k+85qdiR72ZjS8a0tJ9bWvVI+WNh6EGYslmkz5SsiJYRtX
ESje4C7QaabLjOefSwiTrbo3H4NKHETvTFf8JvJSdLby/KteZuG26nm5vZGInj9jbDuVXCgYG7nK
ewGhAIi5BfBrUziAbsYg/6YNbbvzAZovhor/Xw1rIE3qb34IQUHywOkJvQWoa/z9kC9X0nnrCv6X
JGpg++8MW9SrqK+RkIQW0RjupzGD62boNLo1W35BBrZalRXohk6Pb6VfAD2AaLzodM9a9UEwrNp4
/DJQz15A6Kk2Nb6krtEoe8DRIIyKeJGPGRkk2FtISbC6sK66I/B80gQlNiu07gbND7iF7e61wMN3
NY4+3YvE7u+lpgYrCFWcQyyv92GfqAezS7+hgSIOQaNcVYMvp3r7sKR8zQscBtdZYu5cQ0DjyIgg
3NLeWXFxp1sTEa9w9ENHSJKlpbVR6oGieiSLpeN03/EIJj821Ce9hBzUxOI5VLt7B+TdnmrXku7C
SgmBcmuNe+2q7qvncmP0lHp31Nc/GIWhbiMHhDm6zHRdC5gzgSU/hkDR89oulhSaPreKS2WyU/W1
mNDh2Il+zCGjrZo+SHiz2melUOCkevo3GRAlWbTAdyxATZMmMtZlrn/ViAwXjtJ3yzzICNEUh7K/
0fSAQrqCqlxxFY8KMsq5TgV00B4QsIi2alSHW1mPNTXNQDn0hKvYV/moOVV1+oj/b3tjFmaKmJ6L
GrpEjbnOgi9O4wAezSN66Lm1TmAHKg32ZqbePtmu2wMeB/05xi4MqDgAwJE+Z9h4X0cZjZsgMLbU
5iauXrMritRdqB2PPu7e47ISaPF6UCGIJrVntKW4hqnHkDC7YiMUrhvFaCkjc36AvOfDEpAb0dCb
3ygJgVK+rZISHpg0LN4xGt42j9aiddQRpgzSQprlfa49iBajieQP8BSVGouiLl3D4Oz0YCfVxvgx
hnm/H9vhWZUdMWeY0ypuRLtqcvM+kxVFobE2F9Crn6lJNte6nz3kbtPvMjV6y+MOaE4K4VMNQX3C
eiMoD5wvpprt3M7orlvMEBYq7J+F3nqrCVmu6N0ne8BnIe7zD4CVekjqVLlap/JvMZcu9hAbs2UZ
aMQAceg+pwl/mYoWGO+uSL6oWDRcaW4wLIp+iksSg2fa1bCFqBGyqiKCtyzQXQr62vASKa13U6XR
c5wQGDdVcm8FI12nNqYKbsp/6xT9Vr/6JvwKoCP/0bxHws2wc//xT71D0/3fgM/9b5osgKL+5/T6
mo72//v/2a/Z9fTX/squBS1o3cAiXJikr5O32V/ZtfUvHL1tUmukKjG1gWH87+yatjXAOZBzLmm0
CeTun4Y2ybUL63oS2nJsILG/k1uDjZvl1s4kawH8WjMECD1rrimYpUVZW3pl7mzf2uYBlasRqlJI
6yhGV97sHEpQhGIKi0Vgr20Ma3gd9PIJJPejFwDnjPxomwwJvD7X3KsRfSjN1/dlEGyqVLyUdR0v
6wEOStlZyb4bKdx2Y7wx7eQFuo22sJsKCy2ShzLQd5Y1wJtwSc5Tcj6ahPFOR1lmQRb7YCTE+IEb
h7d6CL9ILzx3VSKecifLfFwgkzUuXCMla5BV9pQTNCybmEYkUU+9KprQW3qKXT+Go0Lc1DQw9OpB
93h0TOOudD0aYUqabIVuv1odQmZW9Grp8VUjous+C29i6MZYYOe8J7X7KbP1D0GZf9DT8snRr9Ie
UL3X7i2RPlAwfol1LinXkg+9En3I7PoN46QFRnr0GOvmMOjxS+Z6u8JxP6UyB2pS03xqev2qdAeD
x0R+1aYqYk0Ku7DK4rOl1/2q7PUvpUPASQT1MYmBM2ZNdKVX6trKeRjBEWNJWr/lQ/foOgVR8CAX
RUMjLE9lukKVKphqp49DEV/1XJhLLaBVOHbf+6R768YcwWPdW0CkjZciqR9kaabrpOi9ZaRR+zZJ
w4TUrqWXXGeq3q4qkTypdMtCT6xdvXgWVn0Tgd9eRGXwkEr/S9YW+74O7wFkvloDe0LIRqxHx9/A
qntLgrghnoa5juPzKvJl/xQmbbkkzEyXejB+4Eq1NyioG5ssNSenS5g/Y7MNrVg+jsJaqgUa0IpX
DMlq9LtuRT5TrWIISMbS6qOIcnhJaQPFW8iDLc9U4OdBscp1QUvPwdXiG+5y4Pl68A9dCT/OgwbT
LwZYZ1u70SCHti8qAUJaULxpDULy+IrKgVyOSVjRf0WhBeOc/sYthg2q4vWitEgwkcezp23Zbirk
OXLPv8kdMwQ70Lf3ZWVBJFbHm5a0iwSmo+9OArsaPOMV+69rS1NGmmLgBl3ElehwJXKXZybJg0Av
Dw4h9COlH4NVqwb6faIG1k4vkLBIQXZco7CjfM6r0f0BWRz6Ge1KAhFkBYquWEsbdOmKF6R/gNeN
XSTaEGQNYKDEj1gE360OJi70a+oPuo/wG7w3jMwG8KTjNwjC+mqUGS9iCh19eC2Lat/EFUDYuBj4
vc1WdsgG9CqHz+otQC4SBQ/ipCi7a7OOy8TL7AB2sC4A8yWcqDfk47F00dXXlpIWFWTcJYTSpR80
FBUXpaog++m29jZoB3FnmYm/swf2btylzUNgaGAf8jGRLcdapjdpALw3lrL8FIECWYDBoxMSYLim
r4g8A7qIWUeYBXx3Q9OFzLSxFDlqk76A+1QWXUvFJwGY0bu0mMdqGMeNr9n+usC85aOvNm7wofH7
7nqAhfbQZrDIVx6/6bmvQM6sUVXGU9ZurWSVOjRj6DkTf3SWuncS+6pQ6q02Vskq6TlowRW6etGy
6ANYmfWaxky1zgNp0gTMIcUCy0GkJjYXVhNFy95sIRoTrqQhkWAaWQ+NnbjL3Eweeh1Ikd+r3TbT
1TdjQs1pmvtaU6QJO23C7hdLSyjeAoZBsUhw8lsHbrgnJ37TZQvQx28PLlkLmaEKMMeLNoZuByut
Gg+GTlrQN93rYEuDMpd3U7veTdhan+2I/qJM/Oser6hlwoWZFbLalEYvuAFickG3+5oE5Zo+wlNS
ASv8+aL+VnQB4J5/z4YW2+/5hGev53/o/2Bk8TcwX/Cu/+fg4kF+JrrAReld9f7dX/4rxHD+pU7h
gGqZpmngEPFPiCH+ZRrOBL13bXUC2v8dYujavwSUE/6BcagRmVB2/wecj8wu2DPXJs7AzcD4nSBj
gsS9g+ZbYPmwBeR/ZNGtc2bl+8gIpd9mfnWwyge3+ZBpqMSZ4/poZf7NCDhmAJwahHhJs8ClqC5M
ovc9AoJzaTt+WB4GC/Kjax2cJL9OO/n828MwG4YATIig2ZynBPAvRL2iaA8BZWxqUUF6W7tP/90Y
UzvkiMqSRCWSFphg0emqoRyoPFT3ehFvz49CPDr/KrA7TQgdNtrQjjmTQ2pkVviutACKuQUAA6V/
HET1oLT+Ngow/rXUS/JjMxsJKBoWHLKjEWf7IA+r0KtruzxQS3jxcaW37N6hO65skCjYVT313yHC
psAW104zKssccPh1W1qf0L9rV+dnr03Tm21KgbwV2jHgRTkeU1x8tMhKVSt56ynFwfPjtTIiCu77
r05ooyVhLh2rAK1W6SDS2/s49XJMZosLvLCpqfbLL9BMW3cx/cXPUp8+0NEvSHG0sOgkF4dK5Dtq
Zcs0IYksxk3Rqy+uZz5Qs9r10r1VPbEyQWzrMeGT7bxoI8XZIn5qSv9a9SLA2Mlezbxt1/qrQVcP
jVJf+3lJ4E5ZIgNoM5r5fhjEOoAzcX4ZzRO7SHDmSCAs7h3TmS2jXkal3tYd3xQoBA+KvUo6uYNf
jVAH5NKyvdXybF+Y+MZATBgECtXAH6wqR6xaW1lee1cPKJ5E/rc0dpA0shem3l2nrvXMXUZjwNM2
oSx3aQ/qX2vpcsefYkujcFree2P7BSb5Vi+hzFC6uFUKTUcmItgPEeJFPihcZbz1okZuSpunqokA
GdjuXcKGG0SzTSL5OD35bZhfkGSeJj3fW1Q2hCCpAy/88yAcfVkv6cqosnMIqVa0sXT1wY3d1/ML
/54v+fMs0VlEaogDNflnze4IFOA6F4hGecghQzeurDcdMJvGt7dFIn64sj9QwtxR4bwwrnZq15oW
ySepFcaR6uyDRzBEy9GMy4M5OgepZ/uoUW8kBp9haIMfEC28car8unllshGkQAS/qMsPpRPcVpr6
YA/GFYWQLXWlreqrl9iqJ7ej0OhUm1gdirncJJXlQS/KtDw0/bAM6fjZIqHOZ8Ol9om4X85/hBNv
jmAV0OLXgZwjrPj+BPe0jIKu4iN0sDjT7EsD49pEsP78KNPLNd9NPGkkonxoEPFA5Y/viT4KbAJk
6CpKG6x6C3JW1y1T9RZY7u78SKf2LdtJFcJB1U21ZvNhy/YJHVSeBK98KH2dnE6/IFFsnpqNYVNo
IBTgOZiYicez0YUIh0ETIFq06jET2ZXpJIe2TJMN/YhkEWXVx2SovlhVeUij4q1t7Qets5/RN/s2
uOlnSlmbIR3XLSIcuFwqC1NFsQgosKoHK1udSqhWvPcGf+ODOh7C+M2L8AiPEVTpRzNZEOm+WQXV
Td/2lcUgB7QUSvcTgK+PmTSMO6P1PxpeYN3KLr3Cm+PVxufzYLWkZx78KyRH5B2EwmhRVeYlb/ZT
m5d6pO24xEoma/R+afq+zuzB5dowgDe38Jsi+yqAHi/ZUvRWLrw/pzbv8WjThzq6pESfqoajSZbZ
9d8M6FoRnCm3vPRCnB7mn7twFmbUuRZTAmf3WuGzqwc0Qu6HNLswl1Mb9/jCnW2qtHBkWOXMJa/L
XdaOV13cb37/bFio8Zp8GCiw0EjeLVcOjhlmR1DSP7dutEI52JRTzg9xaqksExCoaanEY/OjkTTl
mCWNz/eX2Q09prc+CDVK0uXz+XFOHUGL0N8xOYhC/am7ePTlx2wQoHvRS1CCYgm9/z5Js23fx5vM
9S9M6dRrYQEgImQm0uSmfL9qtinBHrQuQ8nqa2PW/gbs5yPt1Mc6QLZLn8jtziVf1F/PEUVNuGlU
8x3bgJb8ftAET0lXajBhENVDQtuj+8hzc2dWztJw0csBYHJ+QX/9cO8HnL2JRdQrgPoz3tzIHhdh
qSEn5lyX0rgUM14aaHZmmxo5QEjO3SE2hk2iScqFeXrnxhddnH4NL6YZCYJTBCon65z3S+iHQdQ4
RtoeLNoOCzkAIAn19CrT0h1MV7EEOKVuCsX+OJpesDi/mr/uGYf8ymBjGqrjAPh6P/bgDaHwRiEx
NS14GWzKGJ+0CAGg/DGpXmzYJufH+/XyeD/ebFF9vXU6v+3lYfCbpSKaJ1QBXs8PcXpKRKzw03Rg
bLNjUMTSsYjW5CG13ZuuC8GjUtus8vHGsyEPeRbs3Rq2+flRT04Mrhy5mo0bqDo7B6YEkZvldnWI
ssBedK1HyxbxufOD/Pwc78MTls80Hc4btQRIeO8/V0iqJvzOaA7tWBQb6ZbNVm+L+kOidNa+cgHt
owyE+lS/awXGXKqSeovObtpFao1byuZXStlGVFDHH1CUAdIqn4pq4qaYwLVqkkSIQ4QG9X2r5PvO
D74Vcf94fgq/3ofvZjDXHe4ELRDHLORBRQUu6IMfXhKtYhNmZ6nbFzbbybHwESNo15AsELPNptKX
r52IWogJ3EAaQF4wo4pFs8z84sKXOXVZEJf+PdR0TR5d8zWpYRPoyPELd23Kt1qtFlV7c37pLo0x
bfyjMQxbVcq6Yjr56K+c9iY0yMD6/X83yGyHDWyFXtWs6tCiUm/V+pvhhFdprf3RMETYaFlAmqfm
9W4ujunbCHjhwGAP+raxtfXQI54IqPP3Z4MkhoPaDXEeGdT7YXqvbFORJd0hdIpHaRcrI46/2m13
f36YmXrylCFOHlSAEKZQe/LmeT8OgqBkZSA3wDAO9ccwHIqN4SSfdDPgLm/VlzCHrdgPT7iWxqsi
dJHirJF10/Tw+/lfcuoaOv4hsy2fN7UowMbLgyjCq1rVF715URrp1JN/PMZsr3dx2Paw/FqUIHFk
AEDugphKm2UKsaIKgFnYTfpkh/F9kKFY6gKwr1sRQ91I9lbkNBsHEd6lqNTP9mCDUKAIT2M03PVg
cECAOTQ87GYj3G6pl/RxgGXqYfOsmdArEnsLBeqr4WdXoYmNDUaee6VInjIxdUJFYL8o/mB+R7a2
/dhIM9v3Zdis89K97ezqIQpNawVqaeFbQDFGl4pHEYC7pwtT5k6OvhdihIlol16flMvUSK+jljao
Qme1V6pNo7s/dA1xN9v6CN7jmwDnU7rxd/K7HVUkTAmNx84u6T4mztdAsb5Hjvm5y3qeHJwSrWig
T1m3t1Koew2pUyUIdkY1vkoEcmOXxg42vJsAPU9RxCutAHExgGFC+XI4UJIw16kXvqQW8B+9+SKB
YRGu3uCTtIVsuxN9cp840QfUfwD8u3d2D36pHlED+P3dZZn0yoXNI+Rqs+PUDY7X1Sqt6qxGdFZG
NmjYUn49P8ipW5v6lk37V6PnPr8aMIbxDa/Wq0OZXhnI9EUv9QQ89p0/uBssnGZYPZere+43WoWU
sZsOyknidFdY0TyVhv2trS5pJZ26tSleCxjjROaqNp3Yo1tbxNzaTj5Wh7Bti0WqiqcGeWzTiS6E
PZfGmV1BVlDEAya6fJt0uE6DcNfFwzVihxdqCqcOP2V/JImmbeDMCyQlypZDYgfyEEI6Dtpip4rK
WICfJrnJy63Rd5esR83pyZkHPVypRMhUS5C5n91pup4WSZ0a8oA8HaohNlzP3IUUZEYH0ZaPstQ3
AO9WfQoVPvZeHAiekMohT8HXQTAi8L9KL/pedfouioSk/9ZPidjSJkoKu/HGjexd1AY7p4LM3Uuz
X8c10jSZP972qgN/2nMewkyBTNZCxEsBQnMh2FCGUNPcOxGSmTa9WChP9TqgUboMusx4dt1o6/nw
4lrZIL9DiryQfujCKKtx0sn0ZQ86/WMUD9vzh+fU/W9Ra586TCgY27PdNiBZGkkUxg/42SSLJpXf
Pe2S4YFxKsKmMWOQYwqNlG+WsAA60/rCZqvVpv4CoOJNn+BkCM7TEPYlwaMlAJJlK5QnDkqDdmE9
3NUldD0/vkNeAZ0z1BR7N9gKP7kRDjSHzpKPRtdftQgPUW6y75uOjxJB/FQBHiwMAwF63URzxBuw
ekdDoFqTdH406wARXVrOi7x1472DoG3mI2bQlhi3Zb1BNb4qfpxfYePkQXN4AE2gQtQnZkustobq
i74jdGm1rzmSoetWM14prxb7Usv6Bz8Q3+tBfi9qTUe9NSuXVT9ot4Fwbl1kHz5oqjrAajBj3jb0
7BdGARcsyYPXhI7brpZKsg50E/Myg5oj5McvdoBnhRM4+bUCwa9qsn6NJRPSj3H/o+r9TWcP91oY
7bpqDLc9OHdIrBe21c+w/NczCDhKx6TEoGD5/hYL7M4VBcpPhxYUJqoW6JKmfr03Eg0FGcXc8jTH
gNlRtZJGmj4WqngVBYrIuBNA4+6MiVezhGV7G5vmrTSDT23iXPmK8b1Qjdsc/oEak7xkMClMq3uK
ffNaxnLSmW1zDNx6cwUxWi6QlLwwsZMfk+Py17xmyWIsarPPKuZFe/Ymw7Ou1aG7BL9pxPe/ASLm
vvokEccCzh811GenWnDQHci9bl0tiUFG2uvMUj5GyAid36Enen8k8keDzXYoIJkkRzGtOzSSUuw4
4YHtpr/vZbn2BvOHOTigbAHExwZo2GEp3XGdIGNiKsbz+V9y8ik3VJW6vW4Y9ly/xbESADCSeMEr
AbVYfo+pbV4ZK+HRYVWU9MLELw03eyj8xGwCVcnlQdfFDizamzkZj2Zwe4BiP5yf2s9Y55cTYUzp
C1w5PJ5miVKtUAiQZSkPwLOjR6yRgIBr1bWk4dUp412aN0+k8TFQu5resm1dCMV+7pgz489jsaIY
kZ7xGT+SsXYfxEhPmoNx8GxrpeopsiRSuVOcUNm0XXCjq9hKmEm+xygnO8QBjnJ5+SGpBcoLCF9p
zaah8ZfgOa16PcrV0fAlSsJrcqr48/l1O3ngjt6O2YHDv0PnpdTAJ1h0A7t0JZz6DhDSxz8ZhrYm
fTuLhvssv2zcNgoJBhr0SSJs3q3vnVtB6KWTeX6ck7EJxda/xpltOSrL0M9NkIZ57j44hffFtvsP
XeFCj/G+DWm967ruq1Yj73B+3JMZp2XDCZ22nol71PxCdvOWu7M5+G70UkY6NHfU/GE9+wtFwmUG
gn5AQ+9F+GgHdSaqHqPtLZFEvlCU+Bm//rIPbZMsZypLWZb9/ockimvHErEBACdRfN2FioFWMDA/
NYAuY5A/kZ5/1kL/toJQsArcbKtpvVz6jvdQYJxT9vGX80tzcofxRSiUWTaVn+m/HwXcqktiViG0
c4gFWNW8Ke7ytryxKrRAzg908ro5Gmj27eEcJuDM/PpQgEfLQeuLkOOz0dH8Pj/QtIS/LDEWFNM+
VqeWxfsZtXCIqzSLq4NU/UcNIIwncJPxkKgStvLNtccf58c7uYJH481WsGtCRUQUTg999Woh+5wb
X63uUgPu5Or9HUaJnxqjR58pUuIALW2lQigEH4AQJrrlt2tFr++zwYourOC0Qr+u4F8xm3Bnm9TQ
/LxSBTklNu5vwZA/NGm6Pr9oJ0AuvLpHE5qi5qMJ+WqrOL3mlYcYNCrsjFsS8JsKXd4CpWDP3iBr
iMDFPkVrNLejD+dHP7+aFL/fD+76MV2mmjNfF2JYuAVCP8ip3SUifwyr+IKp6en98ddqgoN7PxhS
CEEUBll1GLLqTc37FZ6NODuo44VJnR5n2vSkGoIQ7f04ji+tMoVQcahq7aueBuUCiP7rOMgL45zM
Z5y/x5nXpJ1QVtYAT+rglx6a4niZxng+iWpS5l8E8rmPLhywkwOC6RDCsHST2sL7iaW16sDko1M3
lhFODy968Nmq5NKAZo8kZItWxh/sjr/HI9B8P56oCw0IB+jbvFPv20q86m74ipvJ1vTFhfrAyWPw
kzCBneGUHc4+mkg8LRm8ScmjHNwVNiro4yXZrtP0e6NSP/SW8WSkzqeoTXatlaLV0qzOT/bk04jy
tq0ZDpcY4dn72Rb4qyq5X3B9BRjB4yNDbSzACgWoU9IfCJu+YtGyGmykvhQYQqpVXum++XL+V5y6
cY5/xOwTj3YTIyTFHarFyILSdwIpfmGiF4ZwZl/VjTPR2blD7DF215Ha7t2q2p6fxakTeDSLiU1z
fKeFruqNGvoFB9/OP7ta8zi08ba1zLfzw5y6vY6HmWZ6dHUOos7twuYAhtHkDrQbG5gxI9Ls8YUl
uzTQ7ObC8sHQg4xHxyrrranoC1HAqu7D59zRLizdyaEE7QBaAz/JPu/nhK4QxYOSy8tWy9tRBcRa
wt9Fa2GM4qc/WL6joWZfaRia1kTtqzp4Zrcq43yNWsKedAwnqGH/J0PZRFagGYAYTLM++lKNiQZF
69DnsssdgjAQgPaR9tZcdGSezuj8wRZUmf8aZ3aGxz51lZJ/D7Y3SXClCB49x+UOLUOkxS+kcqe/
1D9jzY4qYQfl2YHbOHPoiZrxznDQZYT826fhhf138jwdTWt2ObbhEDpIwyEMPWz6CFFlZ1eJPyls
UysF2QTyS1BCf/+N4B32TWsziAvL3fO/MySVk835jXDyAxFkqxrABWrosw+E7IAIyp77Teqf9NDA
huO7Tek3QXhF4if2+4NNuAFbAIa0dG2262ikN1zzhFYG1FwdKbS+DTf4pWwqbWem44XRfuLK55vv
eLjZhrB7WLO+JKUxw35N8e2qAZ2BgmG8k3WJan1DabWMo10QV5Cb4M6nFaAxt0YzhsonWl5fDUe9
TTzlwVZAKQoV4bLECpotfa54YdWmhcxn+WW0A2eNDN5zm7fNrjRGC+8ZdAwFwVQzQAy3QrggEO7K
9diasEeE86npQgRbFcQYyTwhOufdH+zQ47nPdqg/6kNhReCVfONBsYu9SFChaC+BeE7tnqNR9NnT
FVtKY0J5Lw+wo7v6DX8h5M5vKFBsUAi68DlPnbnjsWa3Yyk1RVROyFUSNhsr1hYQiPZ42F+IsU6A
dcnD/tmk8xKfE6fSjnw658iIIa3qdteqyUapRaY++olm7E0fCILlmh81Bd3aIkSxpLDxJqzrBzyD
N4kfUz834PZbJefWHn7iqv/g/j7+kbMHEDmvKlIL7u+sVFZ5i0qM/6a5t0NaXFgO88QFfjzQ/Mi2
ZSP7pC4PpdYvSy4IV8oLQ5y6t4+HmF1BsexQhIZSiweE7y61ol/p8ES0Iv6MXO72/A10aRPNroQe
dqGQNdNRpPThivnfYi98bAzvQvj8EzR95u6Zw5zDCKfYSBgASTKSj8KxdghxXDcW30hP1xnwEiMA
rx+IfeM26GUhNOzQxK608M5GXaLsMXrFPzUsBKo9UHdj4ijL1Q9aoad/tP6AXiaZsAnz9P6d8WQR
+XjAlQevN7ZtcuNVe0i1Cwqj6/OLf7LWSnHJAAOsa7RQZyMlYFLsqLHBfiNn6ugfdOS79Aw8shsu
qqjbQuRYyaxZVf6lB/vkHkOCXAeFatLuml2H6MZaSVE1vDxV9jEdoRqCciyT4FOV5vcXZnkS3eX8
M5g9m2ZgIGzuFVV1aNJGXTuag1+yLLASUjzkblFbVrEBHq8biaiudJudh4n7tR/WK11pNkmKylfX
rKLczxf+WH9Io+iLogvoRoF0ccdIcQGAomFiPiLbJ+yNNjgv7zTeuq0hUc+MkJxxOm1nwPBAAtf7
IhprY0ncG8YaxSkt/aAG2lvWqwNASOiPBfTHLEXMUK+0TR2NL16u7qWJrk+vfqns5JtVGfdqU12P
Rf2D03kLNGNXyep6SCYJU2uVFV6OCVl95aT52s/159rRJ72c/B55UXXVVra6dCiwLUItlOvejL4r
RSRvR4SRnQLHKtj/K3700s3SZ7tGpMkcsk+RO/YwM8cvap3E6yifVDzsCm1aLB8HDwMWFZBKYiAd
hLC71Zr3+E2i0YWuFNjfnd6PXxMYEyGGyqsIIdZtm2Hn3IUlIjRljXkawl3lQCFCTqJg6SF0va0T
1TtX69zJauQxjIqbAu6dZTqHwg3vTJraS2QicJQrI3wgUJehT4rO7whdWEUeK4Ovailimzp2u0Fs
99asYtQcOUSRJcIVbbAWrZEoQ9UI7R+spK5UiN4XjvLJ29pEFQFwoW7p7vTfj8L6avQCdGsmKofA
O8asv3gaKdj5/f2z5v7L1XY0yOztIWSMdXCL1cEQfn6nGlWNYL/63atalIZS7bXrW3WpOcNHV7pb
OYipfSVX4OpqflIPXF5bDapyY2goHpg8XbYkRiIOi6/NEH8PsyiBV2DjpaLuUY0fcrf+7g7adqww
rTeVYF0q3k2jqB3oWnMb6s1VmSvbALdwWcW3mY5CmQcffoWNnbbI7XaXj8islHm0z2q5H/yovhBq
nbhbKJhr0+VJhqj+EgSNtVJkLoEJu2tVx/oqLNRlmN74xYX788TjNVXm1al2zLedX9QIuxRQ2Sxi
OvcV+NCiRLUrNC7k8CcGwQ/i75vSnoVZyDxXTfsTtoOpDLSgeJkV2j4YzUtlj5/R/i/76Ggk/f1m
Rfa6T9uC3DBAb7l0sGGUdQDsqkIMMDT8T1mnbtwI/kmAFLs6YD7lZPtaNR7HunuladAeTGSQuDf9
5fkdfmkJZkVYE3EZJXUJSPJU20mn+Ki1XLqh9/X8MCeD56NzNAutSt1C+OJnvqriTtB8L8pxM3bI
EoUcAOXp/GAn+zvO0WizKCusTBVnbDhotBu/FQgfKeh9mWMHQq99iAQiQwqwhwXVrhtPItcslJUz
RPfSE88xXh3nf83JFT76MbMwzMe41MB3nJCvCO4tPJO0yn7q9fxPomQTMD79O4Fz2uwhRiWeKn3E
yURzehmFGAqZ9c5zqkWf/UlBxbHInwF3QA2fU6mzNkwMBZ+ug0Dr0epeyuyTEh5080Kb7nRsgeos
sACY6UjZvj80lpWXaYRIK1Pqr/zAulPoKqKS378abQG2pt2O6YgIfdrtRqPVkVDB5z5vv1Zq+ubk
/QtiehqSefWN6SLrlUzCmFmyMyXqFSOWUW2ZPdUyvo5kdwvk58JNeToAPPr1sy1vJubQWDVENoUf
rbSvo+4uI5Dsbo2zQIwGtcBDeSgWAeS08ztuevl+uWyORp5t/7QQYyMBrR+Egd5rETyKJtn8d0PM
NjWIBV/rDAhVhmI+B6Z6rVXBhc9/ehZ8d11D8Rca9vuvnzhVK0rHKw5u473offSot8bj+VmcLPw7
OAJhgagD7J7TQdMo1Jxi5NAYQfh5yNtbvco2ZZ19QeBjo8j6KnSDtZX0a0O0EwwfFbjzv+Dk5QAc
A2tKwKPGHNDp99i0mSEk+77VPwyOf1c3yVZ22ev5YU4827rD4QCIOulJTfIPx7HS4PsFCrKcJC9w
UPrr5c5RwnWmiUfFcS9s/FNX/TQjRjGtSQnh/Vim5gmzNdh9nsRuJCwRDxXWd9U3d2PnP0k3unDx
nVpCLGEnUKxJRe3nLXIcB6LJ3uASUx4iU/kc9OV1hNWoaOH0nl/DUxAlcEHgE7n3XPgEswNtDFIx
SsGeL2HAWmUISgDxRlU++Fq1J9p9QLv8vhvCq0C1NpEjHlFBea47W7+wZ07/EOTCTKQBgAzMNSZ8
WOXCkty/eEe9Ea3d63iAYzGB9pP9mCTumkO1rs3iLe+MxxZvt9xCxx0c9/kF+clFmd0ztDn//h3z
FLeDQJKMaAZMBocvsdODqMu/WrWPnx6dFxGkOzRrqOOiDV9n7RtSA/aiUPOtF7Zr8HWHDr3tRdOG
29I0arwyx8OA4yr5gn9XWdZTROpTavkrdoxgUlXzUe392yArn2KgrUuzjCfBQWXnueGwwEL3zqkQ
FmzrN8sOrz232spYvTJDh3LkCKYJa6udR6SFv8ZtPyLjj6DpA22IaNGmcUVy5G99JMzQefoRV8Zr
MMT3fOcMVq+T/A9pX9YkJ850/YuIQEhst0BtVFfvbXf3DeFx2+wgEPuv/w79PjOukvmKGM+NL9wR
ZKWUSqVyOWeXVeTYTdoebSN39lgxr68CNIg1dNN300cfBF6a09dYn56NrMEM+5Q4PKMrhr5wiCmG
PnVM11MVs+vSdRgUVI0BZYAYsrb2kZLt1QkKgizbRA39+tYunKkLUZKp8yYqiF3i7oLuSoLHoHiy
SLG5LmTBwUMI4ghio640Y8hcOCURGRywG9AnUVOU/tPKVcBZuXJqlxftl5D5R5x5B7Q1DqUqEAoW
5h6249lGCKIS0yOluuL3lqLOC32k/RkUAoQsNa/9XheZO6RjtAGzqP1YVPnodhwJA6MjN4muvJWD
BnYPPLJtEDmFdeJGenjsB3ul52G+hOXziTklgssT/2qfACNnuoNYioCfZ77d6sLtUgGiQmVncPOW
zBRMIJDJHNTCVxZ8yXRmml9MqaPRC7Hb5YKPBsA62xZXDU/Q486Sl76mD8jVrBjP0tU9D0IzgqEO
NDSqkpwYkyainZO1AAvbaXq21zXlrlGGe1qN9w3Q8/XWflXK8ZArwcYItJW1XbjlQGGAkAH5c1Af
fMImnq1tBAZOvahsjK3nyhOgzWa+EHFk03QEOIA7NGuz38tOHxMfc488hqXloezQAG4h5yP0pdZj
gsJMqUWnWu+8OAcQXdQCZ9ScOWLuCku/LYA2jvbkEg5rWNnfpQMFAAgVfAvYZaz+5f4y3QAzWslw
A1JAcoPOyRy756oWO32Ib647iMU1xoixiqENG6pLcWyZNMSecuSVlepQZIC0xSQ4bTSg35k71fyD
qBnPGZBKYkhAB4SvFLdMdQC1DFztnWU8dQA1L+rh5bpCc5glH8hzD65drl0aIA0HBEZMOnTlWzBa
wAvXtUdOrGfAxr0FDKxaGlp5orhaOS1Lm3YuWHK1CQ6qKCMUI7kGKsL8jgmQGQPvrgM5xXUVlzId
F1eH5HAL1velAK+xT+D/OBrTwRLoBWqOzkn6Qyny+7YKP3qaCqcDVk+oVqCkZ9lGAE4jJt1faai4
o0WrlZ+15JWQ78cYgKkSYsk4AyXTgmaokY3HEMSOZUi6VHdBteaUPknEf9/gX7eN5JTUrjVgQ7gC
whZJ6bqdwFilto92pQKFOd5mdX2f9eGjaiQ2cuXDy9TwpxHEt2hjJw4DD/DGbjDVNw1Fu+0axdoO
YQ86riS5RR9fsmENuPgSYFQmU3/X1dxjJHkOVIBmgJf4lrQm6PRmxA4Db41Dr+jVKe+AlcrMYcWe
/j+7/EtR6WiilS7Rg2zkwNGZGrcbtTcO8rlKK8GblnanUkmQnC/rH1oAxPswBRGIMbX7Icd/h2V4
0uPqneLNdWindq2VYDGsQFlTR2SK2Fhu9wBkOMIkFe8B9D1+N5T6FiiW44o5LZ6nMxmS+mENKEtM
SqG4w/WjNqp7syS3SQKsa/Chr4T7a/pIDjft0lxVok+Kp+p7UgMCfbDFij5LkQJa+/BGtNDMjgmx
S8eEcQCaAQ8Pad2++olGO7+KO5CIDdmrqLttVdXfynzaXfcUy3oBn0q38KpicnZH8DBLUhMZ3ljV
X7UOgGBZu3JJL516RD//iJC2yW6LbFJIj23C6xNz3czJU2U/gvxnZf2u64In9uX6pSnO3qBHczsO
uM91dUsD5f76cs2/9TfX8o8uuirlqhloPk2QyOHRN703lN1W1aEfvgzJ4AT92qT75xm5Jky71AdR
LCumOV2L+eab+b1TdHPfB69LDGdPTmonMzYo2Y+06XdjFwYb9CFte9ye4PhTj41CvNbs3iaQQaRo
G3FKKwfSLnjnuqB74NW4S/N431CAYoXF1pzBG0C8d329ru89kBgvVbBF3Gu8VufAP9nHaG8Gzu4p
nvp/n6Wiv0wMnZuXYgLBMU1XoNg6iui+C/hbpNK1ovWaKpIHMKKiNIwSp1PL8wN4NV5Sk4PQ11xx
NGtipCQRSURQgmMV+Q0OsOTAeAzCDoBY4Rqw1KKzmaENiGmi3VWey1PHUSk1jAH5tQr+G2AwxwCD
jlASiZjt1rrlG6gcXjeGxfN5JlIyhrFQuwgwx1DNJndTHhxEqP7BkxmoNCBIm3HakR+6NIQhxsQG
N2BvNcgcFEz+8yC9D/Aeua7J0iadi5k1PXt3gKIV0ZEKlwbuW7DTKI1DrXEbZvHzdTmL7ytNNQDJ
aqDECjLjS0EZE6LsAK3otyLw+oH5dth5NARNTRy9KPHw1Ji2HyKYCdoKML9E/ev6D1jydxiHAXoa
LnI8d6T1TAAcXKcM752wBqFLGm31wb4XOprb7GxTJOX+urilG13TMLsKOMZ5Cmde97N1VfqR9k2A
28hqk5ugFV/KdngNQ9Udg3hzXdTiFp6JklY2ISj7qnwO05TObdQcqMoZ29FsDeFjcQUxhYDyKQYZ
Uby/VClVASsUDEji2OG4YeVXs3igpN1YqeqabMUsF5cPu2QAagEpHfnVP6BxoaMtzFLv6g/cuzeq
qDd1Z981mbHyKlw6yxqzCDUxJYdMp3SWLSMgSV3PF6Fe7YfeRt7P/INM27kI6ZD19sjyBEgWfh+F
L+BR2aDn97kt0JIyVN2K4S15Q5S4MFPBMO2AQsDlLvG8mXhfI48Bfr3JASQTaJmZcd+15kYY8QPQ
y10ajt+vm+CSaVBkTeakEDqh5MytnWQlbUrAZ42helPVgWsK0CEQv+bVxurX3oSL0mwArqFfAAda
zpXYcanAQeFsjWjB6RKAI46djuoDO2im8WTHypfr2i0dMMwsz5CYtjkPOl4uacGSijUMEwBdrSmg
xRbAkdWAsj7qK5f/0t4BWAIQ2HMqBNM4kiDR6iIIcZITXd+XVXSI4+zdBGVd2E+vtjKB4IWudXct
mT/MHmzY8MkqKO0uZQLd2wzqKal98FvfgEnpsQmUt+vr94m4IId/KPDCLgw8CJAQuZShZdXI+9AU
ALxCn143YTo55O2uMpsD1ZP7KRXPcQn0XkA3Onph+WIKd5o5bYN+eK6S6IjS5t1UZqiCxIBH6hPr
rbbbN8DEe0TnDTgAMNY5AecCpxyTQ5uc1tsSlOiirl+mWgcq8LQrC/se/JCPkQHgSTtGQ1WqJQ5A
CVNnNM3GLbk9oksMEMxKEGpOmYI9zsbEQga6kb0R0daFFTxFRbMDFN59NoIDYsjADEI9xQYx2QCs
+whkd1ah32SxumlG/XXqCh85r3cLhXNzUB7HtrorGXAKGvXdiAjS7NUN2Kn/ykPlweqsFtz0wQ48
5bsUvQOZjeaRtN8Lm/9BzyjS4zN60fw2A37J5W7UKDMoWYbDOpQUbEfgW9PQJqamKcD3QRh8fe8/
7Ufae2DE490MChnsvjy4CfzYDMMmaOhLFbRIqAkNvueD1oHFjB0TxPuOXoJ/vQERwQlQygC2UMMM
dGH92Lx1dgQEIFN/rYAR0ubWnmp4nqS1Uu4wy/1sKOFjbYG1GmNF39Eke0CLuvaKJrhbkvHETyob
lSsbDRu5DYQJA7RhmIoatwrn90VtIM842W7VWwe7hdlNdcJBDErf7F4TjqmYpRMYJH/u9UiAs8MA
czeeYBRW6NQRyFvA0gpSruGYDflLxacvvAGxKG+ZH9cDuYvA2xi3yGQYtPA6cBI2qgHqUvMbBXBF
qq9hDCw4qBkO2DB1kGABW106w2ijVpuiR0CfRRmiALJNmr/0eOXxu9SAgAT1HEABrxc5Y0kKOvuQ
8UL/hD8MSBGLCmBO4QQfj+qso9TxLRvEj6LkIagMC3Bu1ODGuW5LSznrGaQIgEU6WCaQXri0XBqm
vQoaHu6jBIOYo/7K9fCmjuvjlGjvgtfPVCWOsMe7qORH4OWe8JWbkFjb679jwWXiZ7AZWgZFfkBT
X/6MmuLEojkUt53WbzJQG46FuXITzJ+QT42BohywvC0kkeWJcjssqkEdTCAjJwF1WFN+U0BxZpvl
AaR/a0d0SRayJmgaxLNWkweDzR4McUGD3Jtpl3uq5jt0YSLbqp16m/+JWijj412rmcj6SxsIFPE2
KOHSfCFqrynGewCG70I2PbNcWTGWpU0yzkRJr0+ziVtQECP93rTxz6KjLw0eGitpmk/I/F/bhMhj
7hDA8M+M/WqiX0CKDGyA0PeIxfAOjMhOjfNXMKC8gJ5Yd/oRrZhcWN/CanwcQOHUJYcpb5+ZCtoj
BdViRfuiVO2W82+UcK9WwwPJvoDi5QCW5E2jqk5ZFLucaFsi8vcR/PFGNL1ct+NLI/v89Ri/xdAX
+mFQ1ZKNLDUTM9VaPDEBElDvet49VVX4OAVl5NmAt1pZrAVpgAacgxvkz1DVkdZqSgGr2LCe+1E3
gEWx3LdgyQv1H5FWr1jZ5dbPeiGWAaIiSHGA0gVc18vzOfQVadE6MPiKKDHj+q207N31lbt0uP+T
gKFlZOYASq/KlaTCbhpSgwHRR0fshgAqO3aDKl7ph1gUAmRmtLyg/86cydrOn5DIdoCRGn7An0ay
NeJ7XqEPBcRH11W5DKb/p8qZlHkxzx6qgmti0vJ68LX4a2WE7+kAhgNa3kxl/RQWK5Hg7zaAnTkT
Nqt8JgxtwB1LQ+yMYd6iE90FZn6I2SqyBg2yJmf++5mcDPau1BWWTmCMLH7X2REAhX+wbiZA8sFm
YsNpSruT0iqx0TE++K+Uhog83QDtd82NuTZDK41y/2+DzgRJGwSUBsPIgHPl8/A4t/wb9hN9n8iO
mq+M3IMT+rpei0t3Jk7aIq5j4NkCZIMPDk3w8iVeHG5s68d1IVIs8btS0gZZPE7jKcyhVFcdaNie
bOSfdRZ4cD5bpC/cfmSo+oi7QLX/VWrhb9FIas21CXAUSXcQ0gBBLsZk8AHceGyP3hrtjIRK9LsA
6eZpQgSzBcYm/UkDiQh9ZjVIeG+nmck+OQr7i6b1IAS8TaZDW5165QTgCvf68i46QPMfFeVmd9AY
lmjyDwd/ZOH7hBGRTovvrotYdBtnIiQfS8C/2qc1RLDuoCkh+LfvuHZkjYH+4P+ojSYdZtQLkjGI
cNKY8+W6FmsLJR1ipNoVy1KxVf1G/YJRo//2denkJrQXPRj8YOSv/aap//3XkbDC820mBLHRsXi5
LFHf1PrUwo6zLUbcVrZ3YWEuPi6teaeNKUghsOaaCir1xCy/Dgi5ry/Pgqe5kCEtfiQUofQVlkd9
MeqXhjXAbNla7Roq+cI1CsIlRAIzkCoxDWmdglbFGGkAMTm/QQ+aW4yorfxXIdJ6RZXKUbLFZojS
7cstIDNp8AeX2oUi8nr1I0iAZ0XqqD4F4c9WT04xCAhpaHl/sDNnSyYZrt3lIgsoJGV1swnSHaHg
RHnDa3zFAhat7EyOdNeMvSkwnwIryyZPcam5ua7Ggo+6WDDpkuGAP+vAXjD4LXkbopdAeAqaQoan
P5Ay0/+gVUnHq1R29zxLSM8AMjtgUApUngemu3riaeTlupz5O5dvDQKevX/kyJORhRVNRZtjsYAE
PNE9KhaBZ6Oonrh2dyjXUpFr0qRTg1lBLSEKtDLyYw8u0TZEVmFqvT6sXVDqAr/b7bm64nWWYp0L
HaVjRNGi3KP8Cx35pky+z7iY6lHNb8zsW9zFjhKvFdoXfRCyUpY619hQ1rh0orlmJYExwdIF2yKM
M7Md8zhbOU7La/lLiBRxFOj9nqwBWiEoBS7r68hec0clH+j+xsNvN7xdN5Qlh4dMLkAiwEgFtj3J
TwTGkBBzvprbB4BfNF9D/XBdwNKxnV+NQPIkQHOWPaplirbtkIrz6VeNeRZdiazXPi8ZQY42TRw0
fH6m/XDrNfybpeU5//XS8gwEMDufrnoAoO7opBgGFGIlV7a046j9gQNznjZCl8WlWYWW1VH0qg/I
/+7y9kQMj3A3LoEGfIiblXh2UZ8zWZJ1TXyY4hxss74g26p3gw0i5z/Y7zMJs7Znrynb5HnRggbD
B2nsvfJx/ePXfz4aby8/niA/8n9OOgfxy1jtxVrxbekWQAMmnCd4SqHF/APOfn3FzE4V02xOFd1a
RuvgeYMcbr8zypMZ/cFmIJGGLjFULbH5knFZaSNYMz8uxhel2xbDx9SvjfgsHY9zEfPfz/TJMeAE
9m2IqJztWky5tFbn35bWqmnQSAr6cbyNtkwDw7drjhs9fE2bzfVNX9bhE58XPhctuZc62OizqyY7
6P3ccBl1mnCleUICIvl8g1FM4s4AwLMAGc4O5N54oMS4vohASQj06B3QuZMp80EG54Uk9BKbfYmM
dB9n+gFQrE4YaRuVRFv0vwMRvXKJfazprWn8N8XlXpW6R19HPysuTuGm/nF9VZe8joUuRUxSYvoL
VI3SqqpBi9klfHwMhTMh/Z6/AE4v0O/YdKMNK8KWbs5zYZLb6dLSKLsSwijdgJU9jr8YidsV/6o4
/799BDYHUuAzf4AMs9gaodrSxoBK00lUnkbd60u2aIhn35dCRNIp6ZgQfH/I7/qTqT78t89LO1KY
IgzIYIE/q3I6INM6/+3z0h7wiYHjKcbnw40ben/wbfTlA9PWRiZBTm1XWaaQHE0svuberiQ2P0ct
5VB25vL8+9vSDW+pvNPrEN+eUNH1hLqJ0xQMIRvNy7+DqR4M5rR3FdC6R87wI0jdVUiThW2fZyxQ
L0PbBxhEpX3pOj5ULcqr/tA6euqsHPKFc3jxdWlbIsEwHy7y3sc4y11bWWD1HUInsTOnVwCqWec/
wHyDvqdu5fKR6mOfp+VCsORWk0RrLCqgVtVmz1Z2imck5OR70Z1SrTz1SXkTCN01G+aionrbt4cm
WQl8gC0JJyPtLdLvaFwDUoyGDijpBrTNoU7HCc8UuzVz1+rA9KL3rl7VH7mgX3tqIyOLdgBHE+kL
sYMvnBEsUJt8EJG8og+68SxujRvB2aulNAj9uzZ1bIXGTqvqLz2nP8wwIcirFV+qoeKxY468AC22
9VIHluHlOT0B2GqX2SNQRGlub4yp/qsk0Qca5++atMgcZAR+Igf4MIIEI+iNfWSn96Ee+03QPVss
wxep6gvgdY74eSqjtVOGLvgEegwNfmsV6xsGAn+2jfhC6uKu0Ir7qM5BQjAeBVXuRYQBxazc9SUA
GDrjHWwOOUazoxcyWU9A9HtjerSdNENxkSI8gRMJEPTGxwSI7m0X1FvkMFAUCcanIrJ3UcAPFBm8
IDArV6uzt3S09iyl8T4fsxu7t6AcKi5IOIAcLyOp4jZGrByHJOvBBKS9cIUyFKnRR1p0lqsP3HJY
qwVebOc4b00Yx9uk0G8rjHI5mF4MEAsDQkHlinrAeBlK8ZiUdoy0jnd6WVuekvVgJgB/h1mlz8C2
eqJDjUHtks1EG5tybvkJlf4+JuYL5jSAoTJWj4gaD6Qj5AiABr/iBDPJ5D6xtUPR1a9A+Dk1JHoW
GkCzLRXdUdUhb5Xco0zZpUTvANe+E/GGBxFASNrYDyzebjDh8VrEoGXNWPU9rwNQItT5bVSyB5Aw
dY7RZtv5lWx0cf4ltHPdrczRXjnhC3HShZHP/uU8BkuhH8gl4RyBuVFuTZfcArZnatbewwuX7IUc
/VLOGAjwzypW50+IX0AZAPyqtM6PY6oJV6+Te1QlmTMk+ksViq86TShMNfYzTR1RJiiO1pQXwAMo
NbS7jKP2+K9vCPw4JNVm+HUE7pK3aSMMoY+53eGsAIYAxranjbISyC250jMZcibbaFH8KOug8wGJ
dFfaQ+wMJQqsJ7P62rcPlTnlDlpoV4KORaGgC57ZatG6ImdWcbTtnOcjGNOo5QRwCGXVO6Xw83TL
7WM6rIhbuowwhvePOOk2bFJg5lnj1IPQkN5p0S3XsxWvPJvJbz75TILkk03BEdhXkFCpu6Z8jlni
6O/XjWEpdQOgEOihIu0wD9hdmmqlaxl62tTet8f7QDza0WOq2HvTYm5s0m029bvcfDFos6nAOyQm
tr0uf1FFeDv4NWR5VbmWHdtGXySg4PFF7k3BnRKeVh8t87X92yqeiZCudQxcaREDD7pf3IwxkCnB
ZRu5OXODyCtWIqQ1baTFDEY9B5Zmg+zbKcYbBVhO++vLtWhzv3SRu/4CmiiK1nU9QGRc8mCuhL1S
s/f/BSJg2/57N+QMkTAL9M4w7AZN34VI4ZRr160i0EftFLEttF2cYkxvLZhfqirCBn+JlU7SOBpt
POZ97ytK9TLUykNqts7UPefTKy5YTCiCXC6+s/W1OczF6wDxDjpSkZn6LcXQohIT1mqN16aKPg20
lVevdnBDx4MYvev79snc8JsRnomSHiwNmcIuqKrej25o+zqwm9IG1JTYV9k2Ue+C7J1HD5T6ab6d
Vp5KizZ5JlmKmWN0ald6yBG0A3IK+SZvUC0vp2RFzKJlnomRTpnG0pwRFM78wT5VpkfzH9dXcE0N
6WhlsdHpNMNeaZk3+sEezDj/SYCcp6/RJxS1JRRoM6/QblTzYK+OS84OW7ICdAeDbxMLBUpP+XGm
N3TqKmMC4/Qbsmb2Xz0CVO5n9tYAyjoVLpsChw+WU1PnunILPvBCsHTC4jYQdWZDcLWz21umHfPI
56rTAP53LUe0dJovZEm3VqaZCeZaIQtIVE5HAqcw7rLsnuffLTt2ub6yb2uqzYZ5FtMV7ahPTBCE
GmAp9EBwNjqRIMK1UlE6fRM126LHeIxRrE6KL5jkhaLz388ko4MpLzAaAsmvyjfr2fy4vmcLQSRK
xPBLc5w2Z8MuP29kiqqzasA6qs4UbWPFKcjW7nfXpczL85tJnkmRzm0mQiWIcjCijt/4rbZidksZ
gwsdpFMbof2VZwV0QG5Sb7cT36ntfgQOTHvqwGmY72jiN6rL6V1LD93UO0X7wNCXNcLt/yc95V5b
m/VdW4xd56eT+Zwwe0c4WXnHz8r8tpRoKlRnzg9MEEkbNk19nfVW1fn8ENMHOhyJj9IrKY9msbJp
85euSZI2jWqFlZEIksL0Q6DRHD/JQ0vvJDRwhq0heSza4Zla0h6apa01POCdXyvHECR3e0KfzJVD
vHiUfsn4rUc5Yx0DCwDgDStEZxuRu81acXxlzeTXQVwUjQG4js5HFqLRT8FNejC7Z96v3INrmkie
FiBFUWQY0CSP3VpTj4aynbJm5Xm1JkRysXYWYbA9gy7TXeOw52jFvFZ2XJNcaqblQAoj+DyJQDnq
UR2MFpvrx3H5rKBxcKaRASDmrOGZ76Q1KQCG3+IROjrowwe9kOGwKb8Zgt6LitGJAZsbYLTjutSl
TJtlIX34t1gpDMPOAKSYCVzAAfo/b/v0kJJ3cVsKD1PMWu0BvS4qNiOwOQ/XJS/vGLBL0HNsgL5I
2rHG0Gb24bLz6ZNCHNvwVsxuect+fV/aMgJs5KkBupYPoBcUdwfrObMApvFxXYuFxmmMN5m/xEjb
phHwW1chfAHmPaPXQd0qzU5Ebh06AWhibohfPCb7dFvvxoNpuWbsNuG23Iav13/G8lH+9SukXQR3
95BEJRYzIh59ZIfK03fFiqkshhVnms6/4cxABwHi+IZCBgdaMxjQxZ49BXclvWn+HVDF56MLsDbM
BAojaiVoALiUBGL2xjAqbB0y77qrAh8dSRkAOl9fsyUDOZPymf890yfVDGEqdTpHgBr9ajTekLgG
KVfMcDYz+WI6lyK1nwQt04hCE5jhqXD/5JI4/7jkWpsSQxcA6Oz8IN/BbUQgCV7t2l1bJumcct2s
9QRDrL7S81MQ1VsWax7lA7D0vJh9hMFzDqjaRqhOgew4tZ0mrTaUoUh56gN9xUl+TkReW07pVHfR
336+715UG+ERSBCBPB20GHwK0nQDAIBpJhXxehpMbjyNBWDNRb8Zpn6jK3lwBM3JsVLH8ACY4WIb
izj9Weu888w5Gg6TCrmQPgX2aEpuaBocgM9wb6cj0KQxj+w2gciPXRuXuzhOnbIEmCy4WZ5Fi9E/
MymdPFG+UM703aR3hRPgkekYzdg5RQmaEzsqiWukrdhgIjl37VJ/EzxduQfXzE1yR4DSTiOtxW4B
Aqdwy7U63WfE9vv6A5gOsw/zeILkBMCj0tpjkuOe3erfM32TZvuiczOOrCJGBx16A/x+d0KhQ7N3
5R+MQ8Av/BIuBXlguYgKQH3Ay93F3ho65+Ir7fzrktcZY1GRBBg9fo55fpXzIw9DV6i5I9rXqbqp
kJ8H2e4+Hdbg/pac95lgOQ4TddL1fQ/BpoNSj35XvyY1RkG96+5uKZV1vnqa5CzSLGPRUEJMETvB
SxM7Wwo0C+HQ7eBZ5n6cVlJ/qwIlz2FUwf/ceDLc29wTuhfphyR1K/bNNG7Tf4dp8/et8Y91yDFa
0GMSiU+wjvglTzz9vlnjolu86883SjpcXaoHVmXA+FXAxYL01KOa1xpbYMmDprHRnORtPKU/usYJ
31Hn4YXzbKjf1WmbhpMDIt7r+7kUL9rImVDwWKCBTY4XWyQ+UTLCxeLAcRnaLctvvk/3ov1ga0zM
yyfjTJQUXdChNYMmgqgy88pNZ+ypuA0BtPIC5NEVo1k8C2eiJP+SzmgTKP/g2YMbpMVNAnZCzDCX
nqJ2bkXXskDzjv3mzpBnNT+Jr4gchBaouyBpEeOtX9ReFDwLNm2rdKXrbEGITQCjDHQ1jCvbctpi
AsEJLTUETqXe3QqTuHF2arN/Nyb4af4XUiTn2KZ2bREO8w+11kvJ1wml6esWt3SgL0RIHrKqTA13
GjbH6hI0fCInCBpi1aliO0RD8rDtbHGfDIR5ucAFlxYAGW9WM4ZzwCRt2fmPkNMWplJSNZtXc+uF
zuoc5ELR/+LrUrgmqNXHYn41NJ1rhU9Owg5vwlprF19Kfl+IkXwxM0AUEqgQY6WYAa/JwDasDnI3
b2zVq2cSMjDCVF32NOrDz3xKn0qCAjiqQtt+ir7WVnsfYL2vb++KmcpQZ/aIIcO2xW/iVeVmphW6
XcNCp230eMWQliUZM2AvsCgom/9+FnlTmzc5ivjInwRbkFapG/PtuioLURCW95cAyWFxDDUPeQEB
OcCUwpA5ScRXVmvBUV2IkByV1YekCQ2I6KxDXIPLpT82WbHJDYLemPz5uj5Lwigoo8H28QmkJFll
ZLOSZ9nY+lnH3khreXX2FVfdQWHRPgLByXVp8+rIJ4whAwHwOctEw6l0zKMy7Ggcma0vwmmXZMO4
iWhIvSmOXCOOd9eFLW3VmTC5yCDI2ACUMGh9k35RGzBRrlyTa9+Xls40msLEIcPSVXrhwNsDukNh
K0LgzOcTKy/auclJ7nfk2pgA7rz07V5R97wN5/4cqhj3qpLlm1gTvTNV2Rs1wN4eBeBZoDVabqId
0MEPPBYPZhIcExWl2IigPTkntquNbQ5OueGkWe1BJ/xOtM2LHqb3mUlu0h5VH5M3Cvpd8hHMSUgP
13iBjFkDNBLy0yagbgRPe8eB7TdZVbzXMMC1UYbh2xCKbwXnpgOwLOEaygjgP2F88CR7mtL4jYXT
5KoJ23YlECq1CIDNrEgcg5V+RpJDyy3VAbxWCM4uYCULAOueEkIf+4Qf+wpDnLrC92phH5SuBFhF
F/80xSDcFu8St1D6N/iYF72aHqpUm7yyFrYLbhWXMI5Gzzjix7GLcRPX/cHoqi3t2VcVM9COYoDj
t9H/ArrRRiuBZg9MMbcM9W/o6riLW/s9BHmkmtaeNhA8wwbyQBh6nMYm2CKXdsopSx2laRsnUzjA
p0ekLwK0YNSZeJxs+yhy5qH70MKKIgYIlZsxUD2twlBKaKo/NZRLHdXoPTqiEawyghQ4GqCNAiLc
NqxTN6E6cs2tZ9T1e2Karg4jNri6bQT8dsnirUK55kYNXkmF1dyGRfTTGvmRtGCuJTY/8D7R3EK3
3aIYqJMW5UeqqDsrqn80fXVHQGHlsnKexCfiW9tnz6nGHyzkYpywHg71WMOI7OqnUNOfTWf7k6Xe
ae34Neq62ski0GUpRnTPmzHclHnebOs629hxU7ttqN6PmIvydGCHoeGlOdE4A/WeXVgA5daeFS3y
i1KNNgpyeJ4e6Wh4KL+rrNxbtPdCNGnR2PbBVnbfEdXRQ4CXcv3F7kPfiO1vSFXmXlGYbszG9zqK
b0DuByzE+MFumJ+FgTsAs7hvDC+rlW3VAYafWV/COr/pOsUlFd0XIfB+w+l27NOTGONbo28btAo1
bgDWQ1dv6Ucwa6GITvXakJ1gOH+pNNwCI+WWs/YYNMSrGtV04rLc6JZ4JKWyt+PiUc+Hp7Y1vDQz
/bzNj/VAH/Bm345hv9cqmu8M9CSxqAQdXc4BHtAnAgASSnzshbkBe5mHVrser/nAa0S8i1SyAYp6
54RJjfRH5RkARkkA+0O7+i8kK1yg6/jKyI5FArDVtsTku445ZFXxmqh0rSx/t3vyTVOGjRKqjlYi
bxJj8+vpLR/BlptVg5sURo5KV+z1aCkdWhSHiv4xiC2UBqwjngHoyEVKxi7jtx6pSBctLWALNC11
WzRIQVanIdYKUI9FmTeVmOMtIxd0al+tCQ8VQqq7quGg4gteBkUFaJGRY8sAmK3lyn1Ydm91Vn6M
ZXXMbWOLuQTomebvjWL4UZJ+UORRzLY89AGAbhLmjSw4lmEOGTdV3nuqkgDoPcS0sLkvo9EFF8Fx
jMrKBW6qFyX0FBnNDZivtwnH4Hw/tE9oDLvRSPQNWHODkyX1XW0Yt2HbHOxJc1hg70se3DY1MpBc
GNsmmPZwHBv0P8IECt9Kwlc2AYusnfYhgIRL0HCZw7CNSdMDkwidl1bCf1RZ0oAHiOgeDwGaN1eX
yy7ZpWI4ZHp6UCe+B2kafAaazktzy0ZQtjX8MR7L40CCfJNF3R6Ubr0zRv13Wg2PhoFhFRtPziK7
D9vppLLxB5r+tjEGpcOeg2gmvdO0zAftJFIItX6cArKpibIpi+RGR2tklNObSozbnorHsNBLt6qV
ljtxNg6YtiU+sl7hrlHS177QKhcks681T4Hjw5BQAhvMvd0DC9lkTqQPINOz0XUY7HMFN/b/4+7L
mhvHsXT/SkW9I4f7cmO6H0iKkixZltdM5wvD6QUgQJAgQRIkfv39VF01nZVd03nnPk5ER0dk2dZC
gsA559uWELum3ZKqLarey4NW5FU3HmCivhtdJAsiba1WNyG9tpwjnRDXx6k3IRgRk/cW0PEwo/Il
xL+BhvIUKFsyn+xl0NyJTu5XRrNeU1gZIcSH02IkrHCmowFjT0R4Nhi4WQKbDg1h+xBmq7SZhcFe
F0fFNLxLubJcqA8tx61kDW7DLcwJdjB2wYs9hoRidzPfnHTNB71ec/rNuj3yVDeRg1k6Xd6mcYJS
OwmxTuVmUVMRd13ZMuT5+s5egrq6WlrMDcmQPYC4Q7D6XLeAoVAhxBt8vW68ar2ZIj/rubvpMcmU
yEkU2uJMtHlaJaXXInvu8jDNX53mQ6VNXjm3MzSqMCksxPAEykJG5LxBvXbTU0hXQ5tzXhVu9bVP
5l1Aq2ON1MEEJNUKmdBBR0g2uX2edLeRkojcStts9ryTv0S5Bow4RG9d6D4i6/vA59nNudvdNRr2
IljqbJJQeWxjVm8GOm8qREFM4Uvr8cJMovAQ5bi+Ynr52VlQGIp5u3j2oQWLIW1TfK/nNE0yhHEU
KQjLQ70CdW43uDKbdUyvkTp/qPQ5sXGWwtKxZZd6oluR0ZHuI8xUdaNKhLtsaeucuynarqlznN30
AVloO0T0wBhmbfYo764u0Y0dv17xWvTGBSmX8mDnUDJng3ENFs7dhIpkVT5OE36qhmPcfnP1F7gS
weboJFeVUwcpj3FGkrtFf02qM4Lcr2swrpboWkT4s/BODz74u8lOJv5GESyzdDoYH/GNY58NDka0
UI8iHVtWPmqKpFgRRJM4X2ety8XK92AYy7X9lrI3n/VbaZJNB4veyavxOLTwf3K2AY8LHbG8Np8X
cjG3eVZOW3aY+7r93kuGAxtBaZ77XaTf7MqzqtYZbki2wvEMVrS5XJws6ZdsgnRaeXPGrIYODKZH
Zi0aw3cN7csBInS3VohZu+X8uYmCneegYpjNxkNGLAI4onzRY764spBpurdEb6pgvfLaCOk98mWt
+Va1w5pHy7zt4SLZQBIK4uiwqS3/UE50K7r2SrdsF06Rzf2lKYEpbhtDQDtevqp2BHeZiQxucXu0
L2htZ5Yzbm8F725Hov3MqcabwDi5p+Ndn5o998h17KtX+CqdfKa2rK23q1gFvuGEux7eStd+iWny
3Fckc2aDtrnRt1UTI3ohepwD2mdTPOxcY95g8r5ZGvle+Q4ck9uDdOY3SeZthKl67o19v3MD+YgN
Dy+B8zmMK1ompn8ZA4lpQxNvmAkeiMV74wqf8CHO8HEEj0WPT4mZnkEbQb2JNMR2XDN/SNq8nnTJ
vOWapsst9cn1pMXe75OT8sg7wajeNM5B2qYc1hRcfRegZ701FTRWDnO2aqqwu7AGCaPIm8x9p8Zd
5SwFlBBdBWR5MXj3zDjifg4p2VJEr6LcatYiilfMb8WcnjxO3kid4I7P7h2K8DsejYgMp16+Bmve
TWQXRci9DSJk0RFnA1T8xVncZxDjXxxXIiQWqTpIZ1vv657vDyJqgJNCAlasc+AVaM7yCaUdDN8e
Oic5xAG4y7NIHujoz7kvhze2WJFxHj+nVfoweB8+SQ+IPoEn47BBfgQ6jUvIJhzmMhV0G0+DI+8l
4FlP8J+cVjePUVk1Kdu3jO6HqYNbGmgqKdb9IoIs0YHMGifcHlCwbVB+dcHZhOpzKNKzb7oDKPAI
URg2zIaHi9fPSL19N5hzo+1xMuNd0DTAYeovdSuR+zfvSKK8LKnjzSiW0oeLYDal/Uuv+JH4cLXr
an0yVZCZFp7bI9wocri4vmvkKRUtN3vbNI8qGDTEGC4kIbfYRzcoza9GSBjh1t7dKEaHDP0O7AxS
1DCmhggABordbMlrZwjmcqlgJzIhdGFsXKQQjkXlUnMTVE2DnZeXMOYcM9V5+2RRH3gEIX9uNgGc
HL1VIsTV2/Kgva7TDufkxerKbx+nMXkMrHfVtNibrIVoJuzFTXWJnGuIf+0msMP0k27cEB7zYh38
h941973wr2Cx2sDRsZnyKhh4QebplqdTjlPxyxTQNxecmsKDpKNJIVKwMGFBHY1a3/Oe4d71QBG8
PsR8P6hU5cNFMsDn5DGJ6Mn0qFo8Cl6nh8cyhr7A1v6UrYKlWXvRHzDevXYXRYKT8i+4I9NmrfhV
f1EtiG7T1dvmomXgnO3ai7phgcyhm7yrBGW7ivlDCxmETcYvArIIC3nEAJkEfGsQ6gHdRA8BxQIh
BSI13aLW4SOl81ldtBY+RBcexBfBRYURN8N9AlkGfOsUghLmYvSapIgaUW9noio00ShVNPGcvRj0
kLO+r1AowdrQh8oRg17QwlKX4ym76EOii1KkraNNR1Dc+J2pci+NZFk7Pd3DtukwQg9wAGMdrRFA
Qn6BC5cLcOgDQUyIWvEMJEFZJWuEnWuKMo2PqULvOQXSl/Hl2Jh1j8sBB7gAdvMXgM+2eMT9OoLX
YoRtWsMhzRsRCAyoNq9W2uZJtPjXaYRPHbfiqm0Hvl1kvI0onjx/Tf07FHvmNCF0pQxnUfp6tptm
DcsgSFA9KYzAQWt4TnR/rTAnz9OeovbHeMavY7VxSLBRRl+NKXmEQx22QCSkFrOoCvjIo623/KVe
mhBaAAgCZtrfpjRGqvEirpyFJQXY9X1WAUPJxCirbJiAYdBA3yUGFRxiUsJirjGCZD7LTRRMu0bQ
EKkp7PMSzh+6tx9ThzCOqK5WcOS9B9nHbS6oU6P+UFfUpt9iox/jqDlN3gzsaXDuGovtSbX9gfbe
N4csXpZahj75IrXq5fAiJEws68o9z529rxoDFmOFS18P7EXK4LmTCeqqiF9bVWOxL7zPwTZhedNy
XlQBJMvjEHxTUfiC/mPr9FYVJu1IwUaEz0mdbueUbuog6hDmBQQ7wbikWKsWsxG7HgOiv4R1WJ+Z
HEmpIN7c6Cr9KhJzRGM5XoKkReYsOJ4FYkZyuH8CA8XOvknDWW+TFNaRFi+aenG9pVaBUI1hW5Zi
9oLoF/deVxCFRWpyc0CeHtDi6jz0Ji7YHOQSm0NOWH1OlvqzouJegKu30yyooeXyboZULWhR51c7
8jKOGOKQURjljjvfXI6gTCn7Eo7sQYb6vrIM6rWoCa7guQ4SuRbvZvxMGAJuBhfhKp5okBLaRndm
Gp6Q7PMxp653EyR8LuTUe5shQhOAKdUXzAN00WF0NY7Rl3ZdL1soakYRjy3KL7vk8MlPSpxAEQ4/
kFpjxITvRWfllgVxDAVULLPY4iI2Mm5uu0WcfUiCQPAOTQljOwBqZPksCQ6YBcYP5WrG+3bB9Eo5
g9oaf3wJFSrfeHLZjo8+RH9U4xztoUd05U1bI747YO8JrXFeVfcxmZqrKZrvZse8aBZxMCME3XYx
ih8x1s90qYaC+n207WS61wPun4+JLmbv6pb5DopA399FSJE6O5bAj7f3jsu0THnMfR8Dnrop4ymI
UafpK9fD84aZQVn5FgbiMzg+fQwKwWIDJ59ct8H398+A+pdMTezcd+bFYdO1hyaQCQP+qniKI/Lg
jnMWa35U2utLBLzexj4CE2Ny8geS6TZS+RSQ19HvPzCzWXOQyNrc9grpgB6FY2+Kp1djfOQt4eeA
VEumw2UbJA0/cmPSnGH5Hse4OxLTNiUYqDd0CU6yQqvBenKD3uJbiIa7e0DO55iLaEY4jY3gAoMz
Gq0zPJ8qhMOhgMcDPyIP9BVJ3fiKOkEHzcbXilcQQvZ0KV2l5jxE2BukEhSpBcY800Aip9DieN4u
YJPcuWZZt7NG9g4bpz5Lgqi6ToV90WixzwzphciMxJwnXEOvFByew+4o4w28Jumegkp2NWHEeiZU
t4h57OC4axeERidoDP79ZPovANY/Tfh/GIPr1bC5spjwE5mXmUTtEf1/zL4REgyRO9h3KXxv/4yD
wJzezBfx+dUEmaifrz+BKP4Kt02/f/3LbPw7nCVa6ezFHMxL8TRDW934VQJ9qTlZOLHCMOwYT8NR
cy0zSpKf8FD+EuL57qv9APEMfZxMssbFS2pRCO8dY5B/f3d+9gY/QDxeNHldDTno1XjRBA5dvqyI
ESQ/u4SXW/AvY/0A4sNLovMlBuiHS0iYL4Rl85VmMWIlA5MnCEV202DPhLXZGiw3Q5vetBYPjKDD
lb9UR9TIsKbvw59c0r+8nciWR6wfEoki9zcq53e3swJDtBs9eI4nGEMvFlOHCVtTtHjoxZYyiPvD
aP1TIuJvzfiT6/BXKArSEhBc6IKPB/fxP18GHSWt8mAVfeHwGi/7yTf72av/gIZS23R1gJntFYmC
Rwu0o/N+Jsa5LIcf7+P3X+CHR21QgbFDj5bVds4GYPoZY7aT4QEcc34Gk//Vyvz+rX546vwp4YCa
wulqgUa+dUQe6rt5FJt/v/7/anf6DhL8cWESjZ11oFgMnaGbmZ6aWJRSTm3O0Rsp1WxhNnhkKbn/
92/7WzbGjxfyu/dNLwD694vQ96F1rwBFhkpvh3Y2sNWEzblo9PUQYRzp1ncBjSHf1czNJepWPrsW
+Z6irGizlu7YmxM3KrirGxSXcyiccrXtPYxod804PY6X7YgE6jhgf7J8gph8ivMO3KEGzvQ4QP29
cKZTwh2DajYsvPCuC7jZKR0/N2GgSz2tJ9jxd3mrnHe2aNTsoXfGI1XlrcWB1Kwok3nlnGyqb6c2
uJure8285h9S2P94Xf4Pfe/O/7gi+u//iX+/dsjeRajZ+MM///7QSfzvPy9/81+/8/c//xN/8vtL
Fi/jy5/+sWnHelxvp/dhvXtHYOf425vhzS+/+f/6w1/ef3uVh1W9/+3XlzdZt2itxqF+HX/9/Uf7
t7/9SpBJjWcbikOssv/4/n1+/6XTi8TfZ3XLfinwf//t376/6PFvv7pO+gkHWgSjk4sTGSwUfv3F
vP/jJ8knmAx7kNa6SLDBoPXXX9puGBn+KPiEAEIvBKXJh1oEr/HrL8ACf/uR/ymETzpOSHxOWOyA
D/zHZ/zTjfjnjfkF/nHnrm5H/bdf/7wTwOMWOZZIb8D2CRKj4/xmuPPdAvamOW5E1zh763RwASAZ
82xOOlEEdv7JM/rnneAfbxXBYz5CMDauxY+52HCdq3i3Juu+QsOeMowZbZ1+Dtuf8SL/6n3S4OIK
CcUoMnp+4CJMsCTQCCGye6ntpmLpm7eQYmbrz9iff/E+4GODhhDi9Ln4Qv352U/U4lB/oA58bvmd
8poHk9aYP4/5d6vq9zv2/R0KLsvgu936twt3iX3xLhQOONv/iz1+uzQ8pLFBmoJ8rMSKoXjVWHSa
c5QjsleAiMu/JJVsoI5iB/BWwpwq2eexiFpMKiyHmhmRkWOFhgfgP3rUvoHLhhPcAoVEeeubNh9n
+PBh2wLyGyASfRzt3iEYRE6RVnlfOydR9/rCw3lGjxGXbBA3ydrPOUVM8YDwrqKKlYu5UouB7+KT
HHitLSrsijkxZMr71QFiBQZtZrz+MwwiGOy6AgyEERK7mU0XlHgcWJ5S8oSnZS2ryDlSrw0zZUO+
oz5cnvoVBoxykPc+C6+HVu5VOD06GGkc0Yq/x3U8HBrBp0K6nGyED7trjpH8rm/RNJHV15nibTk7
5KMLGSlEV2Om7VjovS0CwsFzAj96Db4hWfzKRe3Q1FPOnBmNGpN803N7sHroL4MrHJKWTijlld2M
s4aDRTNhKzaVyeI5DXKRdp/HdLhzROPuphhwvV7GK3+WCYZY3gFRqsAwDUd7EwwHLtr7MFgrgIye
OEcyRGregpnM3klVCssOBm8MMJchus49Uu24Df193E0yW2R0Ut16mqr+frX6W+vOb0s6NkWVdLIg
rfcez/LAQwt7VyQCBg8JC7rXYYYxV1+l6L1WoOxhMKITgWx78qP9PPKdN87PmtUkzVzmAoRk3NRb
DGHXYomc50H111UQfjNkoEXYAUpTAZI8lL8Od0bQ5tKX3QmfXEXowxlb3HbXVQOErHGMwfQKKT9A
iuHUh+Coh5g+ZAKq7n3Q+WDDqgr+MQ4sMIH/HmGAi46triZVMNeH7jVhOC4zhd68SBakCsBAsons
eRKLzbu+tYj7rbC+RDoXfTeULeb4Wb/Yk9LuvvEmuCXGiBxcMVrBeK9PMj+OeAFDnRIhozRfqmhL
43bfCHNAjNcBe7SzAVcLtBL6FaKwGeNF731k0S0IIzZLwqrKZ6BMiTN9UKSrtlGzXq/pEmW+ajdD
2D/0MDhx1lGB/Q/SuUN72LS0NQwn3PEjlZ571MF0Iuk6wOil+zpVQu5aBHD1Htm7E1kAY04v+Njf
QlciM43ESE7l74iaP7BFKsTDcpZJbwbRZcZQM+35AWo/Xno+g1dNcN376bsw/K5FLwvixDRggIlE
gil5jrBjOJhB5E7S1seK1k1OFtAVae0+dWv3dVmdbjPI6FhHQOCjYd+M8SO0NHrrDONnpHO0+TSE
1+EYYkdVplz7GHPtId4iqQQEG2ARte/KrE9CuEaraz+JjmoCtocojG+iuQmX8NbVA8RUgcSttT3g
Hbf+hoVR5bpatr0OwIdeMNz0/PiMcbbO4btH83RgaQ62iSkGN3iDiPyxd1pVwtDuhoDry1qCqPII
SjedrJlRF2o6Npe87W2eEIPItMbZODFEB04A35gloKQYPHcphONdphMIfjJ4UHMV0CnzYmkLE/Ox
8EajtqqZIZ+sU1Da4BiUd374BLvewzqF95wEMTg7hJdELecEuFsJ+PxRcGdHo0EfmhY/t0lIrru+
utJTC7CEYGjkatFkfQsDO09j3K/9i0CKVAcJU+mNiGqGtCHw5hARCoZEOjwOw/iA6diUrzX+M9Y8
JonVXVuH2C8bEDN5K+pCXNzGBcNJR5DSksUYV5QDN9eYeCIEyY0pQNcAvu+JUJuZJNilL0wM3dqv
ZMVMMRVwSW1SXGEjcQ1B15rfbds+6wncExKa4ca6cZSnJNXg6wosg9mdD+gAc6BQgINQEV63tvY2
KU3jcgHkVqTKfU/WEBg7x9EytDS68vuYZ9bMa9kzs15pTngGvwpxXqMKpC7L3pD1vEfI2bQTcbJL
Zh/QWTfmK65xXXkpWEkEU1nR52uHJK0oCb9iqoS+s9VluCqZRY5zmgXcdJaxXwuzxmQrU4DnIKqj
6ubplQB4V8aLFoUMAlGa9XI2EegvOUKONql2TgSSAGKsLCdJHPCcQD7LxiRgZT8kI447qGRM2OAC
L3QL25QQewn01wTb+1VMvZeoxR5M3ZbnWgx3hCf1cR4xjxdMwxJRjudQQXHexN5xNWl87Andmmi8
Eq14tPNg9z+pHf61cogwA7rEgCEQChFdfy5RkM+kcPGVs1980Eyg6EL61k+quh9o0L9VJ7Dbv1Qm
CFIDQPBDGSTkMNteMrvHsQG/eFstu5TxI3oMYCWj+ho1AIZ7t3aOgTfeimjat7r+Xfr1v7zBCFHp
/fcNRvEifjm+iL9sLy5/+Ud7kXxKMS1Dy4JbgGwUUC3/aC/iT9jnAg9xKQgtBi3tn+2F/+liqAID
WyxrxGbGqJH/aC+8TxhqxAiCwk+DyEmD/0l7AROMf1mC6FXwTojmQKRS+KNz6gq7C+OCcrX3Kwb8
onpN8CgUHU1mMCRcUywC4xvmuxjTM8j/aT18KK+GsWdtj/3atdsqYZ8d/yXFlHfqkJmLigeIIuxz
IgYdLni/R+lGaovoL5FLy19n5ppsUOzdTefP0Sqe1AAiDELSj4Z6t11tVInInTqrHez2bmzAahSq
1MskruSIGLu+U88xcUBfG6cv4VR99PMskYsJJhVgkr0TVogBC25qkAuNSq5cCXxk8d0TFeKqsrBp
c6sbamHZVc3BfT/33wZ/OjurKSvVthtw+Zasln7JksYrIuPeCUTGVRjSZ1S6L4tX86yZPJZ3XvRR
TeOJVP037mK6LOC0tsKHbYzAY+sPwQy/t+DstfLk01DsqlB2GaX9WzdEWwCpQEQ6JB80beduaphI
FLTnUDXbc43lkkMfcQPmaJQNMj57gOCAvpzYHH4MPgHkjfJxpesd66O9ANmLB3y/1qgrPW8E8d63
Wx+MyETgKs5qPfZpVxXOCJ2FURFAWjD51pUDHU8WsJoCCowB0cQn0rF30Tlkp39D9ycQ7ww91/hw
WQ/+7iaOk8e4Jv02xP4/drIpOF2/ig7Qeeq0d154IYFZHBkyFnGu+vEQTBWwfQZ3uGWoDzVw5AKw
Bsl7kCC2uudhoadhPRg1zEWLSO8jVa5+CMgAZShT96ZGUKHwUKsIIGV68iUgBBbnFjD5ddinLzAX
enNaDcyyiR+MC0fJzupgO1N74LL9Jmv3FLeg4sGho+gXAwpo477CpQKlqm2Bpo3Ns538uzgFkdnn
IzLMmMYB3XD2aEkN3fPEwUft2xpeWuN5WUGinIFPXLtcITqqdwF7d1Jspsg9RFze1w7WDkLKDmq0
56EJ7jtAlaXbkOoYSjgUpVTqsgHX4dA67ElYBaawhEY+adPpevCaZ0rgeAgndgBzHpYNsMNjJemT
dLt1JxBjmDdkuOF+Wh911ai8GgK55xG9n7UbbRKrga+O8qnqnCMhyCm41AwAP1/6AbQo6e9BD203
FZnTnRTxkkuf2CJc4je0Me4GDLd0A0UpK2IDt/5u3COeaMf88a6R3q2p+U3jqhOqe3B+Y3E3UnOY
RtAT/fAwxSnKEkhMWeCAapqSsaSVvR1YVWdBnQ6342A/C6FuKJbRDrX3srOzCrIAHK8C49u1FBZl
+ioJiEA0RPOB0nPTI3g5A2fyOmgA+MNL771JOaKLpEQdql/5iHtjtN51I2aiSFnbJeG49xjZNS0l
ZerV3ab3aZUtCzh+bU3nfesBDbM1vJUjxV9sKEi2oD8uKlJBI47VkDkDD7NQ4rkBY3fbNKYrDIDm
oafHxi6PEcTRYMji/ZCjFuGj4Ou0HafZEkxPzEGDP3oOODQVQ53VXge9+kChinrDhODQwUQftjrX
w+KWiDdywBIw56pz0cdqkASGAX0TyNB0Ng8Ej1QQt81u9u0p7km8Tz0aFIZX8GdsZ+CKve79I1JK
buDo9gpf6pfB94Mr2MBcUwNrtAitAMj3K1S1uoXSA4xc16P+ZmaeyCEwg9q3AT0HSmJdOmal6DKi
VyQYI1BQ6HuAstt2Qp/GEggHkYGEnTXEZKJut/iydmO06u77drybNEw3Uye3jbccWwrRj17btUiQ
n9nFwXmivtpWBuUgaUmd6Qiqwoo7cgcAGbebrUdg4Wk2a3qAhU6eqCrKyOU14a2PWnGELFo3ANYT
8Idd/US79WWpwHbmU7K3ESgMq98hdvFdN+SLFF6pQg7mceUyNBr6NaFDW06YBOATrk8RC314CNFC
+GA4pAxsj/hjZSItmn58rlidgCDhH7s40QXk42EWLBwDNwvJAr4G6ukAQKHs5RPpQpp1cgJlNH2C
1mobtesOLJuhwBmrwOuwD6CztwLTFbQRBlDigkxLjqfPO01Rgv/UeBsN+ixUVdfUjYvAadcNsN1n
1ZB531tnBu86JdtqHU5CwHqGOgdvugnlcKxqWPS6BH7P+szcKi6AE2BAIGXZNehudSWvVGy2q1pE
sajx4g414Vk/sgnM4nCvlH+HKr3ExX5yRwgKasbwHZ1hycAQw6Hlim3vOxZrOn7iav4WLwhTcfv4
0Uj6LirnAFnlq1DzSZr4LYhxhFsz5mpd9mlFvioEYUZIaUWfEiYgG8kJmodF7vFkVaUzgscRYJZT
BDVLb2VI0808O5/DYYW7/epinm4snu6KooJYwX6CJdQKjBY9euAyLA6TgEkV06uK87s4xHC9XZZj
Z+NHR/oo5nWCjNf4VsbRueohxiRefQLwjHZTrqDRNv1X0iefpWceDJwU8n5sKGYcAsMBo/aIDbgV
JjXgWfvPIoCgbGzrCU81qnFhmudGdf4mrtNbxN+KLPA7P+PDQnM/dt4vZrR9UnVFukw3M0q3zIQQ
EpTTUoE4CS6WbUEgJe2zcdjQ5AGBJ4ul6uCpacmj1j8jWuYjmKFcq5EgTnsFOYNJX+J5jAtgFzIn
UoQg+QrspVV0ZmHzAdB7G1TTE6QFcLfo7waO351Y93W03jFY/QNmIndjVx/9of8KJr7MjOFo8WC6
ncUKXh8k7lN8g/44mvUFYCLqtYCt5YwmYeSIOpsjkD5IAkLOKFZMw2iUZCuI7lkLng0aYrOf4tWA
ZuE9dwlCQxJ7TiK4daUJ/WKD5ujOiFGu56cgwM4VOstOLf6LoQZ0kLm7nmk5kAHLNZjj7YI2mymf
FRVfuiwxpYrdR7Rm+mqW/XQEy/rkoAqN2+68LJf5kA9uUh5oTN943zcZBA3k80xdceODRJE1I5T+
Q3pM3eHJAZ+xhWxlMyNQzTDQizVVSD4GDIR34zh88Yu2xdqEV40N2HgtqwTojW+B9IyOfyGMgRyw
thsl2vGEScLVaKMFdaeTST3lKkkPPEaxVycD3pmrDtR9ryrjdtrwhtJ7KtwZLDrU1nTpoCmgzrNM
MVua8KxC9nAMEDoMvs3lparlsxIuICg2wan6sghEFL2Pyh7t6IZojZ/nTmYh+DwdmevSW4YjCVe/
rKlqUKaBTTN0YG76AeZNcOB/rYbqyjZzWy4KFtiDI5/h7Vvfw+0X3TXmEkPAN5ccbZbE58b3LkRa
c4p60JzCaDmlI1X3s2s68NWH96SuoXeRI4Br2IxWC3mcZ7PFDA/ZzFbSIkrGPcC0D/DmsL76XmYQ
0eADIWsZglSwoInoQ+iwmc49BLIpp0fJNKwvwjkNGE+tYfPYVM4XHUL2UBu5G4ELZWkwfWZJBEI1
psK+nvbDiCWDQOudmxJRgFoErr8AF3Re56IBSJI3On5KfUzedOJuUrN+RLSrkUK43MHP4soVyw2r
WFySWaDCxONAXRXsuMKhLROtM6cFNwuqi2SfAgnJGz+GSwS/iL5IcAaLGpWB3CSLP4FV7k0blLaQ
rQR4hn0cAJi2gvCtTLrtV3Bca47SgmH+nkmBEbVcQWcIFE6uqgOTUeFzX5GZf7jVhIwv6wTF1Ey0
cOYO7CAVg61WM3+rI/B8W3dJz93stnuoeMrVnV+jKMWD5kPOoAW5HN6P0NTskLPzjYMMnXvO9NpP
ek80unoxtQcXvhbaaPRx6wklyNaw+AN0rYMXkqnwUDYtMTq3mJgbf06SHGOrshuDJ3eZ3AyxsfIf
JJL/nYMA+Nmic79Eo/z3U4Ds5fWXbf3S0u/nAP/8wz+GAPEnYIsI3g3dBPm7ARgJfwwBwk8Jooax
DUYIzkCz/19DAM/9hOFQipYdfglIMboAWL8PAfAj13MRQhfhp4Dq4v/JDAAQ3w8zAHweN4GFMPyL
8LLpZUTxPUrOQZtaqe3bK8QONVipEUJPIW8snJVFO5jjUJyCSMaFPuLekgS1xQqQKlWgcZulQnx3
mvTbNvK/aLAo1Thv5nQ8EEzFIfZ6bVPoVDBXb0qwBZ8W4r4GA3lzJvm1kmBsDbFdt0Ql74MC7gLG
6ZeIEQgnhd4gaPZ2WtIb67OoFGLimMzGfINCFkjN0FQ5X5e3Wfiv0YXl9n/JO5PlypEr2/6KfgAy
9IBPL3BbXpKXfZATGLtA6+gBB/D1byElZaSkKpnloMxeWQ1ykBHGYAe4n3P22vv0PpW0Bfi2LGAm
zsrCJUBx8UrHNWBybUVmUrsOIUoQOpXN7l5TUHUZeF3lRZwkSxvv25W9G4DwBoFTaqXycOc8kJhz
hAn4rsD2RvDsaeX4xpXoGyvnxl0Zv2IsuDfB/nprrvdyJQEbY3xQKxsoNVpsILeXijozyFaCkFR5
7VQCFeYrXTiyM3JrrcShWDQPjhgK0V95xE4bnFCtjKK+0ooaC2gCrpy1fIdllCvVOGTFc8Xizlaw
HNyv9R/NSkAOszK3qiApaFj5SAkoqeweYNK/N/1OHZj0GpsFOzWT2JcxL79ljxCmGyxSj5xC4u/s
Howle8SO+g6qNKMQjLfpQnaWv/KbY53uHIBOVkpPwQLi2c1aetAZI3HLgX+K/IVv9TI0IL8xgGjJ
LgjUxviuWByTGgSKdGJmuUsHpo5a4pOu3pwX17ibu9nDcsA4JS7jN7/ueYi6+S7V4rtZZ+UaahOr
EXOd0st66uZKBGLw9uVc5qEnurekga7vEOm20tMesEvmJG+CaNo9I+Ri1rOjYeY/+TYfeMYH7lgW
3y+F154q+stwQG/DTmDap0T0l8UV835ynVOb8S+AOOHUbcyRES3OpDrWs9By+Pm3GnaPxlJvMSOs
g7I8XFkyiXes8LrCeIZquZLkNg61wUPiiuuvPm1TuAUPt+PsPcPWHqt+eF5aFgE4o3cpI/JgOgun
yzR73dbNbW3DZiP/eoA52toJDOJUYGkQWXppM51UUZOjBv35aGb6T7Kysau0tRmWOd9R2Z6AFo74
BxlveXsgnK1mR6c+zc7c+me9gro09W1XN6/CUXVoJOVVbOdlqPTWDbPOwsJpeYq6nMKHnPGADBex
MWeHK8Mq/QPGs7OTDt7GJ4c5HHo5Bcpnq2yL9bZbrNDTXC+EB9eCyC/5PiTFaGH0z6ZRy20S3djK
wkiIqyWA7NsSIXHKmlxuR9+5wmsm0G6996iH0saoAY8wMrHIlHeYUrcN5saswjWpH3stHttozhEE
saDoifUuI8M5VSySCHy7cs+UBdVeVEsVJKDkbJ/gGbUt+sQY/AhSLdokrjq7hfw0C+z2i9kmgedr
T2ZT5HjzsDiJPH/20/J5Ib4bIcp0No2zYqYJ01Hakauhyruw98dL5TCPsmpENKKCv1l59G2ns7lp
lmI42JmLUsTjToYAMzETR1rqLLepnG6NqLgzG140zS4OVY5inTraudCGp9hj6mcqBHYbBaWoFogA
PX+nEQc8Sz7jRbsRQ3mOVkcc1d6WnisNhOubqC3azgWWF2WPAVoidM/En5ju1iii63zxb5fSaTed
GdMJFmvcZZFdt5aL6Blrj1M+4s1L1BNO+8vMPDK03FRw8FQvvqk+Bo2zI21tb+OhkeWRdijr4oSs
9tQWPsr1ZI9bQ6uPkY8qI+P5qzTnF83u9HC07ei6WLT3udT6M9si3qXq7dBRQx8mNZM6Q1k/y9JQ
QVXmH2Yb3cSjPPtV9dW2hHWl1Lp9GxU7EL+7XqeqkWZVbFib2oe9gx1YsxDeug4CmSk6NiXRP7qe
90C/ZVybjdTWwIv3iv2um5kNB1D48oiarZfrdhYju5qF6LaSl/VUZswhmdTe6BGDLM8CjbNR3iMU
pE0JRNCI+kkOCZbttmU9dBL1BBfTXNnG6oOwjqJKLoZIDqPj8Bmmemeqygl7xuN79O8iSJboXjCf
DPXVLjnmLvWWurcMNptXOh2L0d0axnCEdn1rIL4KPWIyAMa9carS2eGbumBA91fryFMi9Z42hHUi
8fAeecsxGipSAUx7007ilNhLUDTNd7JY1QbHixvqS3RjFfYrEipW6Na4xvmZMD7XBRz1eO5mZ7hK
5/SYp+iDrA5/nKe16zCGcWtbmOIH6yKtLrS9HINn8ZpM37Y1bn3v3qnqR/aafHZx2W1z9pqHMYrj
Lsss8AGnbfl5skfbzJiFD7N3T9BcB+BR3pmx0BhMDRlvtZBBZAmGdMVsb/06/8zH6sOK5SkaLXM/
DrINcEjTjRjYqURM5HbRzifPnJrQH+1z3Xol4L/R7w0W87yla/8dQ2TERSLDrihwU3vaMWtTKoEO
T1yhmy+OwsmlsSWSU/jAPJGnuvYrVIz5uhJVjzmgeBgEeF8ic7WxtLoJY9LgT42WLrtZH0UwegY5
GrhFT5W2fNez6QZxKx5QhI1TJTpCZCd/DhHKZ+zSg74ZPTqV3Cyex3lpfwBb7MeC9M0pOSuzxFBi
iE2+Lt/RiSTemIPOwhdNpYFbdxrhfmq6LE43Y6339xCVISlHADsMbIOYZuaYLPG3iKx3sjzSuyW3
93Bq2c5Z5FNdqPpKmywZ5nPzOK/L5jQd0ZfIAx4NUc9HUeANyIqZHs1L9NCX498Xdf+pFuA6/Wyr
rvrZ/zNg+M+E4v9CJHGF4v/7XuHwXlbpH/uE31HG9eP+0Sq4f9VNXddtwkD+pu/9oVUwhU7OKMlc
lP0rOPd3HJF+gD80wa0N3TM8Fu/9ahX0vzqurfuoywZlPgXSn+kVvN/WNv4iaj1Wh5n0KlCSjslf
in9d66jba0El2/RE9U3oSn5N8q+91adBHLN5sDdluTTBRDVOXIl4lq1jBkZt4jlLFSbJ1nA3ZSwX
phASL6iH9q9caW1bvdkAIePYm0Iz1lxWkPFotnV39Hr3kXbrJk9o66UGAw0K+7OkOgt1RxqHNCFm
QhRYn905LcLabE+xHds7IePr2i6qOzZ6+BjnJ6bvyZyCOHMJytiEehqLEpKnv9Er9TCLBC/elNgY
E7muxaDZe59pJKtp6ydnsi71gKrgMEIIqgEbZWTu8H6bKTt5VTv0u9xd5MavsPB73fK66MQLJJ2T
Hv0Is1Ra1t9eQyry7Pca3E6hh1bhdGEjChZpOXbeMS0ZoFzS5V0fjfiKbVakUxoq2g6Nakk9IDze
YYgY9pB5lM5EYGd1ngamodyHfJiehCQ2fCiq4kofhLnKRxruO6V2vZPc2Swiqw3Mgm3PwudsyfFJ
9xlscXVSOeIIp+eItApGQ3YE4s6miLUt3vtD1ycaQxASMxF5N7o+bpXXbFtnCHFgdcH6GGPIEu9Q
KI+lzgoER6rvqlRvk1BPxuifF5P1z6ZRBGUkaIFIQNm0LvW6624Gu7tyUyts/SQs3J+Vx3cYz1zE
PekFY5XdNYN4xHZ7V87Owzg7z7Rsr7pBhZtmzOfGnvQqTHSpEbFMK8GSnHOqzumwqyIRIijuzFhd
VG0+qLYmyyEusP9hqmOAWQQLv8eLX3HhJ9TkVdJ5O12nPBB+ei/cbmctKED5qak2UYWmUZrXUTt8
9UUOrTVucenSqCUlq8aLfusl1c9lsiG22u2iNz+UapCW9TkF4CbXwkeDYyJwu2T9g+fkt2RmvWm6
2NNUNYwxzSJwh+Yqipg0uiY1qj7sk0w+mQshELORIFnm7YvZo6rqfkzJkvT7gcCUqeJuX/TpOqkx
36pY3I199TMfZbWrtPg7jqoXpuinKW5YWqUTLQMbwiqzNsgM/UTSx0tvJy5NjXnFhB3nNxelnYl+
3w8xdyq3qDWx9lHyZEyaSTzF1FQrb0XsyXr9DgSf7G1uZCUJ1CtTWztFrf5UlLKEHFrnzmDxbDe8
8haNYpNOS47JJc/dp9qUlDeJf4eRKMPVoy4uZBdpLOmDD5TF6THfa3hqq37knRIUJbj2XqqEsTMv
4h20L4t8yyBuynrL0s0rP28vHWkOIdGIvNsLd+xkdjd4tvBh9sggjp2Wt3ouE9YFzfKAOvuSp8mu
7srbDk6sVPyYiUld6gKbbbrvUR/TOdpyTtE5Tz+428EmPeRjkyeJ0kiL5isH1QTilyWJBuWLaFWC
UubxxIipCJxI3ZOh+GWM+g5li7hhZ99QhaPO4E0b2I66X1r7UeSTsXGz+tyNmLiLuHyzGDJETvLQ
64wgWLCXhYtdfzA9uddice8Y1U3FONlm+eeGldo3TdM/iMrWAPMgrGrGCETSVMciUdflkJ3oKxJ8
rKm7cWfzonRmC3WXWhQllFitfJ9afplFpd2JemwJUylOS29pu2LtfOo1w10QceXr8rrL07M7TO/G
7B95SV/rKYlDY8i/SKG5NJZ130XdNYzTviRnKqt/SL04ODooQN0pxq+xeKiNhWQmZIWhAkBUTCgP
c+0WDzaO1gdbTFowLs608+PJRe3oze6xcTMPb1J8Oyzgw1HCb2tD7YlS284f/dRVW69kpsqB4frb
tgQKEQpkg6GLgc24aukF4WJbP4qhinWXL0bz2hl+1e6ObpsyBwfWOaaGn/wgQ0R7KuJpOXYQ+Fdq
GLNgGWfWnVhlchVx/F7HEd3GTNY2nSvL0MzietGHh8yqWHiBANGYwyp8sIwlq7cRGWEbhQ0YA6lk
iC+lsy9qtCazmLSjN4zX1eQQnIiCGk7r2jwGfvsK0W03CFvfJ0mRbWVdFjeaxVdtRXhyMrIa9n03
fS6VuROdYRO5UahzFks2CrKKdOP36b3ynAtYxFZwZ2/0uXg03fqDjIsnJPAn/OWMOOK644rQpQKw
nG4ym/JxQI42vCP7Xl6mOr/3E4pM8+yOYpfMJBtgmQfkIMMn2mbVB6wzbm4+d5BNjxbRSiLNvuJp
3DUDnXTsaSZK6W8kITgssQ9OdDeTaATQyDuBj5UspH1Rokjf6VN/TCM85309nHL33etuSzYmKkJn
+ul9dAjF6BQcn1iFq+jWGInQwGDcRPV1VlgfrJ9kq8F40w/JNnPNXTL157xo6V/cJkRp2ozGLp1J
mJ2ZWPykC2ewc07QvEv9RyoJOtF+2AVG3cwLmtq7i7U7joYbOeiPJepJZlvb0oiP4yrWYXPsGINa
X2rGecpWz8gYLw6wa4Zo0/u4ibiL6oHGr1oeTWxtLg3EBiAJSCITV1rDbycut4MArSjbjeGnp3a0
T301bNYLz4qQQ/xntbBIiDxetGJl307mg194N16VfOncnB7e54CZJi7TL1VVV6aGvvth9vNthX5R
m0DN/Pjr+laYpM7KSy+ym9koN1J3Ge8Pm0jVN6Wjv3a5HWaE51mD8UJ6273JdzMbwz1rTkTpuav/
9zRGwyEt8yvdxUvg41CszPrKle2BFeomEeqMHiJsG3lMrMR0b7Iqs7Aj0AwFWvKlLemOl+PZtWlT
ENvr6DqNeUW3U4ry3j5E6a4kP28BT0gwc+dcDiTVqN2if9juwdWNoBxviSEslz4sdTItnrR4J6bv
on4Z52MykFD0KspdIs5x80JMnTD3Ar2STCHZUiW2gVLfIn6yiPbJ7uriMBm32kxIwiFbl6o8RumI
3o0MBdCDNwMUieH6Zlzea47PnF9j+hlV3c43Ptv6XdaHgdWe8Z1h7is9jJd7agAseIX/EptbkwCv
9FNgkDF+1ng2sGH4XNfxlyhiHsJx01x4DfdURMeyZ9t1t2eT5pFnonOO83wusr0r4hcCabfedOdq
DVxrdT345VUpFVSM2we2PW1bYNe+qII0Uvs1WGdWN1z6gZKCt1AwJjUHeRnGcUvB+q5FVAgi5XcE
PqcT1VdHM5qdx/Q+HX8m/Xw9NMD73gLR4qyBcGNaQtjw6LObe4kahs6ee2yKtcwbmoNZNGRHZe76
u75J4phvKy0OAoGK2imXG53Q9iAdaxJ5nBvPgjwrOv9xTrXHPhvuSRA55nZ5TGM+Zeupn4nFDyVP
7V2rGNVUdrRFjj2LuiKGIIYMmbz4tU3bYdebK/tEhGfU6NfIA1Ggt+VDbGFIsOKaqLTmbVl4byuT
atkiHaoTYrxdcI0A8ZAk8Ftz9j/QqO6/q9V01v1rN7t+qt/NdP9/uOd+k6ZsDy3pP/Wp6V/Cofov
NK3fPvBXo+oCKkG0svvCwfv0S9Nykaf4A1ZH6SRIr3rTr0bVBGn1CeS3hec4Pn/1D01L/ytDNxS3
FX5CItPdP9OoWv9Fo8oE27NQiczVASZW0esPzjloRLjnoShOU4tvEcwcKDKn5oLaOnR+fknsLtnq
GXHBTG0UOpB7qn/L8aM2oQ4tbyTDGgggk9TGkbqyAbB/iXPoHZgVRlQEpW0ZHX/LzoEjo1XeJZrH
EEuz3TejyV7mBcVqcIuE5hbViRua1Uh6cpUyINyWSn5J3bkYg/M2CHgSfVJQbJr72WaMyBuAlf2a
aJnmDGequnvzEOOunSl6LbEwbhug1tDOtW93mtpd7CwXN47uB3tt1aZ+grGp+5thNokOmRD389m1
WR1oN0evMb9TMd4xuRsOmmCuSbePXofpFejG2lA4ZzADGoZcwSw1XqyHMasPfkd1zWyPdjjy0ZRa
99NTzZVfkDKVNN5XTadOP80dDLrBgST7TY9sUVtgsRyqrqw4Y13d2rm9UwFKuUyogT9qM88CyyRK
ZrFFMCzej15515SuqyMOXilvb8jgORtyOuhGGRPzbMAxufxPFCpnfliwZoDjOLt8kj9jlzPYT5ev
pqAA7NoH1yqeLGNVwL23bo5fLHN41SGWt1otP0i/YO8xRxmNeL+3BZFy1UQmVpP5mF4m9xKnzMbr
qHuKHbvcCoJCN4ZuXebU9u/yFjFCDb4VaIWfhSmZCNYkjCtHJ5/IUHMVtn3zNauGxwoKlwgc0gu1
0gJZ0XMmhwhMBgKASsjib5zsuwOm2wDvmIQrkUyRElExr1kVxZpaMaz5FS7400ZbMy0wDtImrTkX
Cv0DC1oHc7qmYCSieEz8+qPoxK2cuU4TIjOMpL7FjVTsBsI0eChcJBLyNaoR30OXLntnzd6wCOFo
1jQOfi9MVRI3DnSiOojDJiUOiIp/qf85EufRrrkeyLdrtXdjNfmVXTV3PeovVp/ijDmNayV9oox/
RrzcWUSGEM1x3RIh0nfZpV8zRVLCRQbTL/ZCAg62a/KIhXbI51mp5zWXxCkHoG1iA9bEkh5vODMJ
6xMO6WteRV9Eca6+VQiG3sqozRCHzcUD/zHutChqaci1jwUd2bJ1xNLJ+S6Xbt4PEbtyuih7Y4zy
Jerlcy4YKZSki5BKgnmorj4jzQu8urui99yy6+mx7YwfmWs0+2kVuaNV7ubbQIpdJXDU5AeidZh/
rPL4sgrl1SqZV82YXibZFSREwyv3sng3u6phD4cjDjVv8nZYmKimoycgzbLH3NDI6Kz1My45nXk4
UsTgaXlgSEBbolMsGgy8ThomGIr4iS6uzTMSufQjBqElbIfijZUyMc6pyqNH8purUbeeonpYHex0
6nNMGHKb4PDwGhJilah3miTxr1XRKuO/A0jxc0ftC/PSPM2TEpvWmV7NprwamwRlunmIRX7Cizfj
k8sIae1XbybEit2H6RppayuPpCdTNltO4n1qyRuBqqjFBIO6k8Duw9tc++NejXwkJC1QIkSAK/VH
z0ufTVd9xx129w5ENODxMejY4pbOo6OSjHEktvIzHuqHuda9YypniGHJMGKSNiljM+bJxKb7gOgk
lLNVm9pRqJUlg6ZyLWAJXaTnFj8nesitjTMokJW89cf+FcvjVUvoXziL/LDY+X3b9edFa216/+kA
rHdvpKj5JLhRci5IyFqswkajeQPsywNPFgVtnxxvaCDjHbLCN07w5UqZEflC8QCxXLpftgBk/Z8q
Sv7XGPr/XpJQP/yHkmQo47+8fpd/nJ7/+rhfFQnADMtZ7XVBHCssflUkUDYC+7ILLaP7TK//WJHo
lBvCd3HACN9eAZw/VCS6SeAoryp2Ukf3/0xFwpz83zAbS9fxevGF6Pa/YzZEGROdPfrZKSeTTRPk
b/mxc5GGNIPcBNXgsW3CUY7WNq+js058nOJewFi3bXogVh47IpD9ZB+lDTFJIhRusauq4XvGa4mT
j63E9Bh1Vb57RXXSSv018uRx4AvaGO1SHihWjq2yWOdeMzHMKIVsrn4SqIgIvtFq9yZJCY0dF+8G
FD7sKFECXj5OldjhbCd4Ww5aOJUm+1QeI8BYksrZpdmH1VSHXFTkkRnFvQe9F5h++mBpOaHRc1au
Q9YDB3II/CRJcSuPTWXtPb6IobVP+jCzD2varrB0N/FeZWKnOcZ28omHkyUiuhZkfR/tJW9Y14Jp
m0v3qg0Me/MixzlDWdCL9HokfVZgMWiM5LEr8xdXprdjPuBGMm/UWELd2cYdNtFsUxb5Oe7MRwi/
gyMf68THjS/CRcPS0eZbLId3xNFuSo9fQ0LMaGFvS51BT1nJgOlt6GbxkcH1xs31bTQ86iknktJI
o027K5jzV2cmylc0B2c9bVoTsdiDztj0lbNaH44FJ1JMWh5q5F3vLCirrxojCpJW0YDHnVstwZLJ
nYQKnIV2IsGLjHTzFlDtNEvY3WHW98V8FRfuLinS45Crs3Ssz5nzULj5UWrFD3coDqRpHguP5wFX
mgqw5O6Wbj215u3SARPO7YONIo3X6OSXzlZbxpeZE3dICb2T431NH0ieN+Fy/p4q+ohXh0Jthltd
PdHVfFTGyMBPbkBs1rHeDtJ6b3Ax85LxSfTHRjoXXz7rCRtisftOvfyaOP8JG96b3Rhq1odRi93E
6NFIpkPj2cwpHlXr71oJBoyOuiVWcJ9xmbTFd6fPAYzEqTPaG31xr9gvsRngNmNbbBQZsxtF9dky
bbfWTOTRbsCECLMdCCRX0bNN6rbvEJiNBkWFqJODZHCRieGr6L5ktFSb1twX+HvMqAuHyTjY0v4i
Mnw/5NVNL5tNYa+Z3TjxxWS/inEsgtzh83VaMFHHTigIE7/lAFNp0I7ONm01fivlxzjmX+uQFYbi
ynPwAPgd9+RQhqNfX4n22BGpDbnGJRIFWAAvysrPUwmPD1YjLffBxEIdRGn2CHHGC5th8ZLxyW8w
SAO4dYAMLdOTSCcM0Wbs1kTFsREiiGcsuMyWajL2kVY8JBarISIbAV76AkzcAkpAWEHqsfOHwR2u
XTXuY79j1nLWMpOtSQWW9nw/LMkJZ9Bhst2z6Y/nslzdo59qLkn9fpNVc2mGfU68ktU5m9x4aGpM
LsOjs9In5gvS0atNgFfaxwGJ07BhxA07c/G0lD8179UeWZgOql2u781t5dZbNiRX6RKyfJVpFn1M
N4hoYyzPXg6I7WPNXoWpeGbRQ9qumzHOa9SiNn5MWb0DjlrLbOgAOx+2U1KecvQtm5j3weE37n23
lL8Bc4xDb1Zb2Nkl7CfKoXSy9xbiWLeKZDp++U7rL22E6kDQ4rHG+GANhNLG5IhsFoOBlCIt06zr
Q1OBCrrO9QRLlSwV6Rpm0q4pHuNVtyp02WLf6bl/r1J/H8/ZY1rBnpigffbqkB4q71NM0YLqjsxH
m/pQ5+76jS3vjctgo7Ly1zGebiMLQ8yYsfMY3huDuJPjtGvUZWEXQqha7XXin9uwenKmnpTf2QxF
VYsbuPC15TzgkMHWNBEgq9jPEbORAOcWryj6ZLIkVyQhv+sCL3buExTe4poK9MJ5iPwelWCCFFFi
xpfpdtq2XhATjJltgfrwNerJW5dOXwmbhwI9x/3UCXXK64IScmLyxN4QuUP/xNeUYRv6P1/9eGBz
EL7/qfh5TL/Lf4eMf//AX9WP59smCj1JQYQVYUH+A2NsOBwynmPYLp7j36sfAzqAQD9cxNQ5loFA
8nv1w1/xlfFvQa5QGvHfn6l+KG/+pfqBP2AcgwMB4FTo1lqc/XEeQ1YrOnduM7PW/aOqi3cj6d+J
pKjvC6YRoaR6IWAryu/zwYyfbAv7F6qHvhmWVLtJF7wMFPjEhWj5q2i0mhmKRQo+UwrsePYQ5889
uiUMbm0vYZPhS+SOUN19AdAV2JbL2Q5uQ3Nhkno7tAyELcnx6BH2HFkcHmnc+rfStDkiXfK4hOEm
N200lnRi0d2gLE6vsskPE13d2RXTSx9jEmsT80DcXoQG0x7lgJfF8cBxx2wXk/KwbUkiOHaEma5b
PfKgk+5zC2aAI/Ho47ckDghbWMNO7jzO9oNWVftaS1APm8eU1lDD1RtTljLtrRK0Qth9bTo4q25Q
sD6Vb39fExMKFygeZdJso3n5TCI2LbgTlEVVkyvCXOwWyk2jw4uu/Ky2MNOZ772IrjMGu4s3WGHh
zT9sE7NALXRWa8dpCEaBpE7SB2xjGjgx+1pjfcG5pN5SkR5lZDdbVEiWhbrkzlc+IYMEpUKPqRvg
8h+20/LZTf0tmXS1Zw+EAy9Z3CUJsomZWHdlqvmQegZpqOOAUYMoBieBZ50lSpEv2fehoAe5vZkk
2cCIzZQclonzPGZ4Ropm4dKnNxqRJy78eUMOkmCCX/rNCmAPehHqus5qoR6S2CaH3y6eshqjYDh1
s3XXxZNCC6JdfHBGHoBN34g2u18iZ43/kWRAIEPSzvnFzeik7r3TsoDCVun14vmUL6bi9Eb79liI
sDeqAhcJsSN3oODtjtUN6TPWY/7N2Kg/XE06x3H0h1ejnABbNNPY0XOiQyvkjywG7Aq7mdlIgO9t
ZiFEGx81x/NZuBMdCOjYRuBBwBrmCFa/knO1Z5KBWTrGnS91vK9sxJDQisVlWeRYbIcRX4/kGTq4
WmK022Hm/53a049ZHNevCjvpD7LNrpfK79kH6SMEtBrB0UHK7bfVHWwiGMDjA4tXpresqBnMeK65
zZSRhf/nz/C/daIuAQ7/fQd7SYa/PCbVvzew64f94wh3/mqTFOFZHkt1/X9qYO2/+oYFxfU39GuN
vvs1UucmsGkAMJhwYDM3/0MDyzkF/OXwkcZqL/kzRzjLvf7lCOd68Ly1e2UBu+0b3Aj/dIS3bWkD
aDUJOQfUs6byd4tBFISmuV8Z4FYt+2Pkld9Gmd5VpfVqdDUnQZXvHE/iskNOGqLp2SVcxEvrQ+p5
9/6SLEDq2UdtVmfVOp9yiJ7ZW9pv56rLDxmH9Sb2WUahSsqlYmq+jMnAMKh4+xMn1FL22Ew2fgi/
y8eflsiHD+kAGTQRrGSy6vZk5CsCl9DyS8W7Es9Mo3SSUK6c2gGgXtX/bOUAppUImLshfXDcGO97
P+Jj9boRdICscSrNlSgo1nkXkJB5jbvW2o0WA017ZRCwgIEjdCuZIEAU/Ki9zspZ7lNJNBchkVhQ
KtIdzPoONe8yKtqUaHUOeuwPvbc4UQxeZwBygnKSXc4w7Tya0RpXFF8bbCdj8lxWp07v9VMzTvKi
x/R0jm0hEaxRsjEGXpHhpSfDFstZ6zi3YE70NcpZkZLeZN8Pa0VwucaBIt/BL6tyRxPFgjWXvYmd
6ZSBI5s7GF7/wCWR7qRjPDGUHHa4R7lHDTL6ydnJTjWBmPtEi5+tWKdVU0fXzp/oyj9hYF7MOtpO
xuByERX90UsstZnUqO2Xbqr3A4196LnaPegdc74BAl2M066xSFlwoh1uNNBjKCCLJdyOhKbIJgTb
uTDuWYww77s5CypNwJ5B+yfmizsyfO8157H07JeMSIPtsi4hSUsMxn154wtgbEbH7LIWxb4VKlm7
uCkwS6feFBE0Dhf/2c58HDYzyq30MYP4kFRzjQcvKeuvDrqFQd+BVPpj3HZoEGNgxOYPT1nXszkU
zApae1O5cRPmPuRb5zovaBuYWzLv2lg3hg16aYQyL3EIlv027rvQU+YbzuUHd3ZfhEzTozP5NCFt
e3HXnUPYt5/sSFqBZ+dvaBR0Vbn1nZEE4tW4pQhfIbuByGxd7oXKzkVa8nOEaU4Ec06TuLCFP/Dc
d7MF3lCpvfGkvGdTTBlQvdwPeqtYCzKzXSfWi71iYcPOYUfYzitSsAkNV6FEVt1iRycS1fggUeFB
yAiLt9ed0oG0h5xFQ30sf1Y12gW84VlNhF5ZQv4YXHLY81wGad2UxynjticTYjMqhjpC6SR5x/nF
trKbNjMwfNbNFUEk/ottVg/4VVK6a5YdKi7LrVWym1g2PPJlLDaO0T7AjXLUzNhq8CLD0k3qvZzM
cO0/B+L8kFtqqrI+v5/G2GHLK/mOhZ33oKmthu4+ErhY0/U4GdqJoZoMhNprdmlSXitLWdxxGl8M
Cn4yYxZHMiigYgDWWpqiUyLR7oeR34uyDDbjLNUYsEnT2zYeD3fuJcmZaufTV4RimVBI5ILNwaQI
iUgSi4WKkXOVioSV3L3dXKQuiY7xDahtG2SVhVRM0jQGBPmks6vFyHYZDvFNMlkfHqmoWwXcja/T
PEq7yfZjXt3qQn2bJgzIXJJj2FniNfJh5qymeSSdEfdXVdzGtX2ubQrYtulvy4m6ztHm0Cg6ZnQc
tNjqveeCwQekJJgoJa9mE4eiz+N4KG3CafxKZ6KfRbtcMdarulUDJDkm7qyKJIjEhrn4f+ydx3Lc
yNptX+XEnUOBTCTc4E6qCmXpPTlBUKQI7z2e/i6oW7dluvtED/7BH9FjiaximczP7L12Dn5iZKgj
AKPsRrd6i/xs2FV5ddTD/obwYM9sRnUjG8fy2pwKOpCVvkUahA6P+Aizg3MlDCQl1oKjUajDMDXd
KC1j/dUF54NTmFsHcd/esmHGJbJmH9oM5kaJRcWn4LJYqv7cBPABkiR5Ag+Qr/+tUBYrq1pk5n9d
ody9Tv+5+AmY+1tls/zctxLF+qQQoQuTSbYDXJXG9bsuk1JDMic3FYBeyprfSxQhPtmONCWSTwJ0
EQPyQ7/P2OkyXVyujmssjaYrGb//A1quWry5P7BYme0zwtdNidfW1qW9lDDfbf0tvcHrl83mXoQE
mrFpwmE9YeM2WwFrL7B3GdfgVe6oyMPjeDPm7lZwSmzTzqerwFLCsAllml9OCInz8byyyOeY0qhe
2wJvWaySU9eDhkFwlTQtyjIKmhY3Y5DMOxyNbFP7CrfnUJE8QEuNVIWIhU0ADfcarB5fzILgBfQy
JQKZRWeNZx/r/Wru7AiDbBRsMmzZ8FomfEbAdLQwfA2H7igz62aiA+yDzjhHnOPcWG777k9KbfQO
w4jMnVvpIsgczcU5VNF79hzwbZGjrlxCn9L6zkjJfRRw6DcGxxyTXMzrIYaWNRvFg03fvMIxf625
A/RRt0JmaNXvbm0mO+C0iWfwfd5MVn5lEzgWNQiNtblTnj/Is9ZB2jAaoEZHCMbokrR7B3Eiqp5L
J5d3KjfPyqHqeJGwGPdjfZkQEFU309UknRs8kkfLrK+drv6c+ybxsczobQ056zSWJyIoJMl57s4K
q7ek0WnxmuHeCQ3/hgVF9AJRlRmA0gmTinJhn/rCRs0a+oxtM1HVmFkj+QZFUmyrLLO2RhGxaxn8
c6AD/npiWbhuKkg+VUTcTO/DyYz5TW2KmLfzQUzIwgg2VYCiVLfrnWb0VylBgLELybuOke76hyYx
vEA1xJg7rBZcrMm+yLdNY3oIwTycSwfWgne+PmwrXd+go0ZB1UBbHcf0TVvWCrEfmGBvi8uai6LL
bzuRob1HFJUmLTCz5rFP0wNoMti2tn9dLgPXJopvBZlHCP6xX1hMdgl08ZHtWrelhn7X0cVL6ndv
c67vQxmd2yRS8nk7F+64MUuc2E2bXjJLWNbjMCdkiomXHQkuACJTr2CeueeZ5CIEIuSSOhJ9QZxi
nYugSXfIye6sGKjdqqonDe9shVCtNAg0dEttFxoyQC83GJuhA7tV2R08NiPL8f+S+5a6xRXGSbBh
JZRW09Wvs6rML4oCZWBtuvZBIyV0Xec5NVEgzHWXIWM08uCVe1dDWdDOF3k6WCR4NC8msIyNPbVv
qBJcTT9z7fJaFOVIBU2WB6KXatWKxtgBtz+P+xnnBb/jGM1sqaK4OJNdp13YAzhh274aZV+fEh9c
sCFCKsa6JAaw4V1rY/8VSxxqT9N/9dHU38ymVjJDYvnA7mZ8jiNkFn2W3Dul6dwEooi3tQ/1Iko6
hMEDako9ZasdpkQKOtN9I/E9WwrualV/1AbyoTB6QPd3qQvFtUeKC3md80gpOkKyRGRuydqLq+Ea
JdzlmPpfkjDhvkRVOYGZ4ICINtXcEs1SrRnlfBiXrr13kDxjTMkDeahkLVaJ379QrIOMIM+kjKM9
wsAPLIDHrGyfE2kfmjh5qAicpvZft9GMKNg396aln8dDcz7i7FgRpXBtEjyYQ7/3FKEE5mJJnpPy
oqrF68iHgQBOcr5m57pT4aWwe7HKjNYL9ZhDVrEP8Ltuz1TYmwH1EWMIv6Unz43xhaFFXPWUFr7e
XpS18QR68s0S1qWZdkeIWGjEHeYQvnblONqdbtvXyMcPgKKrNWw2lMwGFcTUirsUR6wxBPdiAidE
IriARVi/5pk5e5w6GVMN/SERSbiLnQ6E4FxSonVWfSVEDfxGG7INZ1+8DrFdexheb7TOYeNntgAM
HZltyE+KqD8GdAvNiGqUEeVaQcbz9AIIlGXwvTKn7jNi9uY8oLF8gfrIdNC0xY5sapKSsDe+ljJA
/BMqY53r2bK1IqPm1k/cbO9S5K4tPXiIyPg7diEDtM5H+xDl0Ys5Bu6j7ObhtFDOVwa9wJpUAwDd
fV/IBdcas5ixwBxue0sT2CjGky8jte6nKmMtygoBwhMyDaHNa+hSZ6NvPP1bLn0tlxSjlL8ulx6W
gIGzP1VJLj/4R71EDosFo8P4jdf5fb2EC5tKCSXSIklgIP6tXtI/8RZSYulMe36cyrvQQrD6MbH/
XXP5D6olZv+/VEtCtwzdXBCgko8PZd731VJRZVHbx5m+b5EJb+q4xmKkZ3RKPsD7yzYJSvCF4KiR
DV2BUTNuE6Oi6g4rg++yQfQyqsq+dRlZN9tKQR1XqTF5ioO+mNorra+phGR9UODFdmagD7yaDUxG
cI4Ht/UzCgZkYIe2aN21tSRRdb24HrVGHhJnao+Z2ZPQ1xMprNrk2WTHvDE6oESVXTy4tbs20Q9w
q2ucNt1nK0pciMM2bUPHWDrt6fSjaib5sxnuaBE8TaPJ9JkUjHP93sby0AUt8TOUd/ijzYve0TFb
hJJv5crvrDyHPVji/hq1Xid00LWJnWJR7xVzQMQUDmha0MDe14PQ0RYMR2xMUPX74KVRmv0R8LW9
JmcUNwbLfkA7NXesYUfXUrCEJfyaoO5epQTWM9Vnjs4qgNQ7wueYCmvLgLhn9boe80HgOWTPavdd
9zzNvjqMeVZiF2DMzNMujnmvP0lwHASTZ3uBZDxhMuVhiAOBnsfAqpSR7lpmjsfOhBCYEpA42yNP
QbPZ6JdExdu1fYHGhPdcpPmKrjQ7uE73gjyY2GcIlEM0eExReE8UPufZl9VRhKzXtWyEn64343ZM
af7XdtCTBFAuSCPZSwiUAMATf760SVf1Mt2vbY8u/miaDepzO5aGF6a5c2YQRnZiIjZ8rruYpL6O
2KBjxbxnG5cwuEi0IwmVzJVz2YXqwe8CG11c6mvMa3CRb0qULJhJsL78e6b9dqYxtP3rM+2ufv3P
cq79OqVeonX+ONIs3bSYU7M3M9k0fn+koSchtxIVJtPm72BG9Hk6mCM4RywBTYNgpv/fArqf6Ax5
bohnQBnhUv5HLSCO5l8ONUTf9JLMPMAauTZP/PtDTRVFFBOwDOVdNtqNrEDTR8zKBJzHsiMy7qvB
bkLeoNatFPj7bAREpHdCir2u/KB4c9tcvA8L868tR+I7bdgnRkv29JhBER0IS19XYsZ9xMrL/XAb
ZCcr0QylBzrcpE4IixL5IZUjrYjG1gnZpaB+z1CsFdTTyrzN3dBuVkW6SA0s1jAbwGycPtFyECWx
ZMyR1oDSdL6JxbvLmRXbNHk6pxgxq3fhcqyZuUQwvhx1LHjjfZU4zj7nHOwyqfE7Cf7M6XDG7EEt
R6a1HJ4mp2hOL3TsjFQ/T5cjVpAFe1ASvU2zHMJt7zuH0UHDBe6TQ7pcjmtmvsMZ6Itx13OWB8Ny
qM/1VaFlV0GCV6OygcBNTezB972zBFCy5WponNjw4uW6UKIwbmH3XZVaR2DJcqloy/Uiloum+nrn
NMv14zM6fazNPtzj4Ws3FmzQ+zpzEWXXMnMoett2RMwZOJ8j4Zanaq6Cx7jt53fd9pEeR+T3ludV
ZjCNDWv1BZt2+9QTLLKz9bS66rG9PKsBEhtnD1ZRtojnNUPgtm7eBn/8d4REUNIyQnL/doT0NXTp
Luxe/0SoufzktxMEJrrl6oIJzTey2bchkv3JYMPEP3AOKPZgfxRF4pO5hPkwJ1rcHF/D7f4YIvGf
GSGhcVhOGCH/yRCJYdSPIyRw6JaBm8OWS11EftMP50dcIxRygxRwqd0BxVHuqTeMi6TtkQBE2g0w
1d8/LJh//jzk6dcjy2AmhmKDY1GaLpC4Hx8SBnJRF3OOrw5cIML3lc4HFoM2lZmGXxu5gHyj8/dm
VF9MXaFjv393yv9JiBEF5C9/Na85WCAksJLUKn15Vb4bnEnGVrHh2+6+GuhAHTWx6rKasDiij/Zf
jTIyHwhSa++VG/iHqCD2Z+W2Q4JFkE5HQENhcB4q67l0UwPrNBvo1oWyDK7oYA9NcnIbp/Hssko+
B42Cd9z35YfVgmphRQ/xvQAy5RhliEAtLc+GTBrrRItY+uR51W7GWuLTSfw4pOYMgukOG3t/H5R9
ufXVfFJGchcP/m0S2LfNEKaXdlAXJ1Vbx7TXn1nS4CpIXA2VPzMWu2hrApz19ybIivcpDNVGFkBk
UJs2ZxTq2pfBNyyE7hFiD8kIHJybxZrNKhHG4QffDU5cX4qZXVbVatW6JlVnnSXdtCqM8UEVCUge
v2jXWMrTz7lq8PI2RL/pTS72LBpAPSiMrnDh64PRJTeazgfN0vZitIZrPzBaunCKt7I0m6Mp55kl
IP6Y1Gg37A5QZelhWH2p/Hx4jrq2u2QjjMkHN0gSZP3O0VOJyjRms1TtUL0mt8TwTMdWWZ0HD+wp
mKeLooGQvig75sEKUGPOiA8c96Evshoc+5LTaA1M/yoXJ0ptNe/Iy26lSD5mcD7I7nkyMsZ7qexB
84w66HcMdbPLKK/fyeYpMSKo6NhPVgqKEhwzzsoAWzNTkI6tIB4h8TjO3UsY2pd9ZosD0dP2ijWY
v0l9RkbCgf9r+saH1rgh47CU/r0jp7bV4LQOGYR3zZ8V2SX1lT8MtxU+zjVZM2yeNISccYsjSk3A
1Pxo2Cgyh1oEGkFEBqvz1vo4e5Oi7q4K8hWIiplaH5S8CK4q5Yt90Cf7CKAuH7jnuajaByUFpid3
JvFJExOsP7BoAUO2SIe9pqx7fSD1vRDhY2dUF92sPVbafFPilmIl1TpnxEs1HoxitYr7utrpgf6U
aBDjuYbIwcrDPZbf156FyIo0PWZ2RJj3to2BpE1qJrJRuAgLs72yelZvUr5ZmcAOg5RlMzPYXBMb
hsc8xhDVIjheVS6KXQluMQM+jP+ABVMvF7qsVsBZJEHI1+1TpkdwbucAcETxHLjVfZCYKARz30ZB
GxzSQN0KYBgbOYjP3JvMjBb2R2DGk6eRGzYiYr2vy9TdiMgOL1SIcpExXoBEsT6KZhl0Be4FEVnN
JjTm6Ji3xsb1dUS/BRnjRa3gGWNpzRMOg9aHkWv1eyvXAKrEsWJJljpomTqbcKM8lqdUsQlkbJPf
l5KMrJRJ5abH13IqZ0w+2Vy3n0mIKbwO8dIuRiI2YEGBpTLxlo/msy5Kcy20AFGxQnIbK/7DQs4u
56naawbRA4hdWDXOxpde6deRSDHZhHoJM579UqCThWnMp9KegEo14TkM3CV2YUq2dVk1mIPD99Ca
FhJk/Z4mDZtqu275ulT4sArh30sVgBrBdZeG8XOZjcTTjEzPAu5YzEtsYgM3NHi2xn1UMommAtt3
Zqa/CAeZ9r4rOdmo6/KN2+C2Ei1U6SjonsIcJF5UjJdyQBwwc+RkTq421tR8tFSLuN8c3kbIVW+s
vNOtDNPw2ZpU+kUOnXpIixg7eGC766TDsmJgtUtytGlTNKc8uh3j+XOibULqGiSc9qnBTrVKZ6TN
baI+Zxmfy6CabvOSVyHOsUQhOTjge1zHxXiVCP0zrdmXwGHmN033QE0BTKb9a2ebt4D3nqQ2bztk
IKoyt65ZeSLx3yZZP5q2/17PRr8qJhgAKs/2vrKwDVu02fkwofAuicFgHNKvK/iCqEWEwxZjoOOV
1t7WVLF2nPHL5LfnYIsv8wyanY1Pa1Oodq9qm0U9EnxoO8cwWCzvU/vS5NFdnsOon8O30cl5USw0
/130zN5SekkNCBhi0U1lZjF0rPReS7mN7LkBRZPcjyVuaOWMSHGleqkta1636NjBPM7VJlXRWdAB
QOpKWCJ4ESD+9JuyCduV1gJcVzOR025/5naVD+ZTHDCgXYeShKZ4LpGDZPmA0Sx7ZwxQrpyBCb1m
jtqKNcCVZncvlYGGd6ywNUxOTIhEnK2nOLhoxjRbtRN7XLPUDsSNfSSsAxwIfuSnZFyh6QPrCQ5f
a+lCZj3cVO1QbSaamHWFyW8/lqRQ9CGEwKGDL4aIDsKCPa5iB5F/z3HnsuEG1+cVVrUkbbfvkmyt
mCO9tJDuNNldyFf2pfH9gZJ/IUEN6mQxqifPzDymCZ77gXcKpn5bAFIOva7rZix/NY6KAZeE3ZaY
bEucok1hHNOwPjp9zMO3cKfNgW6oQViRJ+3nNJh2VWi8cKtCErKDqxFSA6fmW+hwbpXGwAnAgsHP
wlfDQkbfTRODz+5BaSTX6CQLdOChwjjG1NKUp6Q1Ey/L87vZYmFWaTEpqzVf5ULfRxAivJTaAHHz
naxwSmYOHyONI8ux/Hzz99XX15yn76FaZO/YSjK1dZBrOeLn+g/qtRn5+ohap0+tVRVZ5E4QT7NO
02gvARTABKov/Fn/qAvr2Wb269fd5Zxe6t1TW7B7h+I9ZMl1Q42xmo3R3ZJygTURf0g2Zx/Qy4OH
VMuz679/2n9Sti5P22LbizSNScBPy1ZBRqPfhDxtu3rizTrIgHMbeXwjgcxk2e1QOftmkE91b52b
HWaczF0ZZJt9fRr/Azb9/2WOOPNvx8/XNFnBf+7q6NdZzfKD3zot+inHoW/72ll8teJ/67Qscmot
LhwLJvVvi/xv42ebiCnLwA23vLvIxpmgfOu0rE/k3Qq2cYi5aVfY5P+DAfQiCfih1bKx3uGtU46U
8ALIKvux6ajJexd5h/IuDZez5wCs1dOiz1mPequSt/ayk8+K81kzr9js7qya/Lu5uo6zFn9adz63
zYEYyX1q87nPO9L+rMATyAFHLo+//6wr40f3HlssJO0m7SqvIdrMry/K9w2Sa5Ui9OdWP0x2mt0Q
+UACIwFJ+0yrPc2YbouwtzYIFqqdTfLVil0+8l0zPo8b96Slc7nK0v6izvS1ZS80r0RTR8TiYO80
QJ6pq7Y4YF9SZ3gHsbPRCYPyLa7eesyPIHQuDMIFV3rfge5cAPO59TDrZnTWT/LgoluLS/5q2jWJ
qZz9Y1S8S1X3VMUmyDOHS4ABHBdzGbyMXCjnKsmeND0kDIBd5i5TxbYd2NxZwj/GcBFO08D0vHJU
vLUb49oeUAiHIAlWHfkJeho8NbN/FbmTtgM5cO+O87gvepAxsIEHr4cO63QNJ4DwmWO3trnux9lZ
Z0HwKKYMm04PuDXraqTj87C4ouyXuBFHX+jxTleCYCxJOTDVxrwXnfEuS2GtS5hrhIT6zqrPcW1h
sV8bc7h35khn5yDjUxdTANc1QCFqFCThM4sJyPpXGjfTvhwRXLZZP+5r9FheDTFsVxb9ZTGToWrG
w0kr5BOO5fokwuCGcot7H1maJVkF9O61XqsQKTokmRqrMzldSLxzlBtFKrYx/ni2xYXyjHZh0BRW
um/C4CFLiFK3iv52Cgeo1pJ2OW5G85KqvAxPUxOo8BpobutPQICLNmLyzbDfaNnk1YjVMTulp8yd
wU0X7fWM4MFryhrGQlwkdw1iyhUtDjQ2nKBBT7jGaPv1MSnDIvTGvO5IZB3LF4fbcRWAlGIjPkfl
Q4XBil/hGOrJN8bXJI2zDRf0tZ6ZpofIQvJLu1Nflu5BGIp+1mysLQO6+8gO3pt8gmFAbKYEZ3fu
x86VM+QPJI88KHzoJEAWYIPbeTXgeduoJb405p2nm8nXcsy6Le0Cshpy33YjZHuwbka1lRM6F6B/
r5agPNGLJCSiA7ISA8QZm7U/btxcf4zgkRG4oeytU1XVZk6tN5bIxpbEhmpTlYE4DnjnVlavxzdD
5hSEb6ASJWqN391XagsH43V2ErHDqT97cQA5Dz0c/W+p0aChvtBAjmGcEes2lV9k5xLDEoTjeeLi
ahijhJ671l/6sbNKmi2weLponU2AjgVhwX6s1AVigfVkfklAAC4QXs0Pz4EroKqbb6CyH1OWvan1
CCBxG5JqrBB9jrwYqKV2Rk++bWBWrx0BReTOOdqW3OKbgJW3ZyHg72MW5qhTiS4i0uOAZ+Umj5cS
ISbbAuvjeaLQkLSmeR/kzmtQtp7gnl0CMOGNnRTxTiFZ4X2ZMlxmEUZyaXQ3GphPx/upPumRwt5I
x98HH6Xm33WJfem4EU5PpCggeqPMvHNGjgL6HQX6CQQaU907hK1eln5ESKSzRnzoSEdlrg7hWD4x
VecLaV7m3QshqCc3IpOupBaF3ZOS1tKaCrNjUW3tyFwP6QF34tEsJs+WjMDNp7l1HyqzO4Dxu8qx
Jriq2liizXYjsGGKf09P/fecNZPqH0g7DSwvyHQchFrxOCSFtbMhpfmphvJZddYmGqenKnSCbegL
wB7w0hETIrXMhuJjLGFj+zgcl4wvzJX2mzA7/Jtd/cIeMqC9tgaPDRfuGSPzBNNAIDDgJiyI6LvQ
h+5NMPYt+UkjcmKSjTS9s7YNIpKdPYnHEPYlWXN0pyAeLke+uZCeQgIHTC40tyIKLqqbbh93FdIw
Oz5w2266EtOKcuOP2HIuEqfymlR+pD4A1OSGRO/nIIs2sZadd0O9ZWayNx2UYUhZ+rjS4WWygE0j
cmzaRBr3MEwQpreDTmbbAk4MLl3AMe1AUw0rDBHsewPCgOS+XWeIG4jUpDWANB7sgJLTDDK4NrQO
M6s8NeBr1AOlb7RY34TmcG+gu/QGK7rW4IhSbOqxZ9l2sEX695hFBvIhMGbRZF7lJjrPEim1biRv
EnYUMAaCnDh+Hus4OYbw88xh2CSLQbUkDcqcmacgNJKrogvjnV347wQrZBu/R/HAJ9s8+c48H7Vk
PAZz4W7LqkhvqrH1vZwZF4Q/Eivhh58BGHqoHfOyDgLPabh3mzI/s1Xw6NbObwXwv5Wn9beRJ79V
nsuo/9fSc/nJb6WnRfCpcA2TcfLvuOJvpaf5idBbG1uKwT9/1ZB+Kz0d1oSkkLrwSG2m0cv8/4/S
05W6iYDUoF0iTO0f8aGWJeD3HdfStJjUczw3lBZyEbh+X80NzOmcvsipPKeh8MJcldi/undX1xHX
+1u3p0H3CcL7rVf5y0n/0hH99LAU3SxGHeXwd+g/PawRRO3kUl0d5qa/mdr4Kgin/9KV8Qr9+hBY
syyEsFT3X+vY7wb5TJCQjyQ8RIehOe5PtQiOtbr4+3JY/Omj0PMte15pUsT/+Po5vdEzAQfSZKc9
86R6jWxun8p74veOBvQ8styc5qHhELfwrjE59JjSbCjvPGA63t8/mZ9VLFBfWdnY9J98MkzcST8+
F51suaQm+P5QA8nBgYrjhJnBPC65R7d//1DK/PEPpw0gHhF3lknwzrLAWsxb339wiFw1fMdADkG+
96L41x/hGk0cYw6DoKV4aTK2GPZS0ABXfuUqnUj/c6stAWpYaaoh3BlfS6GkhVWsF/lao75l1hed
qUKwSJ1RmVVWiYqeukoz3AebOsul3hJL4TVrLRZzLmLSogEisY+ZSRJnR0/HsRRuOhWcbeJXT3DH
eB3VHZZKpmaV/prL1HyyEkENyPakfChmg8oQbwJUL6rFJkNYuRHsopx1HEIqQ/NKjMCOIXNGxJau
AdQ2iFhsUbJSMZG92Ta7aLTWLMxezVgGHa3byKyunhL3HnLY9NDU7s0ENiJiBt7k+6pxaSMMG/Cs
rbk7VVgRLsdwhNMZFS7qu2aWHzZBDDelPloHCMnZXTe25S4kbGuXpNnAD0JHHNP5bLDaz7ER0T8o
1LlDQVS9Pzc3LtD9Dcskwgxlc10OlvAmK4lOYzTZG9YH6aZNhp07MkKpU8AoNjySXadLCUg6Czx/
JElHDxl9zwlEhD6nMwLoc58wO71yO+ns08IxjqojsjtOpmLXuyWe3569hCUwraCRwnBRzG/zzDhW
+ZHYlJGTbpPOrrd1UuyzWvcGNwAsrQ/vVTWPlyQE7RLd9ZzglqncKsuaV903rsACY6zXqm1a1RuZ
NcHesRdIm6/JtTbHiJ6raNhCc409+s7UE4Ntv4BC8o+165Lzom8NmZfHqZXlrlzoSMPU8nFlyIbb
KY0vWNrba4B173US5PsaTOxOdVm3s9zkjuHkfEotEgHyZjxjZdjt8FXZ28kIupe5leKgdbJd61k6
eVHV9wQ0V9O6qJKLpIAbObsBCCZyXPgAaYY3Tew6ejc/xDh6N3ral3uEnLQGZao/G6PW7TmvnkPT
WgI/aJxVUV7GgDQQcDtgPwtAX8UkEEzH+V4lCrtelG+TgOIiWxjMURTVnpkuCAO3VdQi5I2UegNB
ykhA0/Y7AneJOm7RVAqbDasbj6QHxUHLNqF1D6PWzp6TE/YQq2dWXRc1wBy0BOG2HhJCZvIkJbEh
Gp5JDOZ76ZgjIMtI92TeTttuCf7oogSxJbNMSs8i8Ppa+pTuNGd+nZX4rcmsdeZlD8U4ljH2Wujy
ApzWSlU9MnID5ZKLYP9CRsAD0yT60vAX+5a9zsoUlKzq1B5ZGIAvYMc0V9bnlCjYFYISG4tUGDGX
JhkSsAnlrvHRZ+rJyJjaxuPNMALXLxhOcM0GwDLhZeH72wy0T70xgfOJkjujabzSdcprpL39teq1
G96PfN/UiNl1jeTAiRtQb86y2L1LShJ+B1P/XLvxIw0Su8DoMYmRltZiIp45C4/F0oy4kQq3Okkq
djId/CQAeX5tktSRiHHEag8LPmvQXLtPgp3JgsXdSIItA6iDtdMu0HOz4ePcJA4Sr9Y0NnPRfpkS
594qWjZNycpNbK8BHhhq5pIamXp8CqC3QozBOoq1c5NkrMHQBRHJGF3EZfBEuOWFNi2TeRVjCRvA
9s/3/YhkpAkuGzdtVhLYDdxgDBgkKC9ZBL1L8EmU8CJ3zvBR1giBA71li0uCEocZ5XUuGPM3iSS9
27cjJrWZvQUF0AE9K2+0eGCo0wY2NDprP0BoXkkJsQYr5CHLJScXiZqtjLaWPz2PWvZWT8ZLMcp+
08MPWYGAfELdlm7sRjDeLnEpGhtpztdt6WwXKYw15MzjSbNN9V47IkCKV2Fvbsteh43nB7BisTHy
ycU0YGByqSPpuVqNIj+wzS0ew53vo85JwCnEY7ZlJHSnwhoGwkz0VD4HANkDUAr4YrBeWZXuYSvH
jdeYJCcUWXNKRfRMtPU+Qem5iqwvOiaSRhgn128u0pBt+HRqgdzR+7IODoYzMZrOKkwrH54KAG0O
tx4KvGpb5MykDAYEvznA9ll1RWP6YHf8bydhA5Z37W3lx+Vmlu4ZkELgeuw5MANkebmrABatyZJY
F90Vm736qPskWVlNS8ZvP8+sn5kCjLabHgpTsJTNyLLv0Z7ndntKzeTOStL3mcZ+WDp8gpn5dmGk
PRdL/0/v9YXUWUgRQ3WXfZ0RpD7dJ1MDI5/UCqk5Z/EyU8hS8xWPsdrSQbFDGVyU1mHENiELkpt+
mUuUy4QiacN6QwdmbCe+f/Yyx0iXicbX6uTffsRCEPPXosXFWf+naLjlx741Iy7Oesd0MCDZdBgL
AuVbM+J8QumD2R5B4+9a62/NiPEJ3TaqJ9tGJG0Jk1rvWzMiP9k6NbYLPU2inHbFP5mDC57XDzU7
03Segy1RAcHSFT+Lb/K5RvgguvGgMx+pAZen1nAiSOsdjtZdrvrHBnczF1z/NFuYCKRUj9+9YFe/
dSD/ybvsqojytvm//+fnEvrrE1j8d3ilbOXw5/xQ1ULSzElNnjmduJlbtSRjcKaVX9KxPvz9I/3c
AX19JFdSQWMUpJv7SV0VjUGWVO44HmbBd58F7x2hwv/lMX79axbSH62npUs8gPZPzQm0Mv5ljkes
yPes25BtkQ9SjKsha377xv1lP/dnj8SHyeBTRb8qFjfk991ASbeAcNwhdHA5EKT7yqgcyF5zonT7
L2/Rry/csoHgj7HR9Nh0PD89VI4N3w7dAXyeQ6ifeW7k9X/5a8zlC/LTB1FJ+lPaHFwBQhc/vTui
S528D9v24FRiuAhjcd/rwyFJ1FtNnMlan8ppb82qpv1gb74gjtFammfgai6Rw2PcsnBAhvb4WcRm
7qUEZ/AwjIFGLd5UDVW3WxAN3NPAUMU35d7i1mJB+2WIiRdumFvi8NfOk4JHGGKy6sm1KS41khTs
Uo5X5UROZyyQoWdJe2YlRrJJA/utdgpnZUf2qY7KsyylAbTG7MbKaoaeORXJoIcS6ilZBkHt42PT
gg+91E7FwH+gU8eqB5xvnXYUUiX0Xs8NJgmgXgeIIO9amg8uxv7SdacvcdjcoBt86nRUxTz/J4dp
3JB1Z10ZjDtXcwVjrBkfQD2mR212qstpjk76jBwnNlS5TiK8OhAHwD+UNA7zzEQ2iTZZwE5HMr1f
E3N33zfTeeq7ck0fgCwGshleb5IBFaIARohjvmEEDAgwJVRh8stH3wRAHdQk8xiZBYdnVLtwdHHQ
t00FE63aKgkSwylBoBku0QiuuK1VdtKbeNiy54q9nrxjq4vj+2JontMaPVmv3bL/v5qbmRsrh+a/
GQjOHHm1RyBgPQ6D2mbjRFCxpV6A+pj7gUrwUi+aC+jN2gYkDdu6FGVgbGnn2DMeA6xHK6KJ7usw
2Y1tFO3CRnvUcucmlWWL/TBp71D7NBfAQ7QnEemzZ7Vjjd6K1ZGJ6XyV2ZUDK4cL28Gpr7fxg5yR
9wzAHIw2/uzm1Mf6iPuv6K0r6onr0EajkoTN4BmJkF6pl4gIbCKl59o/S4f8BRwOKYxOTdgo4pQy
ngm0juBqFgF4JUzrRzvIvlSqODRZK7zKMV5LNMboDoY98ZUxW0bxYJTO3u/lS42FYs1441lvsz0o
ORIJG3FpVtGVq4HQyHFAIiAjHY6lzM4I+KixMVszAb7qaH08qxzPjC67AADy/9g7k+a6jSwL/5WK
3qMC87DozRvxBs6iSHGDIEUJ85hAYvj1/YFulcknFtl2b2vjsB0SkwASicx7z/nODpWEnxhGt7Fq
7DWIVIbbblT2IUn1a8Wjiu5KQkqYn2duZa6ckAaSXc9dR6yprIeUQLqU6ZRYXxE04bWwYGJMuNOI
nP06euQRUTlql7GZXkUTB/I48i0CU6NebgRGDiRF6RZAooHJML3VteYQW+ZT3U2Hws6/kLkJAVoD
3xxGxgYfHY0Cw/maKvQkzMgihnYitD1wuDSTDByhHZgyPlIj5qur/Bwt70ec16tibG+LujxrHR6l
KOBS0bYwlkPUYWIhRAqUMM20gZPGSm0o5liZKIl5cBccTDbSU2zcIOENLhBva5TB1owUuRx7uUvg
aCxTUR462hjY9MqGEz4UvIGzM1gItJt5ti81cnSUyQM/yMnrSThZ+uzYtXPp1SE0BejGCzjAdEMJ
HNNnqWqE6wjPoIW9xUuo9dv4TVV9BLCsfC0mujSNEZkb2rr9Wh002qD9QDaQXt/1CbCaalQx2cRO
t/SsSkB6JYOLfCiFTyyiOsWptAuUcsZKMZVvyM0Q3DXpRdhb9oYeKRZT+qpgAn0noMRBDsTMHx52
COYc4npzczUMArE+5ZWlZaXz0de8iuus+Jo2jrUgnQJ1E34GYNnMGUXBRVAqUY2ZPbEwjSp7L+BY
MgzR/VQk6TKBEcbR3QjJVh/lYRjSW1U2ZOMo0e1gt3uSnjZT7znH3NGPNnaHDd7oyyyCm9UkQbOY
dI5ZCBivWcCTJaWcbFV002NIWw46azMsa9NFczoRgeq4UbkOk7696DzIXZ14gVl/SUTm81X9kZhm
smpgWSOYJHMLUI++LIk6XDgey17RB/dtBAUxHIIrr+cOWAFbfruAr6rRrOaYrvoi9c4dySFjiASe
ocByt63QiNYq4YyNoFHqiVgJp1fXwwDdGoO4u6pTqO86ckLcVeWGtqvqZyhPw05SIcpoDPFfGssM
geBG6+PCpcceqt/xiNL4qM6cMfhRqJQmDKFR6OnbaUVc0nFyWA8C86iOHeLLUH3MU9C7oLRbPGyI
kQotPzqJeVkpw94pzC0AoGg9gS/L+xS8raydM2tU7JfPK72jzn7OmzoHCadqcDq07uC2Ko/M03Jm
EC/4JDgoVWHGQYvvgFaN3zj8fXH05jxHMkngJ+pfcPwhSULVRrrGLX2SueQVgzqYOLQhg5qlhRXf
38SFVMxBiMgvjqB1SFdcI4s2DsttqmWXOZHYCyfEj4tQa0UErET0V1ossRPBMcOt7eR3jo00Mk15
M0uhfJvcHNiKx3myMfJv2ORua7MploNrQSCtE2WdGviVkZ67uOK6wKWG1cuRHEqklWVY/gxD4z6q
srMgDqK10NXnkDoUuTnd17yERTnkOg14NUcyUFeYeiZEbZnn7lh/116XXUglOsrIXVmlhr+6M7Zm
jspXTQtrYUoUXiCUZjqypaxGKyWSDgn7GDvjGkG6sczj2f8zEJlXGSHQPz2mqVWQC4gtbSdKuWsr
yy+prUIpEH6h8zGqhPhuB+k29agD4Vn+YWSRB+pnOquqIGXNnJBCqghch1yJ/GRqqhXorXEDLqNZ
AQ4ip8jMBl+RXFYC33gwtDsj9porqOPJQvGmq2jurtOh69neIixpHQqgsXlo2uAR/YYI+0NCC1G1
QQelWnXe59EF+VRXniWv8dode+Jg6dkdwL4SxDdG3lrkjgq9wHxmxZlWWeoMSw/CEi8C2Qltbnyy
WX9bUEfzQ94HRmiHfee85zz1oCpuhSQxdoZdPOQXNmHCdMHvq8H/z9GYk6nFWe3V+Wv12D7+4wfW
hHac82j++79Wj/84n2ViS/7P7826+e/+Oh+7WI4ptIJB56c6c2Pq1/nYgTxnY7lxHUM1bZdO2q/z
sf1PehbzqVE3KJGb82ni1/nY+idUUyapy2HW4yDxl5p1lvW2XTeLr5gnfFT5mcScMk/eHn4CU7gN
/Q1jF7s3tSoPrbeHto8lLFhJBx2349BHIbmKivtlmas/MIxtSGa46W2+QGGrEahHvdtVKWcnEz30
zA8YBU+HfhmW4sGA0wHzsWMbgqWUAtFQdedDC1a5zbxzYagUcnUD4PPgPGskCvuOGVDP6ZtkpY3p
BaCIZaVL4EvtFSvtUy7qY19rl20HV8Hx2GWnxSKlHWdQUMywkXQNcXEhufGx9px4zmXn9Os4zb6K
aqIxbp2b4fidjncH88N5rGu5n/Vh+aCCDjaptmsLlPCLUAQ7U+F0y/Zcr3sEtNmq5yNuUaJ0qVqr
hfPFK68z291JFMB0a2wr2Sh0OBCmUzmje0HwDJ+KFG5mVEPQLr6kU35kW0Ei37DQkvhgB/0VLdQl
Cs4lXQjYF0Z3FdTnCuBhyhG7ujE2QNQDlZh3ndtVqf0ypp1PDM70w6OazS8KQQo1RC2ucIBSWFWO
Wr0uyhAlH25ojk/Oz8QxQGAn65ZCrqnpe1tUl5mj8mNLdElbltiY85iHpCOU2bFL221ee4+w/rdu
nym3hGmzsyDgQWlxMKujUxxlCVAtsRwixa1MrpOEL6NE+zAfJYns3gIyJaYNmYsM76O4WwGQJe5r
XJMyywanX4tUeZj7XizQ1Y9Oq46BNl4okn2vYdxkTXiflgSB1sm1rSDUr7XnVnO+RxphWFY5n4Xq
hTNLyyQLchlHbLmFvuzBrlZTuRLlTeHE90oQfg2mnmSOzKU/R1WTVJbvUWjdeTplTkf7KRrzFgre
j7ydHsTgkHWPuqvuvjUmP8yUmzbPr9KQTK64LchbdNtjUwL+0oj3sptiHRsKL4ZHLK2iWaux1w5G
gznTHJ4AvvzUMnfNvSGOaEQiUQdLx8NV3/0g7GtnEfQO75qw9f5YN8p63tpVVrUXZr2BRH1LYCCG
DFJHpJayH1COcLDxKQVXWQAWsCCkzIuWyM4Irxta6rsB70t9rmkgt6c+YNPg/Ohy9bvdBAQHRIvS
sIF2t4u8ze+wtV7UFsf8nK2AMWqbvg1v42F6HuD0kXJdbtuAbTwhd2Zjr7tWfrFd6H6i+JLV1RkX
tADHyCl3gCJk6MukvzS0nVajaq/G5DDooN3NcGWrxKax+8t6bV1Cfs1i66oPgy/JFPtWZ59F7vA1
kplPVhQnDIkcvjL5RfmIqWu3IpOQTkfh0wMirW3c0ClehiruiWjVINmv4+xhyLWbyZs5uESUsGE/
qwFNDuyjxkC7HBqL9ACN5o+x1dF2FuTYmjntryrddGF1XZfWj4b9Ftpz7aCM2dENg5tyzHyblhYs
mIURAuBLojP6DXRUomvYlUtSpXZJPD5GgAr02LtRPbm1MvesrRWfkGPyBmPOp4jdsvGMDcGRusOi
ANOWlSRlGtGFPpJkiGRULbuvhnpfoa1L06vEfdKLmyIyDrljPwQCDTcvtz7RlTbtYpURToQB7rJN
El8PNH4iPERYyOfd7OVJuxs3Ci9FWm5kY93D53s22fmXg8njHR22TG7ElKv3lAKue9uEoCmre00d
CSBM7kN12CfYwxYm+bVe3J7Zorsxg/orEejI21yxBJHydSymHRk9CwuiE6xBCgODZLpxFpR094jx
8TMmelZO30qrvwBrtnH1HhV6RpZ7k3G2U8ptHho7faI9qmY9QGP8nauxHA4R9p2YkCOhSUJhs+hC
zeaelDdeSqe9dIYYAkUPXqWI+h/m5JDVRZfPGw5GxKadxXI9CTVAGxr6GtBPis/riUxrNyECIVbx
Dnb7WklvqiC8dRPM2bK4kWOHR3GclRtfFK18KqI7OTVng5VvdMEbjgmTJZB0oNEF3OBOwz1Imeu6
U69zJ1hIu/gGSesaSWmKq2vcpTRd5WD7nqts1RAp6dT7cQuqi2yJciwuNSvZ5+54X2jtF5p7e2NC
D0A7BBMmyJzQYfsqG+3BiYu946is9x2mbO1csR2WJrFt+DGot3xwcU+dQ0YpndQJYc1CLbNjNt4q
zONFotoodcOLsgAmP0fV66N9rVjYWyLcMSAq7tA6HAa3PhdqzbLtEYSVZIdEOiR4G4gkJ+WnIHQn
1/RDIVnQ2j4hyV5wNrTPBy04rxLtemLD2tQgMRr4kRcOGT5jZ2w6Mk2W0mqTdULo996eqi+6jQ54
HJ9KLLxZncM/tc88c9wozdx9tjy0qeIYhz16BsSGsPFZfQ68mtwufhVB6ElLk1YZNrpjPdXEJzWZ
tqfmGbBeu9+a4D6M1U2beBejqa0sFdKFGJFPakm6IlWuZPfiPLoJsjmlu7OVjtjSkHqFlVzYHQ07
M8XtKdoLhN9+F2vHrtScx7LP9xbh2T1pWEap7f+zLX7ZFs/s4n/fMZoph//4NwI2/uKvPTExhraD
3Zw9Gqb0WSP2a09s/dPCJo0WjR6GC7riX3tiXaXPhATJs6H7Ac1/7Z3w2BOrmk4LSsXYTlfpr/SM
dPPUsW1jj1dBHbL3Nmx6UCd74iJX8gQ7UbjvYyAwUL89cu0Djy9mZq2bPKOUJ0blRynN7lx1aC5l
MZSXiDL9Ok4iZEhd1C61yi6eE1Fkl/Uo232r54Rw2IW+1IFS+UqIBa6Ig8t2NM4MV2n3VUjyrNAr
34hE9JhN01URhjdsmS9dJSRFlD94dHEen1nshFZuJT2cGnF48FxCx3KT4kSdwpvlg8Fe0rQfybQD
aFd3OfEXmKnlmHT7vKu0Kx3tyWWJ2ZzKuVo8qiHMWzr03VmKlH0hkC6vhUWaR4p0AxZbv9Frool1
Nzq0lUAYbBZbzKfxuh7hlTbBeBAOYg2DkIxNbtrbzNN+hIZy41I7dxRLruXonktaczO3DeaZrYsl
9kWwRjrxGhYWsGVe45CukpoFQp6TCkCGr0VNkNjiCpX0jBWLrS9V1j5Zs8dRHZs7oy/mSA7EA1Yk
n5yJtI+ytdRzbVC3fJ7YGJOYWDvNcxlNc1UpP5d4K40G7p3QSOJTEliuGnUPqP0c0imTKKVzj2ty
WnZJWGE9qS5yS1RLnIJ3pTduGqprdoprwIxNmuu2iTV/LJ8oEXypnALIWZSeoe7B2+FN50aX7YCu
Lj1PUN6Pz4YueQ4C7xDn7Swr30+JtTdILGpL5w4N776xhzujUc+tiArxSKl2kXbteROP3xMMznkE
Gjpw0f8MmPHQ1KfetYhyZUV/LOYs1qGMEDKNlnZEzEnbZJeuTrBQntymigzO0kgbvwL083YSpwvJ
D8KlHE1KtlEktD4Uct/qxEnIpkeiHqBTDjrMEhz9DpmEgVtmPQj8cGw3jtEijrOb+rwMrPNyoJcF
xCY9tlVQrtmjpD/ZGm7TergnCoc/meZfJxLKF5rSTOsg1547kT81cdIiKyfGh/K2uzEN8xvF5Dso
yTWbbX2H9db+PoWKL0TDwclIUUhJRDxmkZqbeoT17MLpXgoPZ3qpFeOxR1foszH6aSGMWjqRSxk8
1+5Ib9p2E1KVqqUSVQV+K2lXiGHo/EqC7J208QY5gVx3CU74rp1sH4ckEo30Iol1uQutjsdckcpo
R9XId2Ui4mLodUK5XDvycyjT50TtyoOmkCYWzI4MhdADJ4bXFOuBu657szwOTvScJezcip5TTV2b
txZ7oCuWnTj6Q//6H4WChzbg339vlo//OHvsfi/AzH/r18cG9D+VFOolL1+UGZ3062NjAkhCwUmu
i225+lya+d8CDOSkWUdN1/6NUtrlJ+nkrPCFcmbnn/qXcCh0zE+awrjzeNboEvD8AQ6Zs2peN7kT
EkdBpnuVH9QV4SOcwReatPGkGxNdyjEIZbPCboKzg7zgZSVDdW0F+rOht8RWpymuFwMnVZQ26iHq
su5IIkrog5JNaefYG6nr/cbp3HCNqlbfKoItkSOD8XyaX+yx63VC4ZraL4SDeia1HwpRPAYRvWSC
xX0XWuKTDU1jFRgOiXpOJ8UToY3Btg8K8ws4IGOVNCS4Bmm8TiQNJdyQxSO+/QRvrx59QTTEG1MQ
kkQfGlhbfeFgakKiWBW3w0hhQdW7Dj7e9LMn9muDDJAkEpaQpRt0LokAASVnU9uUkoqTajYP+Pqt
dSpI/I2xE+E6q7VV09INsWrjZxZqOus8x/E6lo9hK32+oNrWacB+OF2u7MGJHzpRq6z/Uhx4Rb9o
WaqdIeUqdyScoeNzJpMucfiQDZFKoV7h6KhnGYX6xCe+TtkAIKn47mJBQhUN9N+atBVHXVyL0TV4
kSeniUDdhrjlM6W5RMR2RM9E8t9ZVEtKOc0FAKaH+hiQS4IEROSoFqemHJfOaAlYpxSdY9mIr5TD
qPJbcAhavrsUz+rq0lbd4LFXcerLMEjOLT1HZmpyJsA8JKzgIbRS8PWpG3jrEMTTuWMm+6yVdylm
9NpqonVKRI/9zQ3K5kbNgTTlOLzaGwm47pDq/Z2iUb8WTYixW8EjsojYG0VLHIpDsVXxh5YLDCre
YbQNIuaTHl2zbicmoD4qVIWjHIRZUXazIBez7E6dTI99IXDwUUOc6eTVwAoamaayHEevhKBcj3vp
9mu2gJzFu87TLmcC/HMCJ4fDHY3qVcsMFXVY7fDfDAsoKdl2Ur3hkuMDVnRzdLMHrTRHGwcR6Kwo
8LRFpznuJh5RBLLRwLMYl1143xrE+RlMrZvE1MN14Sr6A1O0hxABgScrM7lNZwzKpBno/zg8ZVBc
4JM22rnVQFxQMi3ddcBZ7hA3bLNOP5Ndbz8Idog7B2hAvdBrazzrVY131piOr9ay/4N4aHbvIqwi
Bhy5gA6k6e36UBhF2ZU5WIwK75gyVQdsnsvMDbaF8kmvQHtbB3bIRCHPG5Y4I+HZMOYC9uulKMJM
K2otr/1QyeAqNPT/r8Iq3KNK5uRqXYQ0nDErRdAWU23O0MElNigrnSYtSm0yz0p67uNqzNv1x/cA
xNRb5QybfaY8CCp29yQPEbXy5jdrOfUncVBifrfBtjgOXW4j5bybm/lN080SAPBrCz2HPMue3ffg
S019bvhM9Gn58e9yKkp6+VXQpaF2Q5vmnXZUGq3SSjXHj0FbEM1GQctPF8HPutaOVmZsXwb7zxd9
Vo39+y/64d1INvw2fHDnv/nnV32eE8TRkkuL051Z8eurbsyCRJXDoDvbdGbl2K+2isrhkk4YmjK+
uX80O/63reL9U8d+bnlsBMAszqLBv3KEPFWUuTRv5r0D9iwTJ8uLKvGVUyjL2UPm9ih9K0wfMiXn
K5wdXt2Ud5aG+dV/7Xd6GcJAPInrzuLIe/JWiEZN0ZnX0g9mlFoH49rhzKZYwIv+zkB4czRoB+zH
TwbK+l7osoilHzfjF5q1m6p3rtmvh39nHJ6kg9XIgdfBo369ACmSgPYaE4OfNj3pm0qxHdOJ8rVm
PH98Qe8+HJpx8DIRmsLQejtQx4arJohO+ugV1rWa3MLkv/l4iN9kpy9PB9krBi5mKc/o7RhV6/Y6
ODHpw2i/rC1xi1JsqYrpu2qg/G5i50dp6o9IT8FgQ3OjU1H9sXr8n/WT/AYsUp7uGLwG/MvJVUKf
JG6zczp/UDKk1eV+yGHcFzfZ6H98rb+tiScDzR+WV3Ndh1SGrj+Ufm9CAXLmnBHH3RmsngvY+p98
DN6Z9Vj75vqQhkGOmujbwRy1ziu90zvfIP2kVPeZYS2L+q9+decrmnfUrAOqw717O4iSTpWeFgYM
LS5oyI9aEq3mKnGDv+Xje/f+5fxrJGMuRL26d7jEABwPXud7mN5XTT7cU+aFMlZnVx8PNB8kTlYL
LsmzAMXSijBOcSBkMoxNVPbMeZotTkfwqIw3GbZgeBUATz9Tu7432ot0lyodJ5v5sl9dFuFGGOur
TvpK553rYZgBgu7uVb26/RtX9WqceWq+Gscp1Liso5RllqR6r72z+hnAhz3MlDs7/2Sev/usTI9F
UJ0doKdC7qRuZFZ0pPkoVn2OvO1eeO26cJrLj6/p92Ec9jimNy+DpCef3ru+GarKNnLpExm1GpT7
DhJ9VVufTLzfdnt8AV8E6bxGSPRPTbqTrnu9q/PSIqVZaWq2VjTwCfYxsDmB2sRSZRcfX9bvE/Dt
gPOi/OpRQfk36zrmK8LxzNyMHpCSpkm+k/pC5U5TLtoZ5/XxkL+v8w6Z9BaCdHazlJlPVsDSFRrZ
NERFxLRnIE145DnE9idfrd8H4SfPNuxZL8ItPVmQsiDPh5oWkF8QPVyaRJkJNHMfX8jvK+w8hvdi
o6D558339tW9MyddSUQcST/RoHK0V3r6VEXxWUUgxf9voJOlfApNGIaykH5jfFeo0GVU1NzxpjQe
Px7n9znO3HuRr+gI4X/bu9iJRf2u5r0tcn2HU1dCkQvv4IB8MgPeH4d9naFR4eEA9fbGBZLGmhng
g2QfsNI41wqPpLfwk9XuncfD1fw5yskqVBelp4uSu6aSNaF5DzUR9q5qrkN0dX/jvuHqt1wXbgvd
k7fX0xhewkaBnUtSgt0pi+S2Ua3HrOnWH4/z+8vK82EQDys9KiT9ZFK3mRFMQcIaJHFt2j9pWqwS
tUXpcxEq+l/ex3omUHMmuKVzYcbJM7KHtKTYPwo/hBC0yPEK8Y/0QgmD4K/PBs4QcxgD5UCkUyef
dStrUyn7TPjGlH3nQu4yTfvZ6u7TxzfvnRXh9TD6yTcdgT7EcDMS/iCRxSMxGgnGsdy/PhXejHLy
iNKhAiScx8JX6YLWGDA0GDp9M20/vph35jbD4OpyORFhuTl5OqUaohDRGKbS0pdox2FRetZ56JhX
Fa3hjwebH8DbTYr3ZrCTF2lUBlJyqJ358CGXPZIWcq39MHpMRLOtu2INO7gNu09u5LtXiEPMmDlp
bI9OFldttLw5/FH4qQVsPowN8qFq4zipySHRK/2TOfjZaCcrbGfTeQqFzmOrn6Pao3rwjQbLKky8
T5by+cH8di8JLOfwyabPVk8mu8FCIesErawF/R6/zk4h/cwwjE82RRzPPh5IO5nuvNXFQJuGzXIf
APz3KJMteJOLxSQhspYKZV4ItktMOh2JP0l3aLv4p6eNO+r1jwC19npfm4Ab7J9gZ0ZwWoFJZpu4
CKzktog1BAdKBYqx/NKkBAeJqEalZnyPSA2gwIfOVxd2tQYrDpYt0Td6jNvVydVxGQRzjponqIUK
+8yNbCrMNkGwsRWXcOsbTn82aUrCJkK8KG6TgQNn13fdIXCqM7gFB09tbrOeuKk2gNGllmd1DJms
tWYS14iILzC0jd5Vj5EOs6oK6wrucX6MvKBAR6hsvK64tFPM/CQ3pQvRYfwzo+u8AsqMcuQuzJxq
ZQHGxkUSuftSKW80PPDcrKk92BOK9IwQ0HWTINBLRf2gD0KCMpVro1NNH2xfA4aV0Csni25Fi7OZ
yT2R6xLjSTJA9U2tecyG1H2wkZT5TVhoyyyo+q2hE4wAPoO8kUT/oVTaT0fDTD9kg77oWK+IPbhy
HBRhqJeIQWsMTgo04iK1+2m19ZMXjaAcUPdlFhQr/FmXkKl3ZEpdisK5lUrud324saxoE44BMNZx
bZMQvNDNUdurtehuB0dpdli3aH5T07xG7GX8JO+pgXMVZ9kqtAFYHBo3gsNRVuctRcmE2PrE2ff8
ebkKzbAEfVw6PHLSGPSkMlA89S2Uq0GQCeiGssKm3iHpwdl9PWGM23m5NM9C9pfNWihI5bXxB+5h
lCRVHqxDt9Xti1Kzz0gMncyvstLUC6OvIJoqsTyKCM/Gshxc9xhNNuK6Rot3aYuzAGkaRfwuEyuq
VrP6zJrDuaRd0dEluXUR6Pj3NXs0rrKK8DHVpLcjYxsAcBlZWxvWwqKaavcRPh1xqF1l75IOA1MQ
mOo6d4WxsfWMrjb57X6IGhhkd+pZG2NIqmsQpOXWGhuX2DHMTWFKXkbRH5VRXaWC/fxIHtZyVLyb
ssDYMyGLsqbyZ5BTf7edtIG8p+BvC+UXg5i4pYyrQ5fpq3A2+FvaRQo2GdSEM1iXVGPS+7Sp+oUT
JYepHKx1mPU5Opxu7yk5/Z9RDsuijeq1FKXYO3REnx1NfEPLemMlynXLH7arcbqKh2ZfzxIkLQio
43q3aeHS37cuS10CmSd9w2Lap/2dMcTfWIk3euMdCH96JuzjoTDiJ7Jir3MLn1bv9V/i+T9afEKN
IohIa+rNNGoPOrx62iYEzrVXuYIQd+BsCqWNnORqXFvtoC1ZMHPQdS4wcK27SbvynkD5petOZ2QU
D/dRJooVkJJw5XaOuBaIiBfCEpyauzC97rCfHAiJA/YRSsjt3uCiYrXBnwy2sPahldkBEXrSuKxF
FN3XOBl2Q14AqK4LQm1dtZ3Qpemh36vVNb+4pp0Z0XhLOMG6zvsfis6CUGXhRomI0aR6eIAOtu8n
ktVU4V5KzT1QvTzvezR6KB8kbPnhLqJhtsfh/KWsqbuAfQe44JSXo+22qyTLh/WkKtWVSf9lXNoo
QPP1mEbWuqThfUP1Q6wmpzQ2Pd6BTc6rRiesTu/wj1nbtoAUQhKTDFOfLBjja9vVRge8vj8bkjQh
w5JeUGjRFZpeGkSyUcYCFPDcOKIlwma7mftJwdxZSuPpbooj60AsEW2nae5AOXMvKnlpS328i/j9
aMsu4s8v32ntNaBlMsFQEojzxgejn5CB2dVjGrDK2UK97pFKLGMVyvTHw86pPe98ceFy6RrFrVmD
9OaUJuGrhS5Kd5+M5avRUVgdMUbnBDItvA7utgZ0KFZQR9u5cT5lMw9d343GVx1hfBGnu0xPN1OR
bcK0v8IBQMZxvLVks1Xh9dGQ7TbC/I5m7yHLTCINhmUlvKtmyB8MLGzG2G9yma0jxV31QDbijohr
PkASvxlmItKzjOPYPibhuIVYuIhAo3QOxkJXM3akT0KOAqcQpPVmNq1+fF/e3fFw/v51W052PJJm
MTFVQeN3c6T7YPiEtK6mEAk3ot6Ph3p/z/PnUCd7HsD6Vj8OlvBppj6TJr2jCfldIx/rk0f97pYH
OToGd05JYNbePumBDQ1BQWwZbfYCNq+tjL+Z6NE9FYxlNX0y2rtX9Wq0k11xAINIRuok/Ka68rLb
vDgKMJcf37l3zyyvxjiZu14+Nmafm2zz0XhL0g17gEwfD/HuPHg1xMk8wPEEKMrQhI+zGYOXBCwo
sSKTf6Yuqw4r5sfDvX9FMImgLng2LLW3z6hLAmn0AQeXwIru1bbfodDffjzEOw/GpsuEhINFbW4q
vR2CNdElOY8HQ9ATcnlMo+eO8jeu480g+ttB8k4jt15R59VMrnpEWb0brD++jndu1ZshTm5V2FZa
RUKX8COnPiNtZgXg9ezjIT67VfOv8KqCJUPFtdOWIcpgVi7jDxrN3l542Wcvy0tp4uTcw8WgOwNQ
Mef+nKwBidfN/YOO03cqBZ1hEGhREHY3kVVeNOSFWhl6wMJTLsxo1MjH6FbWNCh+344Pplvvy6iL
0AO6O6WFP2RmICei8qnMgJsiSIPwpYhP6h/v3/1//cLWyflJjznb6HUr/GzAIGV1t15jf9LPeP/u
/znEyUTFHF2PcT0If8rycmm25bkeDX7fYSX5+DG/szC+vvkz1eX1Y65BF6Q2AkOicNnsosxhp4PQ
21tIEKtD8Nc7hmiBCXVDSMwHkcXj7XCq6EYzVlPht7W3cmN7m9vRhVnr9x9f1TtlCVuFk0sfQ2U1
OVVGqH2VWWDBGz9oy2+xeMwVeIgGnm/XWaOa1Qyg4lP6yfr1znL5elDvZFq0OHZ6W3BtSv4wmV1J
pLZ7jaOTsKD2k6HenR60qwkdtMCfnKqdO1mXAi8LX2gHf5sSYvrRsuSZ7PGfH9/IeYk/fTcR1c1r
JR0Omxb7m+kBpQ6F0qgWfqoq5ywy93Vm3mEAhxodAgUVRXpPFoT7hxD/3zZCXyoQp8OaM1h/Rsw7
FLPeDqvbTZ02Cuu02gdHXW8ghrXmlZeYiIeNYefZ/dmsYQr18mawleGT1fWdu0t8KzRLFTQPcvKT
1bWBj4fxpyroQti3dYBKRusuakPsPr63v80XHbOvq+PMQ7jOh+fkXYjaUEPgRMlWz8eFO4D5Cr/j
4UhBJ3480G/Xw0CAWOALkUZJxu3JQyzlUHtCS+gRUGnRQgucPNIv7/lvjEKXlxmpYxA4rQrnQegp
U0tbxWqQtA/mUWvFwYw/2zG+d9cc/EFs5Niwc+PeTg2VqHUyrtAceGV2owRkNsVus8evBsgw7/7G
I2Kh4svEhsTDY/B2sAGOaeKVVO8zVGPaGC8M60qK75Es/84j8pCpooxhNpyegNTKjhpRuJ0f9Bw+
RKI8eBVO0zYVyurjx/Tbx4vJ4LL7UU3XJmTldOnQQ6U2IOLQjk+pYhqReqdI6y9XaOdBOD7QFwVq
Refj7X3rvVZYdsnlYBVYV+x9J4iTdgvnLf5kgXpvbr8eSX87EiZEfaDPQ7+oBRtED4QNAg5nqKKf
LAra/KzfrEkv1/SiMSZ0mm7r25GCwFHzIdGkDx8ZSkUXEfiQjJzMChUaR11e0oTNlrZty0WiOudS
RmeJAm3Wqgk9LSvqah8/yN+W5re/z6kQwQ6xrOTA15E8eMsg0ZoVtluwO1V5IT11XNeOu89UvuYf
D/vO+8dCgoZLtw2s6Kfm8zZXp8jOXhaTqwi4b+rsBlwr/fT9/zfO/Hu82n96Tj9KaBLoLIbLOrnL
+h9ogvGHfLLN/W3/oyMdUymw0siaNd0nM9ULE8ynL8N4zVM2WTdGgtmjrI6FgqOxqz7Z173z9r0Z
7mS6VorFW17Nyqw8gFf1w3U+WYXfmRUMwGqPWAol2ylRTsROQGXd6PzGTD32OzM5yKlLP0iNZTUa
d8UMtam8LvlkT/zetPhz3D8SNV89LsD7dU/xiuNC+9Xt0s1Qu95CAQu8FEH815cwwnaQxSDUAn5+
+j2L89DCH9VzilO79ZD0eKZaTNgfz78/VsKTF55hMLDB5mMzcNqK9lqQZXbJOc4OaHe7yniTDzme
UTY/JXDprCdVOW8Jz4MjfAj0ZF+Z2G5zJxth2MSE+1YaQPU2RnRrKISksOk0CxD8ZtmRi6y4F/Rr
YT4X0bRpgDfzDqsgRb0xW4lEPpR2XmxFk4D+oniuLwBs31HcNWHCJQVRAiJet9lYXGVkM684xAYr
rR1p/7ZOfB7Ucfo9BQu8SoOIpE/Aweu6MGO6CNmcMWpkR4KsrouKHFEp5aYfKUDhs7X3DhbXTiFz
VSnNaNeltfWVTVCzMdJC3ajQSzb/w96VdMmJK91fxDsgQMAWcqjMmme7Npxy2WYWo0Dw679L9es2
qeTBsXv79aYX1Z1BKEKhUCjiXqup7S0gnoqDjzr4pkiJskkL9LSHTnndYnJ454Cdb6MytImrVa3j
6YWZeI2oUcZlUVZsNAHO1rzBWG7vi1e/By5rnRkFCE17DHdZ5qNvYH7Xiapiq/aJekNpjitdHaDS
VhobkEwcUfx9xzsF2WC8QN+nzHhHIGZeDyAPz6lr/9j3efcIaJ1mK5BIHDGj4QBjqRbPMQM7CYBp
urHjfIgPBTdzD886eAVDorsBxe1FN8Bxm6FHr7DNX/V0eORZsbO6OgQeXgjuoAhA3eBWjTDXTzZR
Ub2LUCO7ZeebjUpICZFGEWCMn9UpWtWuYqhyAQC62yRkwGIDMVLtELx2ph9VYr4tyyMzhxuaaHFU
o/9xvIpLh9uQGU6loeh90ZoKBbIdQLJwEW9AjgkAHaV7IENVe5ptPAjuHxQDbJmDetHUHK9P3Lg3
USDyihJwG1HdAsHLsX6myMW6sAXOOOaRNwzsOhj8VZ+Nuvyx/Onnveao5mBUXRu7bfBqKhdxgWYR
gm+RYZsWTjLCYOPx1MaHteAA3LYO3tkw9Plm9PUj3tzBEuSk9xiB4wDvsLL/HyD+q4mbwh/+d/v3
1Qiqg5ep85Gu8f/7u/kb3Gvo4hjf6z+HtODyfzd/0//g1mDh4Xv8F6E4Wv7b/E3If4Cj4+AyZlIw
VIxU1n9j6hDtPzriMoB48KsEBGS/hTkrH8uoPRHccEcqA/wgxpJPkw1TJCTGiws/Auo7Pq6BOsln
o/zr4+abnI2qoYRKAvS5o5+n1wUA42j1zNEDDjwVcj9Z+Lu/TqcpdO2pIsjH0CeDzikCLF4HDY9y
4l2C8MwGSCk/moENdL0HDDMuCziNTOcCpJViIqV9akEABdqQVWBoyvoB2Jk7Fnd7SvfLwk4X7lyY
tHBJGtWEVzBLH3VomhcPupI86I22j6oVSVLF4S9RaJYBEK+GtkNN7q60Qp8mhaXzYydw39f7Q5lG
29AG33hy54BDuqv0jRFTAE+WK9nM3IpOJY8mnXgHeMIyg+H17QgElEOIgVbabDAd7dWUXKxV9E9v
S39raeOfMdWFrqeyktIAaXil8iPzjw5AQTPMCK6s5JwHjsBYf4uQHAQdW35lsYEfVdZ847ZxCES6
cjpKrfrnakh+4eQUoJox1GhKE4xLSXFdthhy4mwzFGzHO4UC667Y4D86aAz1Dl1fe0gAZNf0Nnj+
CZLVKob5alJhH1jlkwkgP44ENK7FHm0bLwNpjnpufy8EvS0ygA5SDHu4As/XTcOB/qSDVAANqF7C
qovlDTNrX5SUMEKKCTR00J7aFw14hpUb8KXioO3o7drD4KxtJz8vKd0OGORGbwo2ib1t2l2iPy9/
/mc/36+U+7+rOhEw6jfZCzXmrhN1gGEF2LhdTNEdGMYh29GgfdpdZFbOAUWo3+AKDloCzBTUdaYj
U8meSNF+YDb8oo4FGCYtEzQWyCkB51RtC2auRNnZLTv5zNE5Jp/pA2YqUCiWue5atAb5GLN7wx52
rbK5CCNjs7Iqo9WWVmX8nIk4hUUGwDMhriL9oRJ3flLcCZO4wvoZkfTg1/QywawDxixvnH0a6Ltc
WWvEnLc8Re0QXNU6Bi1OPyEFPXnIAguWV5FJl/sSKFDLWs5JQHEFqacBKXghOJWQo7XV10cJ1QBU
WTK4bMVoczt2KmC8OU9Wkeg+6fNRgGX9RMMIMNC3EX2uhx/Leny+/sjWGhFPAIOPUiimxE/llIwk
KjNhLR4Or601XAZRfacQustz/yvGsvyN0uj+Ro0Ai2Emd8B7LICPFoHQLsDFSK3Es6mUgMP2ower
yambArkOZwTa4BrrDlQj4GcIlR+lUWw19MZ6Bq/uoih+ooKANZMZH7Fmoj9u4I3XA1MVIOSA2NMI
vTPDcg/wv/g2yqwrDvzoraqU3Gsd65Whwgng7KOJkeErFgPHHPzLN3EfHbgFXHUtKh7SJvrKVW2L
YfRkxfJzu2m6YJJhcgzuA1ut5cf4uzpgvIWgDwJgKwC1WOHpmouOU0HSJYdzDXw2JQRR/WvpWDuD
AwkdzCfLDjCvDsrgMD7Y2+QCmc9LIL82NoIDa39EzotBS89J8BKMx7VArByFs7sGdZ6/hUmRqMJT
TFv3cOqGd7d2ke96YCkv6zMnAht/nOBC8ZLI4xKGbTWjt0AfhVxFUb0H6sCyhLkVQ4UdzfF4rDPO
Gl87hpMMwGTY+gp3TXStO376oqYAHAPPEbCK7cOyvHmN/pEn97/mgdqiHQ3yknsLXX/5ij/PuRlU
QWUKLdgog0sBQOl7KkxuIAMyds23mFqu6NU/cLKpDGnPlADhxKQ50lXTJcoNhqYZ2ffNn6zTRBFp
v4ALKQkHgkiWdNbW719BOLRdtoR0ef/rwAdfno3nAswFg3r7NFj2wGmnVYgM3zfRcoUOWnJB6i0f
DruNN9gvKllJkGZNP5En7ZcuADw34DD58Xq3ElzWflmyui1Avpn2yHsbll2YKA0F/MvyYq1JkGxu
RD36YwFwfay3cfa7w3LnppCsTQLAU1VZx4+pwg4iYHvL+iJsZ+UUXlHi7JE8rwjTfRigTl6tahNj
kPZfrZI889fgFx2nxCo5oA/8Hj8s//rnKMjp6Y5qk4UaBrAExhkyKcOOI/Qs1wxwhbUodknYvg1x
sEui/IdB0Fo6NNFTgN6iyEADfBv1IBLoL6qUvFD+mtvNG2hlAMYJhH9HzYbNgMGxjQHodHSHrZwL
0mvVaM3T7xztMMl2QoD/tYmNs67bE4+F+8H8SQJMUh31F/3FMTfLyzKzj0/FSftYgK5aQ9BDciX4
TVQkl2Y9gIHYfmSlek1pf69rwxPN6i+sQgMe18WtFjkre/v8GCHqOMSN0RdMQFlyIZAW3IhqXgMy
LQbzCJYVZ42zAVcfyBC1H1rffV1W+tyVIc+gI4cPXjrBo3S6xKnqpwEFBO0RSRp7SVe0mf11YE/j
fQpFYFR1Tn+91YEt6rQFah8qeNjqx4T9/m0ODQ46aJaAeoD3Dfn7ndLvdMCRQoIFJkjgKxftym45
PwlPJMibnYsgoqHBcLCjUT1qL32A8ZjZyoZfEyJfTYRTMLBP4ggB/0YSXwLL2TP/wNQY6DRwp0Zp
SJWfgqJEBUD1ABkVPQBvpVpJsUZPkYPK9OelUwnd64ne2Vinvryss4/aq8klBxK/Xuxye+XBc86v
prKkcyqruJlRB7I0NECZybaPVyL8+LFnyhiAMVBxZRuLaaeOawK/sMlVCEAX8U0YWkALvsjAKJBH
YuVAnLX8RNKo6iTGNQErSGpBUqM2G93xN3gk2KV9sGKdNTHj3ydiwB8cECBdAaE2uwjxsJDdOqRd
kTEXuwBR9s+iSR4QMZUm+SijKNJtMRjgjWLBJSkznMbWEbM4w3Y5eK1ZSXKDX2uXOIFntHrlOTBX
moE3MYpWlPts/VlyCSlzMUvA91GOwbHYD0cqyO4NvIHMxYAfALREjdYQ7DsMimV45xJdBJBsfqjS
5h49OT+svvsR13p0yIvmUbDyex+o937YH2hRf1WG9LXT6g6XK/alaPV9S9tdPogDbi39nV/pwAJO
thgiu410tPcHGTuWg+/sS50qx4gn6RYs6tHK0s7UkhH2KPCPKDTAk5QUkfB6m2cRhzExAeY1zd0V
KOVDIAHzn2RlM48Ld7awE0nk1DWLAi/uDVg9juANbUGfZe7DYV9Gu27tCWNOJx3QPACvQdsQmpSk
TaANf0tSu8LDQ1+K+aHAA2cPoKepcsmLo7EWFWci1YlIaU+gvyETGM0di9UbctkqK+fG/M+PAFpo
JQPFqGQlze9jZoMu5NjmYHQB4D5m8n77ToBa2UiG918RknkAwmOxwkrgCD8H8Bv4K/tqZg+f/Lx+
an1GhK8Zfop6hv+i6qh2elFhY25xrWl3pth9qocUaLPQV9NhDOlKW2UbYcRbwAEBMF5PLy27+N63
QDzlYDSDkxOjveMDBxBB34EWGx0EgBf3AWJIK7dRq2qln2ZmA5wsgeSWphLmWuNgCXKAim4J+paj
LNk3JdkAL8ilbVq5BDWE5dg5c1yfCJUcE401BJzEEBp1m6IAq1G6iePNOAe6YuA57ZCejTAI6JoG
ctSpgYu4sIbAiXABN3fxqwiLLWraRhkCjXAlwRnXSQokKOoCEcMA6wkg26R1dLQqCgwt5GDz7vfM
VK/ArRuDJ2B54WajyFSMvHLAELZB3IDkQ8GJnVUXCmuSY5x8qGAmbMHv0+KvcB1jvD+smW3mjEWm
jssBwUELbp3RrJNzvEwAEt0BK/FoJdF7ywHLF6gAzjTg27uh8a90098t6zsrEacAATj1yNgirWqV
qj2hOfZNjzFpXEljf6/cR7Xumdp+WdJcMEN7KqqbaBjBJJ0UzFibAvM2BiR1Kbzu+3C3/OtzDj/9
dSmO+XEX+ig6N8cO1L4XmyoAmj+eH9BLsZI7zkYa4JbhAREEsED7ktKSgQ9pwNioh5a/sgRc6q6d
h85OzzHRDHDADg0weOqwwv4lc0BNUNGAeuiTL8G9Jh6Tsrk2qbgMuvZLDuSNle1IZld58nVSHkNS
TBRpGFU++jFIOr/HCDVIN18AInLbVphJJpG9UZ0fOii+6Oi/GRy5Gz0a6GW7JPlgLb0VdfhcjN9G
1fIeXWzopsEAiQpu+AHwrY8UHdNr/d+zbghMM7Q5GoBvl89up03Q1Gg7zTHEGmG4ttyhkPRm8+Gi
tQvQ/MTiedlfZtcJd0oUP4Glh8vx6U4blDApkgrFBzO7bfiur7fLvz/um7NoNfl9yQ5IHq2iHF8M
2hIzmOCpc23n/Q9EAGETKCeA8kSHyakKACct+0wVOLoBah6/FsU+Vl6XRczVaJB3/JIhRUMdKNVt
aY8VtwBYrFZvHtBdBYIE0yo3qsEvB2Ye7UZw1wGdz8hxLzoTtYwSfOtJPazMXMzZDG1UGCbBwIWh
y9HR9gFz0Y0VHN67zoe+1q0854OTn7ekowwEmFUMFH0cMFYCdkySHECk9xz0mMT084dB7JfXdkUb
S4qHMc9thfoQ1x/JoViJA2s/LoVDJbUCnDC4zpgB8AySfhcl+r+zxgiiOT2rwjQgJcjl+fHb9nF5
Zeb2ztQQo3KTUxDNhsyvx18OQW/l+TCC2XadN0CNZUFrqyTtoFQFkbduwwQdDByAYJC15Youn5FL
DgRTZaQdFCoYJtNogCsCmOS9LLBBB1yrL5UD8ljgwHdAXtpZQbBXkuA6qOphpwFjBcD26U1E8hS4
8BgXGLeSMm4qI8tQQ6q3RY1ZeVuErQdwsAcO8mzXKMqHwdQuI24cwSP0mok8A94CRqKFEFcJWrq6
AgAN+VDXblo3bzGYF3pe7ZsO7KhZ/DII665Tdb7peIvelDgIL5o4Dy+bBEyFwndAl9uwXLtYtsBc
VRavULjdmMAIPn+1V0yicuHg/sEJeA9C494qWpT6fJ/dhEEPrgcnOgiMQW9RL3c8LWhvLRutzP0a
Dt+sK0y+Q9owtFJC3c+Reb29+Ssp5dpPSxulBZVCDPAJ1ID0sczdVSsZyWzcmny6tF0ocDOykOP3
gUPiFvY+0O99h11kWnhl2t1m2WCze9O2HIwuAq8QL6KnexOsJ2nIGIQF29oRblK+oiN3WcS4I852
DMpyxgh4gOq1tCtBBVNhsBRFa/B0q2AiiqJdBbiNoH5aljOrCnpF0JgLrDBgxkmqUBMv0spol6ba
piwGGWFymebZ2vTwmhzJtUB+RAuwN/PjLTpSMJuM5vzfV8QGjq6OQSYgE8uoTMQKtdJXcAfr3qzY
+8jWOg/nFJj8/ueVaRKPgXcSgF8Evz9kzAUpdPK+cpSsCZAskQmmpVWDO5dCPlr9Fh3z9tpr9Oy9
bqqEZAWlAhJxb0JGn2r7KrP3vVEDIAljBEaDeBoc+qI71EP1o3RW/GzuajKVLO1/Vqg86lOA24Ds
kMP+TfI0XOtkl/UPavt92RXm9s4I7/7XKODZA1NYlBqISCDLotcgztlEmtusdf7PWmsiQ0ptbdHG
Q9pBht7d5Z6qbvDM+O+0kK7BVQb2PZVAggpiR5BjugNg26DKspSZVj4yTsn9vVi2lPCZRh9GQ4aN
yYf42OvKTlczxcsr/pGNUaBpFHVbaPRLVzbJyFZquMmglV6dolWyz0CNAxTUxDPs+NHxUcHhGHAZ
Wy73NVeylbBrzMTE6adKOyRX0Jega1iRJCuvtNY+2uL3MCE+n2MBl4hkH8+TGEORm8KQdItEEKyG
6r8qSnatV8ZKLnTmnKgy4JkQ8RYddAQR/jTgJgYvQgxKo8hQb9v4imgvBhhTf7uGIkkZl3ISrXyS
xWpAkHDR/q3jD33qRU+VBZietXHLM5uMgnAIgkYALe2o/58Kik1fKE3gN8fe4D/gKpbSfFv20BUJ
MopDzI1EawqUGuibA1aSYeWgHTfqyUE7KoCJeTyA4dUQdj9VwCx0lLpiGyRhGEf1Hcwp5WB8CcI9
c4J73RFeLQzvDzSaiJRiB6AD/Z7i4D06YbT39XhrxCuQwGtKSVZRTF9TcAlFe7NyJFXsVuqDoWy6
W/3FHNbedWcd+pc2VAogvDOVHHTAzTFP3IRcYts8/Fxer7NYe2oiuam1FXGqJzW0MWORuICRvPTD
4b7PtTVPW1k2Kh2PlmqUWuIjwKSdsgHkEdjRepBrVkniA5XPRIOC4iuA1AGpG4ozRvwR9aW5ScLq
BTgvL4wbV6UZfK2V9qok2kfU+M+CituhDu+GGExyZts8lCG5CY1qQCspSMqy5raK1Y1t8HfwrIFc
LqhfqzS/cXgOTp7gmMftqyqU57JJ25HC8UJRqauV4UfF8fwmaPcAqrAvYdh9Mx12g1k0D5e31I01
/0fZ5Ss1/DVDS5GrL3oChAnaHJPIM4fLbpfrHm1WwuPsbp94kxS4ehDomXkOb6IH8xpkvcuedHZL
GD1pRBTSdDRUmPKbtzoEecVStP1rzntY7TJtM3Zolfu42SwLmnXZiSBJjSjTAChCIKhm4GhuLK8k
L7W1cuc5vzdK6oxfMYnyFujsdDsxmmMVP8TK+8bC6KjoBtfkuqvdAz/QXkvjZ0XqOLYAAYSmF3rW
jKKbvUpbKKbEmYNHxcQC4JTy1VSDQ9xVQM5ECgFyAuDS0HJXGpgQSLrc84m5ki3P+QnMOPatYFti
jOJUdR/RDTRiKWKoEXpaDt9/WrbgnKtMBUjJRhcCp6BLWHO0coA38isMOAD8nu/7rnJDsSJszl0m
qyo34NACUPthpaGcHof7Ki3vUCq47lqwNS4rtWY+ueuOAf20A21jc2wBZwe2xzcT79JenaBbHQSY
9wPEYmTgru/1QxyamCWEjQux8hVztptqK4VZUqmkBAd8c8zqXaqCXX3lfD2fO8K+mAqQIpUd4KIW
teNyFsm2Ln6MDJOdru7VBpzoySWW27Wr9sFMwAj2vrzCa5YcdZ9sSUCh5WOmhI3fFfeAv3qwze90
HFX+d2KknU/CAqNF8ahhBRJRpcYLf33IzXJll82F/OlCjn+faCMwnpapQOE9Zvm2KkE53l9hoOuQ
5MYfnC3AbgXtH3DlsHMli6WDIBgDhz5dUkSewBRyUTfXtWLcBAO0W168uWN+KkyyEQdcDUgSoBUo
094jnn4Y/cjRXJq264julZvMU5NoJVjPLuVEQ8liXeVHjZZBKGv1DcfwYuiI29x+1322XVZv1gVR
lsIBN3a1yCWdyCcMUPYqQrT2bpTocQ6Q164s4ewWnsiQtnAah5VQOshovgVXfO0Bb+3XJW+oKQNc
TTggpTTN8fR0Wb4Gy7i2SJIPaFpbWd0YCLMOLC2c3GalcaPTfmWd1sSMf59sIOYXAF0vBGxRA5E8
vy60pzU4s7PKyhjsJqaQ9qiNp3pSBV2Dk7Z41H31csgCz1KMKyUBIirL0p1iNjta6iuqzUfZiWDp
5lQIR+foLGyOwy0f905qWj0gIjiwmUNd7Lq8vskDh3qEhPdVF3wNYn2tKDevO1hGwRw68xhW91zL
hF7gE3iHaRQ3GU/pIsOZwvIH1va3OYBBXCBW7v9ki/0jV34lSyu8P1RdBblNeOt3QDajJMm3gAV+
WBY0GzUA9/tfBeX3MYYpzihSoKCpFfvCFz8cMbhozQBQh7VypMxvOmR0qDaP3FaSOWkfhCYXHFER
9XKWPKS4Cy8rM/6CfNUGp9w/EqR7L0JGZdt+g6DBUjw5m/sMbT/8ijvOS907m2Vh8yv3S5h0BQa4
e0WbEOzgetcdogxMmah+g6E0QKQn6tuysPlt/o+wT9bzyTYPcf0LtAHCaF8d9OwSQNAXTv8Hh/Gv
jBRNQKexxIhyC4ApSHk1e6+0nYuRw3enSVe29ZwqUylSOEHbYFTbWtIcgea5sSqMq9KxJrLiCnMb
dypFcrZcZLkDBB0smOmaH/l7+D2juxDg997X37fMVJDkczHyl56AHPwoCvGDhqk3UH4LtPUVfea8
bSpG8rbEAZAZj6BP62jfAovue4gpafGmMo2sWGhuG/2SRT6ZjyfO9stCYTw8hCW5q33rIxHaLk58
4TZWp/2RQBtDG5j8woVLcjwtajqbglz8yOrgQw3ZEWiWmmcmAh0dEVgwMFG9bLQ57wBrtAO0D8A6
gQDo1NO7Hg1Fw3j3As2G24XdHiB5iOLCAw79TlEBWCR+rE1ZzK3qVKbkKHmbVw4Nc9QBsxbP7Xrm
KUCI8zuK1tmKo6F8LQudi7eY09SdcUQJT4byBRN07OD2Q2hHC0uFUXA+eGEq7pZXclYrqAU4F0dX
AbN6upI5cjS9TrGbsyzZJmABikV3YUe3XFGvkniNOWcuscajC0FfG/6FhshTaaXd59TJIA1ELJqr
DGJXqErk1kbimRaEF3GeuwIlg2Ul50LWVKzkLiCIBt5uBtPlhB6Y8RIP/S5o1sYL5pfyl3KSg7RB
32asQCRhdfoobPMpyF79IvoJsP0t6/2VjvHzpzqkdehItJC/AxkXDGinaxnHGk3KrEbmmGqWVwSY
LiClN6TJpuJkgxwfF3R9a+nBsbC//MF6/hItVyPywWzCVMdpxtmrYYAz6kVfe62d3eF4q0UT64jY
Jt/3bDA81IOKpNXCLCk4l2MwRJMtcepNZg9eWaY73rwua/WZwMjpB9DK/5Eppfy5sDLLdCIYUAt7
N0XAHLT8ogswjmTawa4cnbMhSeDmluGKGpDRfXKZ9/Y+i9OfSR68Zqy569Dq7qF95AloD8cEFggy
85i1ZNPXlTc45UEw85Xy6DuPsmxTtOj1NsU2ibmOOVkLL8dxyQB6YoACDoil3yNAN186pIndoDYw
ssLIyrWTEPjJktZSBIitQZQ9hzEjW6/QkAbWcl4d1ArXztiqXshg7zqTbYCFfklC8jRkir1lJZAF
BEiotE7D4LWOmWUr3aIozbyUgqQaccq1ouSeBQ4DatdvT7KPrj8xlBRGEq3KLL3HJ6cN+e5b7KkC
0sGyM8yd1+j3R8/v2EWNbPd0d+nMMpsgoIhUBdty7nsdaw5K1aFapD8si5qLTlNRkttFpm0FIOhA
Xp1eAtfvoo/DC0t5WRYyd5hMhUhWVnuNpHWPSjBwcMEiVIKo5rAsYbZ0OBUhWUUI00aWji1bC5Bv
mAPQ30nNgFqZbnlo7MnoKmi30bagVb+o87Y5gDFn7wQ02i9/yZquUrgP7brLLV/HPraLPRrvN536
uCxhzTukUO+QQa07ApPlfQFszviWD/dW8yFK9n1Z0KwqYMdGLR1ZwFkbdaYqmXAaCDLqfgNAnIAl
K4s1qwpAU4HbRp0RTerU0W1wDQm7gISk7B4jWmKE68bX38He+LSsypqgUdVJVkrA9laxBIJ2RnID
YEqb7gdttyxjNpjhZvoJJgc8ubNZoC4MAYYC08dAX9bamLhFM+xMIY5R1aD/No/qbTf2vA9gNfML
+76jzPJM3d9TVPYABxr62yplu5wZ16HCrwe1f1bB+OKaIr0SDVePHQHg6/JXz++cyVePIXqyNE0d
hGEMeI5jXenXuUFu7Kx46PsebEVkk6XkYJLiHV2327h0U80Ak1PjrLjBbBCafILkBn1Ae6dieOVO
IKY2ftT5l9pcy8O0WXeeSJF8oLGdgUQxoqrO7/RU7AzxVeE1ujp1LybmJs07tyhqACExj8T+MQan
a81UTDQKb2XJR32kUw+tIGCxBvcgQU1Z0hfsjX1dgq0K9WTA9xWDp5jGtmb+t8TmW7sDyZr21Dr8
gLrRF5H72wHAL0qqr1h+Zk+cfIW0HlzHsZ98tr2yW0qfUOJ26+FmjVN7xrYnUqTYTwZuJixERwkT
IDK6A2HVGlLKXDJ6ImJUdOLBrSWKyhnngfr0MTXV6xi81mXc7wOxj7L6p5qbF31Se1a4cn2ZcagT
uVKoH4CUY3Yp5BoxuAK9ZI1jcfb3CejqxzEj66xp0Kqq2gkttMng5ZINgApecYBZ0/z6fblpMG7B
0J0N+H2UCN2h22L8sus3y74+k0qbgNj8W4fPMu3ENmhZYjogxscOzqNuXTjDoSUtnn9JjoxtJZvU
Zm54J8KkUJbpaWU6CRTKae0lansVWeIDOeGd09I7X+kCt0kb4Cdrbpzadyi2AUHPuq6ibmeH1l7n
5VM+0C8Zjb6Ax/JieSE+McDPNv1kJaRNT8o0MVmLIIcVD8FNI96Z3X8ZiuDDiuz7ompfAgVkXJkB
uizaDV84CuW8KW7t9jbJtcs4ju6sxjpyc3AxN+kSsHtV0UVeAy6XlcCrV3Z2Fd0pGFzPC/NLxcNt
mNMrINeC1wfsja6al8WKcVcc9DPiTowbCctH5wvWOxMFYscmUZ+XF21+awNUAlgpmEs7a5YsYJcq
xJjfsWK7fngW/p6TQ2JrXnxJL5topYY5vyF+SZMyK2EIBhJv6KNrN+Gmi7Z0bUJ/VSHp4kzrzkGD
KRQ6DG523103j+2jE+ycp+8rKzcWaM7cTTdtAy3HGgGl32lQJL4JZDkNU2Zp2gbAAVBe1XgIveAh
IT/VxvYAso30xLhjhb+1M7LWRTb3/gJcdZTqHcyBAsRBKiC1na5l+hiUS+eGlh3xTCO8AnBqDgDs
bs+I9mxkPgZ6rZs4b7OR+mDl0faTg+JsBQyCyY6RBx5vMKcrUGspr3MVTeqFOTCXdUZwwA75Bihp
L0/Dm9RRvsc43/MgP9QRxp31qMSLidUfWmo9l4G4oRgIXLaKPnvy//omuV3QSluzLDN4WOmrLoL7
PtG6XYMgpFJWuAQ9fZ21NwsQ+HHM1YhIcXnT3OdYrRyrZpZV4wE0wPCsWtm2of/Vzh1QnxYH6lS7
Cp/cDvqhTEJyxZx+hIFXn1Uwb+2inh6FZXpDfw/I7Q+0+I0A8s1KVWh2+4AVBAj+YwVYHjwI7bDr
Ig0LPsT+c8us3quc8CanzNkuL+NnifXMtBNJ0katQJ0YBS3Gj8RrcJ8+ZveJuO6f2zvx1L332xYk
OBHaVtttZN7iKWJZ+JqWklvB1/0qSEeAINDtGk0P1ll1M7TFz2Uxs7HVxpP8OPgL3pjxMyax1RAZ
CH1AS3xMhJff8m//7tellCkxWg7iP/w6y9hWTYwNjf2V7Gj8iXMb/VJAyo7CzKpBUgoRhXJ5Ed36
D3Qt8Zs97idLJHlBFICKEcTSGKQV3T3gaLBhGmXrG+ZFjq79MKZXGFt6+HcLJ1k/6Zy+D0etdj/W
HGtFHfnZtmSVnscaHGsYqmMzRqTAsG56qJAHzV6Ji9ZlAgWFZYVGMyyY6ewNN4iBjU2gUNwT17oE
E3oB9IOrtl55hJwNxwYQ+tAQZ4NSRB7KtrSqRm8LBFU6v+l65WjZKSbm85+Mm48qHS6CmHzVR+BG
XwkPnWbcYCao2lp19lh3SeUZQbXCNnI+J47p8OknyQ5kkaype0wAKyraEXtafzh9ohwSkw8bEESF
bqI9Rj0aSnkTH8j4aUpEvtqZdpHhm5ma/myNZBcE/h/kIdPvkpzM79GeiKneERrCADM68tZWiQ6R
4q9Egf9hExQzKUa6wWsqBRmG4KOrZYcgo4Mw2tYGIGe2teWBvCzfgoHZ3hAAhqFAPuxyMAWLNEH1
1fKQwuhAvKx3Cu4LQigrgCfnI82fdvn1WVJ0whxQYJej/nX41DbmVS6eUT18UiDRTAvdbXlyVWVf
BPrnAFSfgpc4vs31NXq8ucqIaVIKmitgPepnUA92opuFOYIAFr6PlJzcVL5eIPn2bxy9Jhst4WQP
Gmm0TivAI1Orpt6UofKh1MBPWd6kc6Fh8iVyaGB9w+yaDrhFRf4+Zy2wAELnmOsg/DXTl8GOLk2+
9qA/dwBNZcoJXCR0q6Y9hjRG82u0TDxAkr8vKzYrBAiIYMizwTQkY1vEfcAjP8ASW3HhAut9RxJl
JQ8cN4sc4FCMwx3aAkXTWcMZx9IJUcCZGHplvVTj8VUFK2mjuVKbgBa8SUGOSShgkdfgqOdyhals
Ih3iLLV40UC233k9v+jYBVW95RWcc42pCCnPL5iiOmwUQXMNLznKFm/CH2YUuJnKd1nziIVfkbim
1GjTSWai15agPhsXtEEM5DsTHL6JvTZgNisFdQPbxgOxetbwoxfAwDd8nIZx+NC35rUePlX0t9G8
EWjoRIh0AAyYQSIdh5D2o+B39Ao3g+px2T5z5+tUhBTL9aSKem1MGGyz8AZOtg3y8C7Gy1TOL8Dk
vlsWN7ehJuLkXp+m0O2OcMzLgyav747qn1RRMTOHxjpg/IA8UT4y9FjTFH2Ev1aYprtKpW19ipIE
KXtlXzC0+9LyKx+HlUxxIQLtSk2jneanb0M/ZPtaa7WXZYXn0szp90hnhcEiM2/GS0caGm6jq1+d
Wuws1mzzKPt95KHRXybKSzktgOEjx2GA09QasQd/41tUkgtAlFyVvbqvmY62J9VK9gm5axxS7Jc1
nd3pNgV/zedMm3yfLandRt0oPEidvZl0ez7KiMVXS1W2KLN6dayt8WTOBk8URAyk2SDPkXtdBtXy
wwh8CehTU9M9ANY/6jEF5anz1lXiqWjCB4OnoUuq2lw58+bq9Saa1v6RLW1OxeaxxUChigNIVOiC
hZimjR9ayPWJ8ma1jYI3k+GbU+j3TsAuh9DPHopOFV5Rpz/Bi5WvBL7Z4s30i6S9jFecTrMDpEsp
bS7RVQFz13g1Fz1GjqrnHAAO4Ha8tvEtItful60/awlwyqCgAzhXtKGfRl2DgoQi13AcaxtYorvu
0ju7vMrq675/acKVoDXrahNh0qZCv0pjBRXyDSNM0ICcGGDpMG6bLHUDXwHNWeyKAYAWyxqi7Wfu
qJ6IlbaXX0fAeIhJdawbPbtSVO3R5HXh9oCedQOOeSvgPUX7gXWqmyjl1vRJvW9Uv98aeVW7cUCR
ogijPwZxk6C4pTaenbZXle+8OU0g0AzRKLsmSuK7vGm/JKV6Rc0KE0JBSzeW3qpuaNAcuyrYZhEw
GhrwYLbOOF/TGsWGhf0egPzvYDb7lkVa4WUMcG1WMtwFjD/UIv4/6r6sy1Lc3PKvePkdtxiERK9r
PwBnPjFPGfnCisyMRAIkMQrEr+9NuT1Uua7d97HX8ks4I+JUnAPo+/bYoTRT4v92aGdS3IO2OXqv
evGRFJUHvQIZstmsT1Xh39cLHdJe9R9Vg7mgWEWL0dsPUlNE34pWdxdAVO9oRXsEVN7nHoF3bh5e
5iL+FhUaMT8EwumO6UwR8sxk4Q6qRPrGAGBvXN3PUok3kVQ09T2tU0oGQFxBCytZtWta9V6ZZV+6
Ks6HLkBFRjg8hm7Q6dCjiLkQvU1hDoYBBamG+TzG9ZmX7G4qu4dAMg5rUUPTda0++qZZs7kutoHX
QvNT6Iwq+QoWL7NRaOGR0DfolueZQ19N2wYozbYb4tWO/DJW4JI7DsazRCGTsIXOLToh+IKaR0Qd
9vsalREeqiPcwqJnyIvROIh6CX/rmZjWmu+kpdeSdtWdT81BhNE92sCbNBbdmHaqG8HmkT06rK4N
WZdrgMRmD8nNBAnOZoTLpoy8m35L7ow7QvdLvKYCgZ68WC56sG/joE4oMEcCZvzhLNc3YzJlof1Y
FnGI++G9WYIR5NKYGl94iIZR54kgj5AjmDDaEgqXLasQwM2ADIFqh0RWDYUSVDuVriABh08lco8D
2gueyZbThdGNn6pumrBSrcdkGKdbH+ajIBMEZ8m0hbvUW8zLsgW+LFv0Szn5aVTCVYaM6hMYTNti
Mx7epffYmOmAks6v7RYfg3aOhyESuwbPpL75sgzRtYIXB5V18lB7vkAUWtfkEmEuGBjWrI1cfBl4
V6bUgGZqB/YVLd64mzYL/biZ6WVdvtYwbprNwVkjutOqLgtbu6vC6Zsp5SuPviXSuw6b9TPYPKBI
OlHwhPabOXQwyUsLt2gB1+iCYWCAi9Qn7RvZbKWo233nXKBjxLsv8A8Yx2ESRPNtyvncnwXtfzZj
f+e74NTA2iO5tydTgWKybnwbmuaJh7PexWWd+XN5mVzyWYqyTicCK2sb+mjLjOIsqlkIAVd7Qzvv
du1MBodevIOWzM/8Eff8L2irDm1qwgJj9NKc1zD5RtkDEgShSLRp2Qd5TMujMuun2MRQxSaL0mvV
X/xWvPt4y1Tam1GnKIhDbuUmqWqUR9Ki99EGNsxHdKxf1Wp8nBkCiMKqjxHBPec2Xj8Gwe9vTL8G
YitB/dfz/AVNNvGBD7bNzYQ20NZSfGKgdFAatdM8eJ7RwolE6Uck9u0rUEDYjPMQrFAEdqhS9lkW
PXRQ/UVbI092Ml9cIcm5XyA0j2kXXNc12BNwd7kLzV6H1a1OqE0lqbvzuKAL3muDdcem7gUF8v0O
n9JLxVGQ6Xv1HVLqmxuCbRD5UstRIlAsLNEC1roR/N6EjcP5pk+LukfPBwog4eXD8Fcydij6Se5m
WT6z2EPro18Gh06E7bWhyTMVwcPEFwRWC9OkydqRna1HdXBDeEBg3hmv+aWk4wfKHpCY1LXfmfbB
jevk3jNIoQ6AZKUs7Ma8Zx0yvEMDj0n3YqLKAdrBvwXLJLOgh7SCvhRF9bXU8ze3eMhhrnCQz/aB
NmGUhws/+H034yZuWWobfQeFmcw8RJfCYckf1eS/zsrvM9ILmpVI78MC6T4R+DClKEq+bxGTcoF+
q87DpvmMTSuPuPt+8J5/afGUP/oR2kvjsRSZsoztWhZfFq8TO0vaIptKxBgT0ww4igqVcvUIl0g9
OyS5kVLsDPqibvs+MalpvO09T0A8D+oBOnu9L3gVp6wdLjIy52jWNpeSglwg8bQ3hcfyzqy460Ba
ZzEDt1jADJgj97XKZEyRfVz4J7KyMXdd5eGm8ZPcREbukrJHy+ncEZTLU4AeRvFcMV4d9DBGudXJ
yRl738R1/Lom/McYVl+KUNbpGI1vJhCbcKEDPNGvFkWrFhpRRBmmo+DLOXG430ZMl1k7LydwSd8V
2oqmZN15aL6ep85/LofF7ZzqFDanhiHFpBiPYT9A9jSFL1U1NZlZ5nqn6vnDRHxMHRc6R274dTT2
uZf0XEf9qz8H6KX1q+FOqFrvWyfeqnkUexuHZdokBdoToKXMVk+duaAxqlASk80u8CDDkG0uA93u
eOmgjkSbzCFMFMqQISvfQYIFk3t1ngKhM9xMDR5zAG0jHT6UYcGwAaEfShn/FUM0T6sJ8OHaJS9r
j5MPyu09DC3BQSXNN0t6fHKdf+kCck/m8CdqspYcH/iXYFA8M+s4Zeh+k2k3b5NPUNJd4Zffg9BV
+2bp7pDPdR93qPIFFr6kqNF903RQWTPRs1v0c7R673b1jxG2sVWOt4l2BtdOuxcEoF9UN6fB5/pO
FSpfPXdk05LFVfCGucNgIiCAoWPy0Yb1HbXLj7FeIQMK+wf4ZIEVa5FAZiFeTVG+FQwii4agc2kO
5NfSc7uFN9NBcD7kRqmXQS7zjttI7RGubzMlxiYFrHcbDtNF1nhVAtP2aZrii0IfUY5MLtC8zFMZ
GesT73y1k16NImA6HyMGu0Tb1Mc1rl+WtZ/TaMTTcx7kT6VWP9VVPTwGrkE7XhKeB9f8mGl99fvi
tiTi2wrTTba9z3400TyapzEPShPlEMV+ON8fr/XqfUxRVNwU0UDyXvpvTel+JJyDffNaHLuR3XXA
jjD1Dy8sqhDJ6h25VrtYcZaOKI5LeYfFpDFvLIQRHUNBkvtC3zd0fGmAnRyQ+fesY9Lj11Q3ne5k
VtNEpE7TPh0G+8zRHx6wKYePfUqXZsqR/HIeTXlYljJMdbnIrInIbiVhHswNyfikr8gqvdWB+A5e
BISm/GgZ2rvaCAJiT41z6sX0Z+1NL24WN90apBFqRrar7kx7siOzO8zEQIQ0ZkmJdDp0JKvlDkER
d7h7OnxOuFf7QvA0rOLnlYviAMVYJdWeE3lpYh2mSKH87Od5yFs6QLnA7b1FKl4ejsslMPgUY7n0
cLDCUuM8JN+ToX1dJvW6rMOYQRJxUoZfNGZIFCKKLOAVzdDZ/H2c3TXoaJGCt1yz2o9xLs31E/Ls
edYuIVo2lTEHPCLja+uSItOFT88DoR8kMRgXjbo2zlZZEWKF7CZm8mQs+kzO7OixmuRJW5o0aDA+
9w37WG2RpBOnFxSR48PEA6HfcnDUikNVFW7vmztlrdq1nn1dlFRpwrWX1o56mbeUPF+HNUS3dP8d
h8FNkCBFl/WkzyM5sdTX8hqHmh+V8F2GXBqeqvK+ExbJfVAtzyGb0Xsc6nR7GuRQguBwF/rC6dzm
Aya8eewgXBP5CjychjUG4OJcIhPVa9lBm2BvRzRtb3lZdZkPfYtpJdKQSFfkJ1EtO6lg/kTZpYfJ
Xt7PDYKSQjF1MH0WW/n5wm+w5Hnp7Niw60OLw6lQVd7M9F6PGFLacXrFOnYyGk3eXSRSitLxXHbq
Rzght2cU5Ieol1Mdd2uGYtlLvSBYwoZsTb3B40enpq+dp+I8oE7mSAis8mDBxDyxxUICEJu0q3CU
zTEeWHEC4VYy3iP3LTqPFHrDsl/KPIyr4VzFyAY3sZyyFWuFmPVPQThaVasJ+mXsPGkz4ThumPfU
02jdNZJZMOPDV3TQ1Tmf2KF34Muht37xSU0y2gTneI5wAHrFPTR5CDZEFoanyq9RWbcQ2TuWuth/
GHxzDT1c+y50V6wi/ymt6/cgLACcHBY/tAZDbPvr1R5pO0jT6rBt90F0UJ63m+abyU0Ha5bTv1+x
fw8d/OdXCn/9SmLVapk5XkkDS5F7HfwnRm0Ltvgt2P7PL/AbbJj4IkFzEVCKpq/2QDmPi60PYljA
KtI9FXIXePxZqeCo/mP14+8Cxv8EHvwGLhp4PSXhhlm0e1eeggoTzfu/f/d+73MC2fF3COY38A/w
AB0M9QbBtHiicIepH5Zs2RGTBdvI+u9f7feA439+K7e3+p9g9hawRBVsnA/qxuC9QgJGSto+9fR/
QLV+D3T559f5Dc8DVy123621uvFQdlRjAG17sp4Kwpu0CyZ3NNEK8a8o/0oI/6/vy/8uP839X6+K
4S//ha+/m9Yh+l2Mv/nyLzfye28G83P8r+3H/v5tv/6hvzwbhf/99lt+9RP4xf/3hfOP8eNXX+z0
KEf3MH327vFzmJrxl9+O/8TtO/9f//EPn7/8lmfXfv75jx8/lNS5HMZefh//ta58u3//+5rzi9F/
eJ7U7//Y31rO+Z8giaebuTCGKH7Dyf7Wco7+c3y9cegYiJEI9/eWc5/+Cb42ZIwifIWRjbf8e8u5
H/4JNj6KADQOHhPxEf+jlnMe/csV40PjTgI4sWG6BB75m5t8kJ2VGMz6E1aDjCbMoqGhXfJKluis
0/GUwzuJoUeOSc4hak99Xj+JJgguy1jpnUvU2Z+i8hAX4iiIFPlYa4QbNNChjZgyKjM3edPNLJUt
+1w0WVD6o94mwuZ0LSXfd8UKWQAf472DV/yAvzxCval+bMt1zOEmsGkUz7uIWmyv/sKzKWYSpxIL
cg9KJDnNyXE0w1vcqjJldRs/FyN2ECTuzVnSTk1OZwxhXQTvMtS9QR5tT/1CoKPXayUSdteSHjzZ
I8OeD1FaBbLJilkmqaqixKZhlDwTP1xSOL2adCzXr5gEgZiWBo081jw2/nBE4VCQlZYWuwXjGVAU
TPVKtWe/JncNWtV6zkBNOjGnfht97fBPD8C10M0Kko0UybFjpMpUty2/BAW+sFD16FutxmepqMos
Ohgu/QI1TNcVy45Fij4WSsNEJXuWVc6aTEKvmetg7aEwAQhDyBOy+UnG6hpzBXGPBrxUVgKgLOeh
uXh6vZPeQm40a28Ww/wcZMG1XKOnmQ/XkKAjuxTdEd3tz6xDi7HDYuAVGFtCz38DhO+fqpLh+QXN
HXX6Miz1Q5SYG88FLG2JifaLaLrD1BUBoNjyrV2nwypgkCxU/QXJ5m1al6tNO3C4qZTrR+eWE62V
h7A9cpji6kBpIbOOA5z2NcE3jvQ7Cr3bzF+XH0GbnFQffPWW9Wcvxj7z1ummT4oJmCiCRX09Pve9
DVM5LVGaxIvcT3UI0x8lHYKAp5sm8t6568N0kvZ57HvMeDLA2udKlbkVVMM8j+9IQloz3CoKu6XX
nfTSbktb8aE9dRvp5q1dfKCSUiwak0ZjTlwYupsSfueP6OqNucCsSSqar6bk96xLsGqrYkERuIWP
WUbygoRlSH/qq4zdo2xB7ZblS63sj5jKCyiJV1R8XLGvsv3cr3DPRkm0Wz0vOcY17BsmGNcr9MzN
GUAYzwonQ2xaGAlDMa+51MPZut5lgXbkdo4itaNl/J11rLzBEfTDOTlmoXSvdVJfSlZ+o2YOUrhs
w9T0AqDnWEIIIc7SITOXdRaWRQ4+GIL8M9J0vMfBB2DlBw9BwPWelvWtaiTebgdYHbvfHcj/w4rg
aegZVqDpIbmAY6kz5syRuHI80jY4WmlCoKnhsgsrDBNuKiE0VnDmJ0lykNzNOUNRElBfcwU3lc6G
H+tmIR/L0P7AvONlAZ2RFMoYOFGgCTPocRa/+cU87krrYLkBGrETFXyrQQIPAdwKufCGm0ku401X
stMwJVfFXZlOEdK8E1McJ9b4aVvYD6FioKHRFKfUFcc1GsN8VDPHIG+G3F/QqGooyJKGBcgvD248
P97PTXGZe/tTAZ2NWvJUuyYBOF/OWLo9gSdc7x9lCxQID6aB2CntY/bVX0qUUfnvPDJvksTQ1KL9
0ZtG4FmReZy79YlNzQsADZcbU/2QbfVaAdacq+RpKD2yt8IEaYB9FFai5N4E7kPy8mJUom9qO1qI
ztEvO/QJ2Y3euBwH3y8zVFDnbMBzA89JvNnlllC+HubGsBzH0DVsUdtUwdiPjmlX760GaOVJcTMw
EES8Lao7xhJ3Wee4zcVqDd6E6qnXC8NLoFhnXXlzXGgzZAgXX3K0XSNtF1qG760v2Juaykfpx7uZ
Gpp5+OTnHvhdFX5bJCxRvbjinn1bWfLk+9i6yy7CObTAw0KneMwW5JdmkbNfY42pBtPoOSGjynXr
X+Npdcigg/o1wX2cMjx3ojYeT6ZE9VUhg1NXoOeaM+89rsRtuO1WMZv8U1hBT+qVg0qFBeutkzH5
WTiCT4lPX6gzMg8GsDiAzu68RPq5z0dIlfzxlblWYFkJQnSUIiefYXk3Pv4wyd4qCfhG6EKdhcQt
Ga0hA4bHp7yGlXE3e110V/fYcKRQeTzNSM0B13PW1ZogwpYAh1U0Qx7h1en2wavkXnXwsLMxynC7
yMPc0QzVu3BrFeqECfIxMUteiPalivD8RJhynUH55iM9MnyAOfLcNUF55+Zu2teEHjjD9VUFeJ+q
Ut0zwsqdhEY/A9J0pbGdLnOkA+QQzBtOq+CogEDvVHTmQ0/1d1PAxiD8cM69qPuY7RLg6um8lAKk
HEv7WZIG+FWSkmq68NVc+fhMULkU4sHWjSpLinsTfy78NpA6FZyiW5DsUJHgR+KGtlUqXL3Dsd8D
Enf+/LGyeyPEC6IvjyUL86YITnOn3uK+xFl3XDzv4i/+wXTDviUYWLwnEjUPqo3jVNr5U+FKIDfW
+RcNE0bSVa8d0tgCW+6srzOUZyIyVh4CilKWRy7IeaxREJXAMpsSC+R4GH/MVdvlJkSQwLzwRw9V
CMAtLLrWO2AvkO6u8nUM+S6aMcKzjt6XEoVnJX8ONWCjKNW9uFFhC6jMALy1fdYAsE0Dd63Vrl6L
71qFAPIx3pbDS4jseHUuCxLhavkpJv84tLhR4WFF64Bdc4O/HdKmnNnouYjcPen650TSB1Sr3FVs
uJ9K9tRS8TqEGOj5t5AjRhTvb1jRvdc9e2E73LdriEp7ZHRWaicSeWq7huyMFTJVTZLGNnqUXH6l
+O/3dPg8elTmrOEvsUYUS2BHMISq+VKTJRcoex414MgK4D3QIUYFfIxTjQ8t6oFUdtjDof9UybL1
2rQ/Q8/LY1s/VQzHmTbIZfKaWyWCOe1RsZQsQBlabs82UHcc8lBad/cB1AgUjQzeUQMWdgUe0GGY
ta1/KtvwoOcffK2ORByqdr0dEFZoTbsfAKbiQQskR6QqxKfPsVuxZJfU/mcJRHs3KO9OQVqwb72u
O8c99HZ0FXUu4+LkjQi4HhDc+SCS5C0K7AC6rA529YSKzQFcWYYs6xJdHvFH60/fcFo3mQ9wUeni
oSmWMI1YAL3k1C/72rfRTV9FEJ6BbE8DLlyuVlllE6P6SKP+a2RAkED46p0agWRhVNsDhWsbcq5o
9z2Jh2dhcSQ8B50HIDlUkEbUN0sAxFC2Nx2ZXib1AC7lZVDd+7CC06LhOWmBwa8EdBIwySnk8uTm
lr2VywggiCDlAFHJX1jjKtyDHVCRHkWYJKouA8OtWRbhKxvDr5EFqGdq+SVRRmSRmG75mqAYGG1F
pClY3hstc0pdfFgmPWdNtUC9GlQQ1KIq5NAE/o+ITyUiIwBh+uhby4ImkDnu8XVPaAcLP/aKNQy/
j0105Nw+2059sYX/1a8SlEUV2BZE+TomSmemGPt0oULgb1lMqmMf4FDke7hw/Q7BQOWUd6xp07ik
6DePAHkBfJnwAXqPRVIdrcHwan2a9jaA0dVs50GJ4wyq0p8LtMgndPX2QKm3IyoavkCD9t775lO0
W4T/XOzbWoE2cmOVCVvZRxRK7uDsgIoWaoVd0flzZivPxxMMR8ei1wv36mszj0i5JkgoZ0jphDPC
7pTD/FzHPEoHjSclY82x1eXL0pQ9BhcfKKFCvAyBWzSFWhLMHti8tBuYe0lcD/Fi5d8azM97JI8H
GJJDmZVrhW6mvkCwqe2hiWLNLVubck9aUu7MMNU7QL8n7gV3s+xB4kYtBmEo4bKmbOJTNVUH/OHI
KAlWeYC35spKaAGaGXdsKOQX3s8+CCB/q6mmeIQFoE58LtYsMFSn8Ce/dVEd7DuqL43EiTRFwFup
Fjeoq4oz45brGCabEq750mvMUyo295UCZVoQe056NFjVVfIQm/jBd+WTEd4CVmwbXBoB+jN2dZ7I
9nX0wh81gzakm3yH9VPBBkNWstEaUx6NI92XCYgGfxHRaYirHnHI0WtcoQ7D2OJacylwQ3gT3tyN
sTFASo3rzr7ETcbRBnBYR61Jamb71pn6r/HX/yPg4/chjV9hIIdPc/uhPof/b3CPTZL03+MeB/nx
h+uH/FfcY/uxf+AenIW+T1EzRilhv8I9oDcEtEESxEaiQfkfuEf0py3fnSdhSOGnDre6NfBso/jz
H/3gT0kC8Sg0v5BvE0Aqf/wb9vMreOofcNUf9KTujdTj8Oc/smhDR/8BbgIAQNYN/OMM8jvE3iAG
+teIXKRQw4dAlvG0UEjP4OXEkcWIy0E0dWewLgyMYRiWAJZJ68HeWo5751mdjRTP4VC9y8RgzJG9
wtzmvaO+hWbQjUC0ots3qqBx79dLWPTQTbQN2JZwycMON2gD+ANPlepelOaA8xjUtFByN8YFpkoH
BQOFgKLhbY14besgzwETHzZKZNzBbTfx8GVcun0TkxJMGpgmHdXI0w3623IIngUl76NNkm1OvA9j
7AJ2Ar3es0q/wzta4rYqpguriL9XRivQmPGPKsZZGzsPc8dk4V3Tc41fzaJdGygQ2Ygv67zlzKsI
y6y5xn3FUjOOY4Z6BrrTa/ABGRuOSXkDSAdLeyCuyzyuGFuQ6WLIgtokV3yyub1JAnVfleT7JjLK
1FZxXzUfOE39VDYFxH9QMUCGVeyJtuQI2hvqcSj1+xr4jSTgY9wyOxy6M+bHAglZiVOPAQd7PA3+
iyooiP4Iuz+YlxEYg3eLyZccF0jQds5Xp2aJVqgOLdjvpXigYwOXV1G+e0ldI/ETnowZC0mGuQ5c
oEXql4c6PlDm8acXqKMl+tnCEVvI1mAtmsc7rPlm569gEdoII2brw3HS262xDbcDgI+lPFQzbVIB
87qL8DSeeCQguzcKWtoYg0e5rGpfNhb9e8Ftjeq1ncRwcQZVYfGRwoei3VLniM5p96xKzmipXHdo
CdjACuZtf6nL5xpyd2Q63UJMiOYpPeB4h4wP+MbXFWGmR5RodJnAZV0VQZIvXrUHXDGiY4A+VIwf
h6GDZHmqTvEqfqxxMZ3KMqzvhwp0fy9mdyazdfu1KyqcZWV8Rr8y5uQwqTPe+p9QmYm85RVHtbIM
wLcN5Q38LcjHXqPMWt9esDVraDcBOCB0LcZcO/co/uvCI9H6XejGfi7Yw+FqVHNe1CDvyzUY0iHy
v9oGip3Z4xg3ed3uZtjCstZnWAEiOmYeW24so/G+pDBZcj/w8qKAtRLqKz9fCDgoI6nIJgV1R78+
rzL20xrpndnQj89BM70Y3qLODgNG2sTAK1VLm93gFZcRBtcsHLCC9hqRYiAHsA81esjHCUhjxL0z
4dS7UTpieZSQ4QJEB8v98oJCgm4/k+oQMPMWdxO5hX73CTFGFwCcryVFkXYkE/SbODel4Ti3UHYh
Bd5nas1x/WGWnbCNtcwNOYoBoU4p2ZInmF1zyEsgBObQw0QNRndVCkzDyZBBOgFvz4C3T2yjRCLF
XcmCW9Sp3/VEt/uZ2zJP4MaN0GS2yV52nmS3STV/9sXwBE3flGP4wrwRQRJRO60eTOJuFqX8A58b
9H5jZEyRTUxue6ERvgNYifndmg8BEJQgSYIMykcAIxsO1W6IFNuwKbKhVHbDq5YNuVo3DKsDmDUB
1ELJ1KUByBUAUZX0ZwXsCxvwFTh9OlZWXjTqELI6oFArbJCZ28CzuC6inG6AGtmgtREYG2eCYt1O
9CmmSPYYIYAZs5nLt6ppkADLP9aw5lkyhN2pnqza9wM4zFn077KaAe/9AvRtkJ9AY1tugQJC3hUC
MPHemRlu1AYUKgVFJkhcuY99tM9qArwwALIIqhBf2XhCRex0YwPT43qcf2rgkT5wyQD4pEOVbNYD
sWwpAOZ+AzGR8SY3lO4wAN8c5xJAWTWfUIPz0UHVlTYbGFo5r4VuTn3RooXfH4gp95NXu0GobgNT
GyaifbEBrFEDiGeRD76HlmUgsCgaadJw9shpXde3YoNp618AW59fVmziXtkde8D5uQW2G43BEwPW
m4ClwMyHxSLR5KYAHiw2YFgAIZ47LLnlMj96QVxdbQIxIbHuaR702zogjL7aoOZ6A51pq1g21WBW
+AZJS2zHu2GDqSEHiy7VBl2bDcQmv8DZBfSwQWmBzm1gN1n4Ed0U7V6W5rndAPEFd31bFTiu/ACx
bEDNF+3uGqDo6JQmeJdIi7kcELvZwHYF1B3Y5COSmpEUtgHyi51hSVggaAaekVkHcW8ymzSe3Co2
RSKHzgbIPviBCDM20H6qaXTgKvwSOZZj090nGyUQFaO7JrIMcrm2UAls1AHaUBtAZKATYJMzUAYg
jU/aCtpK3r6JjX7YRKy9xtaBwmzcvGzg4P/bdTe6WGfdRmPoDvH2gclV4Udp12HDslLH+05MiPNr
GNvbjQ5pwYu4jSABnPsJqTSD0qNv8sHDJRJthArWdyhe8Mii4FrIRrrIsTljZ9G7hA8gZCL5RAa1
Cet1ktdlkEC9QiYox0DlmBoZmo2NbBqAoN5JwB+VQdw15AH8MAn84Yz1w3apPjse2+vE6h+CLP1V
rlCZdkK+CT26rJ6aOa8CpNqbgV6ngfQpFWXw03d6zYq2jQC3B6z5Dl+dRdlt0/b3DvoEwHBlUVX4
XkePQ0MizFmoJpZpT0YCQLCeGJBdOGsuZm5Dm7MW+mI6zXcduHscgxrPtRAlugBIomkI0y6Z6jSs
PWA/JtzxQr/jJkF5lcZ6VmPuz8KFvtelhGaD24e+6E5J1La5G3GD2QB5IiB8n9ewwHOj+2qV83Pt
YfUoAnmbdBEUXTG/L+PkoR/4HVJFKiQa0BeFXsdwWBH1oJpH4JJQU0uaz0aRDJRAiwcyfsXEKvBN
ENqn9bxCPNUm47EhgckmS94aWia7MhySh5CuNdQfEGDjAi+goVrUCWPeBIkT5Uh4jh0sRd15meVH
I1Zo+WYA90x8Brr4Ae/wbRs03ysEcC+q/KRr8hIj3A8Um/0GRPG1BY1zlAmMBRxl1qaxKJeplcmh
DZJpXYevaJfcG6TPxfSEZ2UejNcisMfRx+gED0ydGzYfOK6taOuA0bLZ+wxdPqUPRGAa7kVYZ9C+
bu2Y/dWf7rz1MihpDlhhkfdVl8dY4DKDqNGeINJ/D4l2uxnu0zDWN/3g9gYf2RiDkE76WxmefLx1
FnFFCc5bVWPK8t4CHNyIokCpM8KAcqrdsed4hIrkFfNRXhiKmPnVvI5Ra7OxDIEeoP4gDZfKINnM
0VQzqNQ8Ta+JkBjRqH1fBERbYVX8RN6VuOcI6tJlToG1gKvAPLIYfOhJORTnSAvonWL9RpPhzcXR
gv7x+AS8f0AjmftI/OG15f+HvTNrahzJ2vBfIeZehPblYiZivBsMuClT243CDbQka7N2y7/+e9LY
XWUwXV1jXdQ3MVx0RxTmpJzKPOv7ntPc10XU9C1woQWwp16ztmkIXpOGlKUtDinIZQdIUKBjGRXg
+s5Kpk8dRdi+m5BbdBo8M557PSaHNA+NapK3STuwEspWbaQCc6cZyropVl8LL74FJezOAfsQj5gm
WJ4qzUcbYzWmW8sHuaaasrK1x7AhDcN2FCPCGqVHPMbsO18N+7LqaUPDJ6ekJUVyrQSbgZHKxYNU
x2RrjPIGdJNOsVIHY6U86oZ5ty4ybbZKKNTgkkXeBA1NR4FMsqbbVrnVrCSaBAwRs0W9SGkXmi3f
qXEwby1t7GQx3RxVowKN08xlupkMMnpf4vzcpFJU9hrJnJormvZoJAl38ef/4nDi0vfj8EGaeBcL
f7k+EYnzh4dI3Lhk3IWYva0phr5r5XFAIBiXik18roNCgP+nEaMnKSUywm35EuwTVR0AVI5NDQhx
h0hcvmRYqKlQI1DJfxnOzwTixPuvAnFbDNYxVAYL0DcYQpYAKHwPjXHsYK1o0nYSrRtAAdb2qrL9
0homcWENHYf+rFsGLIHcrdWZlFY0f2nFAO6oDql6yPADXdGwSPa3BQh+KbuyW9npg8SldBBuhsQv
MzcvITba1ddyRf1EUpgL6buq1cdM3qpMNwEARwUFFDJhUhVdVbJnXFWGpV+ZugZPTqNnnBXR3yZa
l9ylRL1de9FEq9cBdSD1s5Lb6ZXHnL2P3MF8xABiijBpFPRIpSZjN9HHQU6QQoKkBI0Q3Dj1prxu
jMC8D22SecSKoyYuTJo/1omNZXNLb+ysiy0TGEMHAoWRgO/KVnX+yScIGhZqKwUjW0EwkxGj/Cpf
N/VkzXiERWXQ2RlGSRpuHNCnqj3atEmj0teEJDuVJwnEt6TITE4MWvjm+VNUFPrYsYxFpUrpSJfi
T8FWBifaKkPLa77maovvnbvStJCjrFfrFMzzklAtSykZBlTfAPONLF8a04S57q+kcNQoLoXZhm6W
/kSp2y8plz3LaViFk0AbRQt5anlTqsWwzc1rqaEWkRbuHxuX6CajTmIQINMxA0ZK4N47TnAnR/k0
dlbusIqJ7ltqyT3XTj4naaEFw7RkonOSGOmIPEU49+qGDlu6tXpwiswfMBnRHZBM3gw37cZ4qKq4
Gdb03m57GvxDTHnFrpghI+ssd0HTgEfVjyuSMLZD9LUJr0Po+PQzwoVkyAmVlLCiA/MuTxKAFUFl
Vn3XD1cjCCZwghqNz9h2LjFkyKAakAa/uaFDeL1SguuQSYzTbWbE82wrWbeWvC0/SKkK1kbJ5QGz
LXmvG0We+biQgyTflovUyepRDNJe4EFz4FykA5pUzQDoGx+stTpyAf5GCQ1y3WDOxIr2psl1+Xbl
idO9Vr1mXFiRNQo2IN/dVUSV3cofyzwx6TsElSTPAJPYq4fWtpZ2ULikgqKyHxXZpxSsDT2fMV86
kxlUmY5kwVCype18LUUB7WWspeuSYkoqFTaUEWvQJhyDmoEOS2+Vf6Z5VUV7+ML+lKQh1eMApofI
yhIdDNabNFh4aqT1cz2gpBkRRHocVrwSXVW+0HtDfiFa/pRZ+K/EpQk1+b5d6C0fL26Jqd+aBfF3
B7NgXmoyzRoskrNkWkUH1G9mwZFBWhHSakz2EZiwvVlQlUtarpOglbHrNHkQFmNvFlQsBp3Y+Vd7
Z2XMn7IL+q4NxvcJWhOjBILWtHSFZyRLe2wXIjDYmVl58ZVcuoNSnSuuOoeiPFSr9SjHzYLLQpED
1WxV8zh/9iJtBvZxWsnagw3wYeAbf6hFOwH6P3eDaKJEqwFpZ2gZkCli/d710n4cAjujG03QbK+2
wMYTpZqBiu6FGd1e6U2nRfUtUMjeNvxdLzUuTXnna8yuTvMpSUo6e2b1bbQxAeAyl1epHkrpUafM
lIb41Alkzzqkt0xw46k1AT4FNtUmQbzGGGz9Fti1S/10Jcn3hqTMqM/d0ZwfsGEzC91oAZ3jdyA3
8HWjjTTwVt6s3tYhmpdp9HRsuIuoTva3sCe0Is0maz1Z1q5FbTXmQ4EjiR6W+qdMq0Ckx/oHRvcN
01X2VbVI0bk4X6YMH2QD8anWGhqz4OtZMpk+o/H7rWQbPfpxicE+11bdxgNIndTcCvNTY4gCbx4+
eBmU1DAunmAh9UA9DCLPJL7WKS2uN2ua/mj0jZeJdSR1WlrOk5lmY0YwhFBsGGipEBNTpltUQYqm
wIzVzi3og2FhaL/JRtH2Td7Fyo7LYemGQ2OVi2p6IcHlaYK+nqyWCbnWcV4609Jt5ranUNBWwCDs
Op3b0rVJ1FOUzZCU1VhuTWts65BXG94aCP6bIFphypwH3REJ3+Iht0p4q07fa22miq4NaOgB7m3i
fc4Cr+jXVbRMSnvgJjFMrba42xTuk12pI0OTR20iCc92mbufY73+yJy0Qc0XGOgMgZGgVRRgHIaq
r31iXua6V8Xq9Zb/J4Gb9JQVz+G71KWd1IRMa23m2yyb85KvCjYqiO2UzDVxPBOFEicFDClOVuSN
Sb2OMUOgEz3thvZlk40a3YQxQySkYuJvGO1QlW3PpGRPM/IRqKOR0ppTBjxPawVmSh6E/dCSprbu
lf20ImWzyc1+2JazQPWmjkkewXWMXg15IfTy+9zIhquAJpuWqsGATUdUTYYmHtEKeyHAdsx079fh
NEoUEnFkSaovq0yC25EOGi+7xk0D7DbxCMnbvB4B8exXCQzO2rlLLSp8VTnKS3lQZcHCJvXQ+NKd
F7n9VbUdrhjvrPmf0Qwz4J5DyapvEpo15a29kJtMAKwGqWRRxnQHVCaeNZ9E6Db8DMWSds31WHBE
Qj2bNaWW9grR88c3HsySXI1Jx+hCGayLclxVGV8Eqg4ksRzMW5z/BoMbqHRQXNeS05OczdTSw4+w
WB5E+zHO9Fi1JXr5WT1Z9wdhaNNmn4fAU/GtdOTKwEeKz43yWJdLz3KvVE8B4bd1J1aBuVxR1lFN
+taY4T2YPdVpp5Jffg5d3CFG/9Zp9Ae8n/422dg9xl700lU+cTxYGN5N7m/uvRWHidFTOecTT8df
Sz2TKbXwF5+ctBiWYYRS/BBDQHaf1S0OpKHkI9sO7kvd/hpSpQH8LY/ddX1XQOYbCOpduqFbrC8D
/zECbSDl9tfGhdmjefWMyWhfQj24T7IsH9TojXYzrJQvVtJSSDDmsuZNZIt2pPBdwuTJykFoWDMn
qkYJJLzMKUZkdWSyWsZn0Xqq5fWIZvESgLuWFIoVP0dMaQcE+rCpyrGl0yBZkf8oHeof7npGWvaj
kSr3oYDUDZ31g7mNhqYikYYFaRCTwI/x7Y38KpDGsR79nlhZz7P4yl7rDU3d7a/daLrVqfdIcngl
1ZtRTgORcsswAbBU0jrq6dAzmCcwrDQLlzKNFm4CU7mqVn6P5r1090kHXhnPctucb3Spb6zQ/8AR
jNW0stfXSZWAp5MB/0ipGBtznVFDquoQSl3ye2B5wDDNoVemfe41b2Wb9RsSwVnBzShK0P911Lc3
+hfdjczeyr0D2AEoMr0tJHOsxfpTHMkTxS1w2sq55owjsh29jYXaeco1goEomzHTsldJ3lVTxleN
nH2Q1fo6grC/4/9TPoVb1ji9QpGvNFfz+lFbjuzCo7il3tVeMyR5ALeQ0kM4o3vbMmEIcWjZo9KO
ZtuontTr1hqmzlUWb++tjQcvaT8e9P+DY7Z/xpOMgRdOw55PsCseL+iN9opz8Lc+dChOi2XeCjqi
IDwStZaC0OAFafK9ywYk5JWXt5O0oz/8lYRoyRNXT7AbYAvo5J0J8Cmcix8ERiQNDr+W7Uua4Jiq
Kjoc409+tzdvH/ot4+I/+8zRo/+Af2G+9nPf2YFXYr7tgKpe4sOSW6PYv/tB4NEO6JcKeQyLzMOv
uQOCFnLk6f/0DiiXlgWQTdb0lx3gi77aAcPE39cUaAwvR+SXPAmvM2E/vQ8ysYsMHEUTYHLx82of
zEsVYAO4APvw619yH14jc352HxTnUmU2oqpZNP7av/BX54FOYCYJwZe798vpBNFo+bwbIV/KusFI
HuLfw6s+2gHjUhOD0gh0f02dYJ+7Awp6n1SrzXl/2YDXWtG4hEaI/RF0tV/xFhiveXk/ewtIVxgQ
72ibDhTt1C0gO+KotinrP2EZ/8ZV+dN56PtB9LTzLYLn4jtG4w8/cPAs3grYG9bp0z//IVyHow8K
tuOL6G/sx38dWc2d8f/ulwdnYLfO/s/3X/Dt0kdrHb7V4R8nwXO+zB/9dveLdv+YAhD5z3+INBUl
jGp55PlIApnHDUQhHxyik3TNP9XAXy0xCJ6Tix7/OYgSG/RtBQFZfJ8Q+rdWmCyrCzCRiXcQ9f0K
ijA0564gEDIXc796PIg6WsEG3XjuCpP0gtd6cSMW6kOyPUg8WkigOM9dCOAoKy2rg6TjBTp43/0l
rFw/PS0fb+rcLzBZXnB2D3KOHx+1dK74wTK8uMVHP0g6XgDNf+4CPfGKIQP6B1FHK5C3PXuF37jO
3psM9OHKKWYHx7W3vLgPltLHSlRA3zlMRgenVbyN2TI87MnRVhmdHCZwSqeld7JLjxfXp1WrIkzo
uUdpIVTrG81nUVqje+P54r8IxX0KZy6ConOffadSZ68uGqkRxrvronh+pk1YVC1Pv7sJB2Hi8OwX
6GBzFvnyQnyHE9I7OPfCJKNFxfudVM8n1uhATYBcQBNN0uVb8cLHP/sN+FiaW0+8h4Owb29ApFY6
WUBo04Oo78R3cbmW7Rsd+nJ8jA5Uwwd6V8xO7XwHV+tD+njB8Ty2YftH78DdejEvi/xIb+7Fd3Bz
99bLO6V4ujApe/nHLsT+8Tu4VS/iTx9Ls4NrhRd6gWJ+e+bNDq6UEP7Kd3vZGbODC7WLNd7ZmA5O
/a3nP1/8+9TGdHDm8Tjf+Gz7nengyAszePrROzBUsyWhxanLJJK75+rgmfA00WUHSd9UcBeO7Ezs
+kkXQeAVzn32v24fdKb/cS1M9xvX7OXIiCGlZz/8+8bb6uAyTYRjf1LNWB3cJnwOMgKnDLfVwW2a
4HfMfXGlXgfS++3v4NyLNQaMQT8KE/fiOzAixLiLk/sjUo/nHh2Ev3MwBRf0XOmI/gty6pm36keI
2y7E357SlXYHinggEhfvnkpRADt37/uo+t5Jv8/p4Nz0lxc3x6H+y4F3OvANhDZ4m4fcy+9AXe7k
492kj4dd/mapnA5O/U7+OwrB6UBj9rAmi/z5xMN3cDB/gFc881IJ6bPguTrx7B0ceSH9tDajsHBY
8j9PXv/7PSNuyD88laey9X/W+N/m8A/1/VN/dlygEJ94jJ6X+b/+DwAA//8=</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_xlchart.v1.18</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_xlchart.v1.17</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_xlchart.v1.15</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_xlchart.v1.14</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_xlchart.v1.22</cx:f>
      </cx:strDim>
      <cx:numDim type="size">
        <cx:f>_xlchart.v1.23</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_xlchart.v1.23</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_xlchart.v1.21</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_xlchart.v1.20</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U$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U$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Radio" checked="Checked" firstButton="1" fmlaLink="HDSD!$A$2" lockText="1" noThreeD="1"/>
</file>

<file path=xl/ctrlProps/ctrlProp473.xml><?xml version="1.0" encoding="utf-8"?>
<formControlPr xmlns="http://schemas.microsoft.com/office/spreadsheetml/2009/9/main" objectType="Radio" lockText="1" noThreeD="1"/>
</file>

<file path=xl/ctrlProps/ctrlProp474.xml><?xml version="1.0" encoding="utf-8"?>
<formControlPr xmlns="http://schemas.microsoft.com/office/spreadsheetml/2009/9/main" objectType="Radio" lockText="1" noThreeD="1"/>
</file>

<file path=xl/ctrlProps/ctrlProp475.xml><?xml version="1.0" encoding="utf-8"?>
<formControlPr xmlns="http://schemas.microsoft.com/office/spreadsheetml/2009/9/main" objectType="Radio" lockText="1" noThreeD="1"/>
</file>

<file path=xl/ctrlProps/ctrlProp476.xml><?xml version="1.0" encoding="utf-8"?>
<formControlPr xmlns="http://schemas.microsoft.com/office/spreadsheetml/2009/9/main" objectType="GBox" noThreeD="1"/>
</file>

<file path=xl/ctrlProps/ctrlProp477.xml><?xml version="1.0" encoding="utf-8"?>
<formControlPr xmlns="http://schemas.microsoft.com/office/spreadsheetml/2009/9/main" objectType="GBox" noThreeD="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Radio" checked="Checked" firstButton="1" fmlaLink="HDSD!$A$2" lockText="1" noThreeD="1"/>
</file>

<file path=xl/ctrlProps/ctrlProp487.xml><?xml version="1.0" encoding="utf-8"?>
<formControlPr xmlns="http://schemas.microsoft.com/office/spreadsheetml/2009/9/main" objectType="Radio" lockText="1" noThreeD="1"/>
</file>

<file path=xl/ctrlProps/ctrlProp488.xml><?xml version="1.0" encoding="utf-8"?>
<formControlPr xmlns="http://schemas.microsoft.com/office/spreadsheetml/2009/9/main" objectType="Radio" lockText="1" noThreeD="1"/>
</file>

<file path=xl/ctrlProps/ctrlProp489.xml><?xml version="1.0" encoding="utf-8"?>
<formControlPr xmlns="http://schemas.microsoft.com/office/spreadsheetml/2009/9/main" objectType="Radio" lockText="1" noThreeD="1"/>
</file>

<file path=xl/ctrlProps/ctrlProp490.xml><?xml version="1.0" encoding="utf-8"?>
<formControlPr xmlns="http://schemas.microsoft.com/office/spreadsheetml/2009/9/main" objectType="GBox" noThreeD="1"/>
</file>

<file path=xl/ctrlProps/ctrlProp491.xml><?xml version="1.0" encoding="utf-8"?>
<formControlPr xmlns="http://schemas.microsoft.com/office/spreadsheetml/2009/9/main" objectType="GBox" noThreeD="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Radio" checked="Checked" firstButton="1" fmlaLink="HDSD!$A$2" lockText="1" noThreeD="1"/>
</file>

<file path=xl/ctrlProps/ctrlProp512.xml><?xml version="1.0" encoding="utf-8"?>
<formControlPr xmlns="http://schemas.microsoft.com/office/spreadsheetml/2009/9/main" objectType="Radio" lockText="1" noThreeD="1"/>
</file>

<file path=xl/ctrlProps/ctrlProp513.xml><?xml version="1.0" encoding="utf-8"?>
<formControlPr xmlns="http://schemas.microsoft.com/office/spreadsheetml/2009/9/main" objectType="Radio" lockText="1" noThreeD="1"/>
</file>

<file path=xl/ctrlProps/ctrlProp514.xml><?xml version="1.0" encoding="utf-8"?>
<formControlPr xmlns="http://schemas.microsoft.com/office/spreadsheetml/2009/9/main" objectType="Radio" lockText="1" noThreeD="1"/>
</file>

<file path=xl/ctrlProps/ctrlProp515.xml><?xml version="1.0" encoding="utf-8"?>
<formControlPr xmlns="http://schemas.microsoft.com/office/spreadsheetml/2009/9/main" objectType="GBox" noThreeD="1"/>
</file>

<file path=xl/ctrlProps/ctrlProp516.xml><?xml version="1.0" encoding="utf-8"?>
<formControlPr xmlns="http://schemas.microsoft.com/office/spreadsheetml/2009/9/main" objectType="GBox" noThreeD="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Radio" checked="Checked" firstButton="1" fmlaLink="HDSD!$A$2" lockText="1" noThreeD="1"/>
</file>

<file path=xl/ctrlProps/ctrlProp525.xml><?xml version="1.0" encoding="utf-8"?>
<formControlPr xmlns="http://schemas.microsoft.com/office/spreadsheetml/2009/9/main" objectType="Radio" lockText="1" noThreeD="1"/>
</file>

<file path=xl/ctrlProps/ctrlProp526.xml><?xml version="1.0" encoding="utf-8"?>
<formControlPr xmlns="http://schemas.microsoft.com/office/spreadsheetml/2009/9/main" objectType="Radio" lockText="1" noThreeD="1"/>
</file>

<file path=xl/ctrlProps/ctrlProp527.xml><?xml version="1.0" encoding="utf-8"?>
<formControlPr xmlns="http://schemas.microsoft.com/office/spreadsheetml/2009/9/main" objectType="Radio" lockText="1" noThreeD="1"/>
</file>

<file path=xl/ctrlProps/ctrlProp528.xml><?xml version="1.0" encoding="utf-8"?>
<formControlPr xmlns="http://schemas.microsoft.com/office/spreadsheetml/2009/9/main" objectType="GBox" noThreeD="1"/>
</file>

<file path=xl/ctrlProps/ctrlProp529.xml><?xml version="1.0" encoding="utf-8"?>
<formControlPr xmlns="http://schemas.microsoft.com/office/spreadsheetml/2009/9/main" objectType="GBox" noThreeD="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Radio" checked="Checked" firstButton="1" fmlaLink="HDSD!$A$2"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Radio" lockText="1" noThreeD="1"/>
</file>

<file path=xl/ctrlProps/ctrlProp541.xml><?xml version="1.0" encoding="utf-8"?>
<formControlPr xmlns="http://schemas.microsoft.com/office/spreadsheetml/2009/9/main" objectType="Radio" lockText="1" noThreeD="1"/>
</file>

<file path=xl/ctrlProps/ctrlProp542.xml><?xml version="1.0" encoding="utf-8"?>
<formControlPr xmlns="http://schemas.microsoft.com/office/spreadsheetml/2009/9/main" objectType="GBox" noThreeD="1"/>
</file>

<file path=xl/ctrlProps/ctrlProp543.xml><?xml version="1.0" encoding="utf-8"?>
<formControlPr xmlns="http://schemas.microsoft.com/office/spreadsheetml/2009/9/main" objectType="GBox" noThreeD="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Radio" checked="Checked" firstButton="1" fmlaLink="HDSD!$A$2" lockText="1" noThreeD="1"/>
</file>

<file path=xl/ctrlProps/ctrlProp552.xml><?xml version="1.0" encoding="utf-8"?>
<formControlPr xmlns="http://schemas.microsoft.com/office/spreadsheetml/2009/9/main" objectType="Radio" lockText="1" noThreeD="1"/>
</file>

<file path=xl/ctrlProps/ctrlProp553.xml><?xml version="1.0" encoding="utf-8"?>
<formControlPr xmlns="http://schemas.microsoft.com/office/spreadsheetml/2009/9/main" objectType="Radio" lockText="1" noThreeD="1"/>
</file>

<file path=xl/ctrlProps/ctrlProp554.xml><?xml version="1.0" encoding="utf-8"?>
<formControlPr xmlns="http://schemas.microsoft.com/office/spreadsheetml/2009/9/main" objectType="Radio" lockText="1" noThreeD="1"/>
</file>

<file path=xl/ctrlProps/ctrlProp555.xml><?xml version="1.0" encoding="utf-8"?>
<formControlPr xmlns="http://schemas.microsoft.com/office/spreadsheetml/2009/9/main" objectType="GBox" noThreeD="1"/>
</file>

<file path=xl/ctrlProps/ctrlProp556.xml><?xml version="1.0" encoding="utf-8"?>
<formControlPr xmlns="http://schemas.microsoft.com/office/spreadsheetml/2009/9/main" objectType="GBox" noThreeD="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Radio" checked="Checked" firstButton="1" fmlaLink="HDSD!$A$2" lockText="1" noThreeD="1"/>
</file>

<file path=xl/ctrlProps/ctrlProp565.xml><?xml version="1.0" encoding="utf-8"?>
<formControlPr xmlns="http://schemas.microsoft.com/office/spreadsheetml/2009/9/main" objectType="Radio" lockText="1" noThreeD="1"/>
</file>

<file path=xl/ctrlProps/ctrlProp566.xml><?xml version="1.0" encoding="utf-8"?>
<formControlPr xmlns="http://schemas.microsoft.com/office/spreadsheetml/2009/9/main" objectType="Radio" lockText="1" noThreeD="1"/>
</file>

<file path=xl/ctrlProps/ctrlProp567.xml><?xml version="1.0" encoding="utf-8"?>
<formControlPr xmlns="http://schemas.microsoft.com/office/spreadsheetml/2009/9/main" objectType="Radio" lockText="1" noThreeD="1"/>
</file>

<file path=xl/ctrlProps/ctrlProp568.xml><?xml version="1.0" encoding="utf-8"?>
<formControlPr xmlns="http://schemas.microsoft.com/office/spreadsheetml/2009/9/main" objectType="GBox" noThreeD="1"/>
</file>

<file path=xl/ctrlProps/ctrlProp569.xml><?xml version="1.0" encoding="utf-8"?>
<formControlPr xmlns="http://schemas.microsoft.com/office/spreadsheetml/2009/9/main" objectType="GBox" noThreeD="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Radio" checked="Checked" firstButton="1" fmlaLink="HDSD!$A$2" lockText="1" noThreeD="1"/>
</file>

<file path=xl/ctrlProps/ctrlProp578.xml><?xml version="1.0" encoding="utf-8"?>
<formControlPr xmlns="http://schemas.microsoft.com/office/spreadsheetml/2009/9/main" objectType="Radio" lockText="1" noThreeD="1"/>
</file>

<file path=xl/ctrlProps/ctrlProp579.xml><?xml version="1.0" encoding="utf-8"?>
<formControlPr xmlns="http://schemas.microsoft.com/office/spreadsheetml/2009/9/main" objectType="Radio" lockText="1" noThreeD="1"/>
</file>

<file path=xl/ctrlProps/ctrlProp580.xml><?xml version="1.0" encoding="utf-8"?>
<formControlPr xmlns="http://schemas.microsoft.com/office/spreadsheetml/2009/9/main" objectType="Radio" lockText="1" noThreeD="1"/>
</file>

<file path=xl/ctrlProps/ctrlProp581.xml><?xml version="1.0" encoding="utf-8"?>
<formControlPr xmlns="http://schemas.microsoft.com/office/spreadsheetml/2009/9/main" objectType="GBox" noThreeD="1"/>
</file>

<file path=xl/ctrlProps/ctrlProp582.xml><?xml version="1.0" encoding="utf-8"?>
<formControlPr xmlns="http://schemas.microsoft.com/office/spreadsheetml/2009/9/main" objectType="GBox" noThreeD="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Radio" checked="Checked" firstButton="1" fmlaLink="HDSD!$A$2" lockText="1" noThreeD="1"/>
</file>

<file path=xl/ctrlProps/ctrlProp593.xml><?xml version="1.0" encoding="utf-8"?>
<formControlPr xmlns="http://schemas.microsoft.com/office/spreadsheetml/2009/9/main" objectType="Radio" lockText="1" noThreeD="1"/>
</file>

<file path=xl/ctrlProps/ctrlProp594.xml><?xml version="1.0" encoding="utf-8"?>
<formControlPr xmlns="http://schemas.microsoft.com/office/spreadsheetml/2009/9/main" objectType="Radio" lockText="1" noThreeD="1"/>
</file>

<file path=xl/ctrlProps/ctrlProp595.xml><?xml version="1.0" encoding="utf-8"?>
<formControlPr xmlns="http://schemas.microsoft.com/office/spreadsheetml/2009/9/main" objectType="Radio" lockText="1" noThreeD="1"/>
</file>

<file path=xl/ctrlProps/ctrlProp596.xml><?xml version="1.0" encoding="utf-8"?>
<formControlPr xmlns="http://schemas.microsoft.com/office/spreadsheetml/2009/9/main" objectType="GBox" noThreeD="1"/>
</file>

<file path=xl/ctrlProps/ctrlProp597.xml><?xml version="1.0" encoding="utf-8"?>
<formControlPr xmlns="http://schemas.microsoft.com/office/spreadsheetml/2009/9/main" objectType="GBox" noThreeD="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Radio" checked="Checked" firstButton="1" fmlaLink="HDSD!$A$2" lockText="1" noThreeD="1"/>
</file>

<file path=xl/ctrlProps/ctrlProp604.xml><?xml version="1.0" encoding="utf-8"?>
<formControlPr xmlns="http://schemas.microsoft.com/office/spreadsheetml/2009/9/main" objectType="Radio" lockText="1" noThreeD="1"/>
</file>

<file path=xl/ctrlProps/ctrlProp605.xml><?xml version="1.0" encoding="utf-8"?>
<formControlPr xmlns="http://schemas.microsoft.com/office/spreadsheetml/2009/9/main" objectType="Radio"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GBox" noThreeD="1"/>
</file>

<file path=xl/ctrlProps/ctrlProp608.xml><?xml version="1.0" encoding="utf-8"?>
<formControlPr xmlns="http://schemas.microsoft.com/office/spreadsheetml/2009/9/main" objectType="GBox" noThreeD="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Radio" checked="Checked" firstButton="1" fmlaLink="HDSD!$A$2" lockText="1" noThreeD="1"/>
</file>

<file path=xl/ctrlProps/ctrlProp617.xml><?xml version="1.0" encoding="utf-8"?>
<formControlPr xmlns="http://schemas.microsoft.com/office/spreadsheetml/2009/9/main" objectType="Radio" lockText="1" noThreeD="1"/>
</file>

<file path=xl/ctrlProps/ctrlProp618.xml><?xml version="1.0" encoding="utf-8"?>
<formControlPr xmlns="http://schemas.microsoft.com/office/spreadsheetml/2009/9/main" objectType="Radio" lockText="1" noThreeD="1"/>
</file>

<file path=xl/ctrlProps/ctrlProp619.xml><?xml version="1.0" encoding="utf-8"?>
<formControlPr xmlns="http://schemas.microsoft.com/office/spreadsheetml/2009/9/main" objectType="Radio" lockText="1" noThreeD="1"/>
</file>

<file path=xl/ctrlProps/ctrlProp620.xml><?xml version="1.0" encoding="utf-8"?>
<formControlPr xmlns="http://schemas.microsoft.com/office/spreadsheetml/2009/9/main" objectType="GBox" noThreeD="1"/>
</file>

<file path=xl/ctrlProps/ctrlProp621.xml><?xml version="1.0" encoding="utf-8"?>
<formControlPr xmlns="http://schemas.microsoft.com/office/spreadsheetml/2009/9/main" objectType="GBox" noThreeD="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Radio" checked="Checked" firstButton="1" fmlaLink="HDSD!$A$2" lockText="1" noThreeD="1"/>
</file>

<file path=xl/ctrlProps/ctrlProp630.xml><?xml version="1.0" encoding="utf-8"?>
<formControlPr xmlns="http://schemas.microsoft.com/office/spreadsheetml/2009/9/main" objectType="Radio" lockText="1" noThreeD="1"/>
</file>

<file path=xl/ctrlProps/ctrlProp631.xml><?xml version="1.0" encoding="utf-8"?>
<formControlPr xmlns="http://schemas.microsoft.com/office/spreadsheetml/2009/9/main" objectType="Radio" lockText="1" noThreeD="1"/>
</file>

<file path=xl/ctrlProps/ctrlProp632.xml><?xml version="1.0" encoding="utf-8"?>
<formControlPr xmlns="http://schemas.microsoft.com/office/spreadsheetml/2009/9/main" objectType="Radio" lockText="1" noThreeD="1"/>
</file>

<file path=xl/ctrlProps/ctrlProp633.xml><?xml version="1.0" encoding="utf-8"?>
<formControlPr xmlns="http://schemas.microsoft.com/office/spreadsheetml/2009/9/main" objectType="GBox" noThreeD="1"/>
</file>

<file path=xl/ctrlProps/ctrlProp634.xml><?xml version="1.0" encoding="utf-8"?>
<formControlPr xmlns="http://schemas.microsoft.com/office/spreadsheetml/2009/9/main" objectType="GBox" noThreeD="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57</xdr:col>
      <xdr:colOff>168089</xdr:colOff>
      <xdr:row>3</xdr:row>
      <xdr:rowOff>190499</xdr:rowOff>
    </xdr:from>
    <xdr:to>
      <xdr:col>62</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63</xdr:col>
      <xdr:colOff>9525</xdr:colOff>
      <xdr:row>3</xdr:row>
      <xdr:rowOff>180974</xdr:rowOff>
    </xdr:from>
    <xdr:to>
      <xdr:col>81</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438150</xdr:colOff>
      <xdr:row>4</xdr:row>
      <xdr:rowOff>212911</xdr:rowOff>
    </xdr:from>
    <xdr:to>
      <xdr:col>65</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79</xdr:col>
      <xdr:colOff>83820</xdr:colOff>
      <xdr:row>4</xdr:row>
      <xdr:rowOff>190500</xdr:rowOff>
    </xdr:from>
    <xdr:to>
      <xdr:col>81</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62</xdr:col>
      <xdr:colOff>566040</xdr:colOff>
      <xdr:row>5</xdr:row>
      <xdr:rowOff>80123</xdr:rowOff>
    </xdr:from>
    <xdr:ext cx="1000541" cy="399405"/>
    <xdr:sp macro="" textlink="$CV$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63</xdr:col>
      <xdr:colOff>435349</xdr:colOff>
      <xdr:row>7</xdr:row>
      <xdr:rowOff>116369</xdr:rowOff>
    </xdr:from>
    <xdr:ext cx="883753" cy="399405"/>
    <xdr:sp macro="" textlink="$CV$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79</xdr:col>
      <xdr:colOff>493163</xdr:colOff>
      <xdr:row>5</xdr:row>
      <xdr:rowOff>183948</xdr:rowOff>
    </xdr:from>
    <xdr:ext cx="1080000" cy="501740"/>
    <xdr:sp macro="" textlink="$CW$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82</xdr:col>
      <xdr:colOff>66675</xdr:colOff>
      <xdr:row>3</xdr:row>
      <xdr:rowOff>190499</xdr:rowOff>
    </xdr:from>
    <xdr:to>
      <xdr:col>87</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82</xdr:col>
          <xdr:colOff>263662</xdr:colOff>
          <xdr:row>1</xdr:row>
          <xdr:rowOff>171450</xdr:rowOff>
        </xdr:from>
        <xdr:to>
          <xdr:col>87</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21" y="1047750"/>
              <a:chExt cx="3206008"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21" y="1047750"/>
                <a:ext cx="719992"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4"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9"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64</xdr:col>
      <xdr:colOff>549088</xdr:colOff>
      <xdr:row>13</xdr:row>
      <xdr:rowOff>209085</xdr:rowOff>
    </xdr:from>
    <xdr:to>
      <xdr:col>81</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466725</xdr:colOff>
      <xdr:row>7</xdr:row>
      <xdr:rowOff>70597</xdr:rowOff>
    </xdr:from>
    <xdr:to>
      <xdr:col>65</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62</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63</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63</xdr:col>
      <xdr:colOff>200025</xdr:colOff>
      <xdr:row>9</xdr:row>
      <xdr:rowOff>28576</xdr:rowOff>
    </xdr:from>
    <xdr:ext cx="876300" cy="706475"/>
    <xdr:sp macro="" textlink="$CX$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79</xdr:col>
      <xdr:colOff>228600</xdr:colOff>
      <xdr:row>10</xdr:row>
      <xdr:rowOff>28575</xdr:rowOff>
    </xdr:from>
    <xdr:to>
      <xdr:col>81</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79</xdr:col>
      <xdr:colOff>676275</xdr:colOff>
      <xdr:row>8</xdr:row>
      <xdr:rowOff>202019</xdr:rowOff>
    </xdr:from>
    <xdr:to>
      <xdr:col>81</xdr:col>
      <xdr:colOff>384675</xdr:colOff>
      <xdr:row>10</xdr:row>
      <xdr:rowOff>79923</xdr:rowOff>
    </xdr:to>
    <xdr:sp macro="" textlink="$DB$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79</xdr:col>
      <xdr:colOff>85725</xdr:colOff>
      <xdr:row>9</xdr:row>
      <xdr:rowOff>9525</xdr:rowOff>
    </xdr:from>
    <xdr:to>
      <xdr:col>80</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66</xdr:col>
      <xdr:colOff>186568</xdr:colOff>
      <xdr:row>4</xdr:row>
      <xdr:rowOff>181283</xdr:rowOff>
    </xdr:from>
    <xdr:to>
      <xdr:col>68</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W$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A$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CZ$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64</xdr:col>
      <xdr:colOff>209551</xdr:colOff>
      <xdr:row>13</xdr:row>
      <xdr:rowOff>176664</xdr:rowOff>
    </xdr:from>
    <xdr:to>
      <xdr:col>66</xdr:col>
      <xdr:colOff>375575</xdr:colOff>
      <xdr:row>16</xdr:row>
      <xdr:rowOff>38100</xdr:rowOff>
    </xdr:to>
    <xdr:sp macro="" textlink="$CW$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66</xdr:col>
      <xdr:colOff>248073</xdr:colOff>
      <xdr:row>14</xdr:row>
      <xdr:rowOff>72183</xdr:rowOff>
    </xdr:from>
    <xdr:to>
      <xdr:col>68</xdr:col>
      <xdr:colOff>495300</xdr:colOff>
      <xdr:row>15</xdr:row>
      <xdr:rowOff>142581</xdr:rowOff>
    </xdr:to>
    <xdr:sp macro="" textlink="$CU$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65</xdr:col>
      <xdr:colOff>238126</xdr:colOff>
      <xdr:row>15</xdr:row>
      <xdr:rowOff>147637</xdr:rowOff>
    </xdr:from>
    <xdr:to>
      <xdr:col>66</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66</xdr:col>
      <xdr:colOff>457200</xdr:colOff>
      <xdr:row>15</xdr:row>
      <xdr:rowOff>147637</xdr:rowOff>
    </xdr:from>
    <xdr:to>
      <xdr:col>69</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66</xdr:col>
      <xdr:colOff>114723</xdr:colOff>
      <xdr:row>15</xdr:row>
      <xdr:rowOff>115590</xdr:rowOff>
    </xdr:from>
    <xdr:to>
      <xdr:col>66</xdr:col>
      <xdr:colOff>542924</xdr:colOff>
      <xdr:row>17</xdr:row>
      <xdr:rowOff>196101</xdr:rowOff>
    </xdr:to>
    <xdr:sp macro="" textlink="$CW$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63</xdr:col>
      <xdr:colOff>414618</xdr:colOff>
      <xdr:row>0</xdr:row>
      <xdr:rowOff>0</xdr:rowOff>
    </xdr:from>
    <xdr:to>
      <xdr:col>80</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63</xdr:col>
      <xdr:colOff>11107</xdr:colOff>
      <xdr:row>28</xdr:row>
      <xdr:rowOff>119982</xdr:rowOff>
    </xdr:from>
    <xdr:to>
      <xdr:col>81</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207301</xdr:colOff>
      <xdr:row>28</xdr:row>
      <xdr:rowOff>145677</xdr:rowOff>
    </xdr:from>
    <xdr:to>
      <xdr:col>68</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82</xdr:col>
      <xdr:colOff>215463</xdr:colOff>
      <xdr:row>4</xdr:row>
      <xdr:rowOff>85724</xdr:rowOff>
    </xdr:from>
    <xdr:to>
      <xdr:col>87</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82</xdr:col>
      <xdr:colOff>66675</xdr:colOff>
      <xdr:row>13</xdr:row>
      <xdr:rowOff>209085</xdr:rowOff>
    </xdr:from>
    <xdr:to>
      <xdr:col>87</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82</xdr:col>
      <xdr:colOff>423582</xdr:colOff>
      <xdr:row>14</xdr:row>
      <xdr:rowOff>102873</xdr:rowOff>
    </xdr:from>
    <xdr:to>
      <xdr:col>87</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82</xdr:col>
      <xdr:colOff>401171</xdr:colOff>
      <xdr:row>17</xdr:row>
      <xdr:rowOff>43643</xdr:rowOff>
    </xdr:from>
    <xdr:to>
      <xdr:col>84</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353545</xdr:colOff>
      <xdr:row>24</xdr:row>
      <xdr:rowOff>183468</xdr:rowOff>
    </xdr:from>
    <xdr:to>
      <xdr:col>85</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82</xdr:col>
      <xdr:colOff>66675</xdr:colOff>
      <xdr:row>28</xdr:row>
      <xdr:rowOff>119982</xdr:rowOff>
    </xdr:from>
    <xdr:to>
      <xdr:col>87</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67</xdr:col>
      <xdr:colOff>425823</xdr:colOff>
      <xdr:row>29</xdr:row>
      <xdr:rowOff>73957</xdr:rowOff>
    </xdr:from>
    <xdr:to>
      <xdr:col>80</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73</xdr:col>
      <xdr:colOff>96372</xdr:colOff>
      <xdr:row>29</xdr:row>
      <xdr:rowOff>94971</xdr:rowOff>
    </xdr:from>
    <xdr:to>
      <xdr:col>76</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76</xdr:col>
      <xdr:colOff>404531</xdr:colOff>
      <xdr:row>29</xdr:row>
      <xdr:rowOff>107014</xdr:rowOff>
    </xdr:from>
    <xdr:to>
      <xdr:col>78</xdr:col>
      <xdr:colOff>309280</xdr:colOff>
      <xdr:row>31</xdr:row>
      <xdr:rowOff>150996</xdr:rowOff>
    </xdr:to>
    <xdr:sp macro="" textlink="$CW$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77</xdr:col>
      <xdr:colOff>91889</xdr:colOff>
      <xdr:row>30</xdr:row>
      <xdr:rowOff>180137</xdr:rowOff>
    </xdr:from>
    <xdr:to>
      <xdr:col>80</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82</xdr:col>
          <xdr:colOff>295275</xdr:colOff>
          <xdr:row>29</xdr:row>
          <xdr:rowOff>38100</xdr:rowOff>
        </xdr:from>
        <xdr:to>
          <xdr:col>83</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82</xdr:col>
      <xdr:colOff>201483</xdr:colOff>
      <xdr:row>35</xdr:row>
      <xdr:rowOff>121254</xdr:rowOff>
    </xdr:from>
    <xdr:to>
      <xdr:col>87</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83</xdr:col>
      <xdr:colOff>116068</xdr:colOff>
      <xdr:row>37</xdr:row>
      <xdr:rowOff>41955</xdr:rowOff>
    </xdr:from>
    <xdr:to>
      <xdr:col>87</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82</xdr:col>
      <xdr:colOff>505538</xdr:colOff>
      <xdr:row>22</xdr:row>
      <xdr:rowOff>183294</xdr:rowOff>
    </xdr:from>
    <xdr:to>
      <xdr:col>87</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82</xdr:col>
      <xdr:colOff>252371</xdr:colOff>
      <xdr:row>18</xdr:row>
      <xdr:rowOff>123382</xdr:rowOff>
    </xdr:from>
    <xdr:to>
      <xdr:col>87</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82</xdr:col>
      <xdr:colOff>33056</xdr:colOff>
      <xdr:row>16</xdr:row>
      <xdr:rowOff>93427</xdr:rowOff>
    </xdr:from>
    <xdr:to>
      <xdr:col>87</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82</xdr:col>
      <xdr:colOff>254493</xdr:colOff>
      <xdr:row>24</xdr:row>
      <xdr:rowOff>213250</xdr:rowOff>
    </xdr:from>
    <xdr:to>
      <xdr:col>87</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83</xdr:col>
      <xdr:colOff>114552</xdr:colOff>
      <xdr:row>20</xdr:row>
      <xdr:rowOff>153338</xdr:rowOff>
    </xdr:from>
    <xdr:to>
      <xdr:col>86</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62</xdr:col>
      <xdr:colOff>627530</xdr:colOff>
      <xdr:row>0</xdr:row>
      <xdr:rowOff>190500</xdr:rowOff>
    </xdr:from>
    <xdr:to>
      <xdr:col>63</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69</xdr:col>
      <xdr:colOff>109666</xdr:colOff>
      <xdr:row>4</xdr:row>
      <xdr:rowOff>162933</xdr:rowOff>
    </xdr:from>
    <xdr:to>
      <xdr:col>71</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B$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C$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72</xdr:col>
      <xdr:colOff>395409</xdr:colOff>
      <xdr:row>4</xdr:row>
      <xdr:rowOff>163355</xdr:rowOff>
    </xdr:from>
    <xdr:to>
      <xdr:col>75</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W$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A$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CZ$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75</xdr:col>
      <xdr:colOff>318400</xdr:colOff>
      <xdr:row>4</xdr:row>
      <xdr:rowOff>162933</xdr:rowOff>
    </xdr:from>
    <xdr:to>
      <xdr:col>78</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B$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C$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64</xdr:col>
      <xdr:colOff>291353</xdr:colOff>
      <xdr:row>4</xdr:row>
      <xdr:rowOff>48859</xdr:rowOff>
    </xdr:from>
    <xdr:to>
      <xdr:col>65</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78</xdr:col>
      <xdr:colOff>387724</xdr:colOff>
      <xdr:row>4</xdr:row>
      <xdr:rowOff>48859</xdr:rowOff>
    </xdr:from>
    <xdr:to>
      <xdr:col>79</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57</xdr:col>
      <xdr:colOff>168089</xdr:colOff>
      <xdr:row>13</xdr:row>
      <xdr:rowOff>209085</xdr:rowOff>
    </xdr:from>
    <xdr:to>
      <xdr:col>62</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57</xdr:col>
      <xdr:colOff>168089</xdr:colOff>
      <xdr:row>28</xdr:row>
      <xdr:rowOff>119982</xdr:rowOff>
    </xdr:from>
    <xdr:to>
      <xdr:col>62</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82</xdr:col>
      <xdr:colOff>107016</xdr:colOff>
      <xdr:row>29</xdr:row>
      <xdr:rowOff>205912</xdr:rowOff>
    </xdr:from>
    <xdr:to>
      <xdr:col>87</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57</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36"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3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8"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133350</xdr:colOff>
          <xdr:row>0</xdr:row>
          <xdr:rowOff>66675</xdr:rowOff>
        </xdr:from>
        <xdr:to>
          <xdr:col>22</xdr:col>
          <xdr:colOff>133350</xdr:colOff>
          <xdr:row>1</xdr:row>
          <xdr:rowOff>95250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602575" y="666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87" y="1781175"/>
          <a:chExt cx="769599" cy="257175"/>
        </a:xfrm>
      </xdr:grpSpPr>
      <xdr:sp macro="" textlink="">
        <xdr:nvSpPr>
          <xdr:cNvPr id="52238" name="Button 14" hidden="1">
            <a:extLst>
              <a:ext uri="{63B3BB69-23CF-44E3-9099-C40C66FF867C}">
                <a14:compatExt xmlns:a14="http://schemas.microsoft.com/office/drawing/2010/main" spid="_x0000_s52238"/>
              </a:ext>
              <a:ext uri="{FF2B5EF4-FFF2-40B4-BE49-F238E27FC236}">
                <a16:creationId xmlns:a16="http://schemas.microsoft.com/office/drawing/2014/main" id="{00000000-0008-0000-0C00-00000ECC0000}"/>
              </a:ext>
            </a:extLst>
          </xdr:cNvPr>
          <xdr:cNvSpPr/>
        </xdr:nvSpPr>
        <xdr:spPr bwMode="auto">
          <a:xfrm>
            <a:off x="18725687"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xmlns:a14="http://schemas.microsoft.com/office/drawing/2010/main" spid="_x0000_s52239"/>
              </a:ext>
              <a:ext uri="{FF2B5EF4-FFF2-40B4-BE49-F238E27FC236}">
                <a16:creationId xmlns:a16="http://schemas.microsoft.com/office/drawing/2014/main" id="{00000000-0008-0000-0C00-00000FCC0000}"/>
              </a:ext>
            </a:extLst>
          </xdr:cNvPr>
          <xdr:cNvSpPr/>
        </xdr:nvSpPr>
        <xdr:spPr bwMode="auto">
          <a:xfrm>
            <a:off x="19135286"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2"/>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3"/>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40" name="Group 10">
              <a:extLst>
                <a:ext uri="{FF2B5EF4-FFF2-40B4-BE49-F238E27FC236}">
                  <a16:creationId xmlns:a16="http://schemas.microsoft.com/office/drawing/2014/main" id="{CD0501D1-3524-7FC6-6B2E-089E3C64C169}"/>
                </a:ext>
              </a:extLst>
            </xdr:cNvPr>
            <xdr:cNvGrpSpPr>
              <a:grpSpLocks/>
            </xdr:cNvGrpSpPr>
          </xdr:nvGrpSpPr>
          <xdr:grpSpPr bwMode="auto">
            <a:xfrm>
              <a:off x="17830800" y="114300"/>
              <a:ext cx="771525" cy="257175"/>
              <a:chOff x="187256" y="17811"/>
              <a:chExt cx="7696" cy="2572"/>
            </a:xfrm>
          </xdr:grpSpPr>
          <xdr:sp macro="" textlink="">
            <xdr:nvSpPr>
              <xdr:cNvPr id="4" name="Button 14" hidden="1">
                <a:extLst>
                  <a:ext uri="{63B3BB69-23CF-44E3-9099-C40C66FF867C}">
                    <a14:compatExt spid="_x0000_s4"/>
                  </a:ext>
                  <a:ext uri="{FF2B5EF4-FFF2-40B4-BE49-F238E27FC236}">
                    <a16:creationId xmlns:a16="http://schemas.microsoft.com/office/drawing/2014/main" id="{00000000-0008-0000-0C00-000004000000}"/>
                  </a:ext>
                </a:extLst>
              </xdr:cNvPr>
              <xdr:cNvSpPr/>
            </xdr:nvSpPr>
            <xdr:spPr bwMode="auto">
              <a:xfrm>
                <a:off x="187256"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 name="Button 15" hidden="1">
                <a:extLst>
                  <a:ext uri="{63B3BB69-23CF-44E3-9099-C40C66FF867C}">
                    <a14:compatExt spid="_x0000_s10"/>
                  </a:ext>
                  <a:ext uri="{FF2B5EF4-FFF2-40B4-BE49-F238E27FC236}">
                    <a16:creationId xmlns:a16="http://schemas.microsoft.com/office/drawing/2014/main" id="{00000000-0008-0000-0C00-00000A000000}"/>
                  </a:ext>
                </a:extLst>
              </xdr:cNvPr>
              <xdr:cNvSpPr/>
            </xdr:nvSpPr>
            <xdr:spPr bwMode="auto">
              <a:xfrm>
                <a:off x="191352" y="17811"/>
                <a:ext cx="3600" cy="2572"/>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59"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59"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78"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495318</xdr:colOff>
          <xdr:row>0</xdr:row>
          <xdr:rowOff>123825</xdr:rowOff>
        </xdr:from>
        <xdr:to>
          <xdr:col>20</xdr:col>
          <xdr:colOff>1266797</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43" y="123825"/>
              <a:ext cx="3676604" cy="361950"/>
              <a:chOff x="6162693" y="3409950"/>
              <a:chExt cx="3695654"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3" y="3409950"/>
                <a:ext cx="1990714" cy="361950"/>
                <a:chOff x="8191483" y="3409950"/>
                <a:chExt cx="1990714"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3" y="3409950"/>
                  <a:ext cx="199071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93" y="3409950"/>
                <a:ext cx="1657365" cy="361950"/>
                <a:chOff x="6162693" y="3409950"/>
                <a:chExt cx="1657365"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93" y="3409950"/>
                  <a:ext cx="165736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57148</xdr:colOff>
          <xdr:row>0</xdr:row>
          <xdr:rowOff>104775</xdr:rowOff>
        </xdr:from>
        <xdr:to>
          <xdr:col>50</xdr:col>
          <xdr:colOff>857247</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3" y="104775"/>
              <a:ext cx="3324224" cy="361950"/>
              <a:chOff x="6162676" y="3409950"/>
              <a:chExt cx="3695704"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6" y="3409950"/>
                <a:ext cx="1990724" cy="361950"/>
                <a:chOff x="8191506"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6"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8543925" y="57150"/>
              <a:ext cx="110490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5591175" y="57150"/>
              <a:ext cx="110490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819150" y="57150"/>
              <a:ext cx="110490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1372552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1372552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454467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3354705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98" y="3448050"/>
              <a:chExt cx="1190605"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98" y="3448050"/>
                <a:ext cx="514352"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80"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63"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63"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1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40</xdr:col>
          <xdr:colOff>28575</xdr:colOff>
          <xdr:row>1</xdr:row>
          <xdr:rowOff>200025</xdr:rowOff>
        </xdr:from>
        <xdr:to>
          <xdr:col>48</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139350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38100</xdr:colOff>
          <xdr:row>0</xdr:row>
          <xdr:rowOff>104775</xdr:rowOff>
        </xdr:from>
        <xdr:to>
          <xdr:col>39</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35509200"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161925</xdr:colOff>
          <xdr:row>0</xdr:row>
          <xdr:rowOff>85725</xdr:rowOff>
        </xdr:from>
        <xdr:to>
          <xdr:col>51</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2021800" y="85725"/>
              <a:ext cx="1190625" cy="257175"/>
              <a:chOff x="8200900"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00" y="3448050"/>
                <a:ext cx="514319"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2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95250</xdr:rowOff>
        </xdr:from>
        <xdr:to>
          <xdr:col>50</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24</xdr:col>
          <xdr:colOff>247651</xdr:colOff>
          <xdr:row>0</xdr:row>
          <xdr:rowOff>104775</xdr:rowOff>
        </xdr:from>
        <xdr:to>
          <xdr:col>29</xdr:col>
          <xdr:colOff>514350</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49244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0</xdr:row>
          <xdr:rowOff>104775</xdr:rowOff>
        </xdr:from>
        <xdr:to>
          <xdr:col>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69532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95250</xdr:colOff>
          <xdr:row>0</xdr:row>
          <xdr:rowOff>114300</xdr:rowOff>
        </xdr:from>
        <xdr:to>
          <xdr:col>20</xdr:col>
          <xdr:colOff>152400</xdr:colOff>
          <xdr:row>0</xdr:row>
          <xdr:rowOff>371475</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5992475" y="114300"/>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17</xdr:row>
          <xdr:rowOff>152400</xdr:rowOff>
        </xdr:from>
        <xdr:to>
          <xdr:col>19</xdr:col>
          <xdr:colOff>66675</xdr:colOff>
          <xdr:row>18</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17</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104776</xdr:colOff>
          <xdr:row>0</xdr:row>
          <xdr:rowOff>104775</xdr:rowOff>
        </xdr:from>
        <xdr:to>
          <xdr:col>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188595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114300</xdr:rowOff>
        </xdr:from>
        <xdr:to>
          <xdr:col>8</xdr:col>
          <xdr:colOff>285750</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714875"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66675</xdr:colOff>
          <xdr:row>3</xdr:row>
          <xdr:rowOff>114300</xdr:rowOff>
        </xdr:from>
        <xdr:to>
          <xdr:col>12</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727710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0"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34">
      <pivotArea type="all" dataOnly="0" outline="0" fieldPosition="0"/>
    </format>
    <format dxfId="2133">
      <pivotArea field="0" type="button" dataOnly="0" labelOnly="1" outline="0" axis="axisRow" fieldPosition="0"/>
    </format>
    <format dxfId="2132">
      <pivotArea dataOnly="0" labelOnly="1" grandRow="1" outline="0" fieldPosition="0"/>
    </format>
    <format dxfId="2131">
      <pivotArea type="all" dataOnly="0" outline="0" fieldPosition="0"/>
    </format>
    <format dxfId="2130">
      <pivotArea outline="0" collapsedLevelsAreSubtotals="1" fieldPosition="0"/>
    </format>
    <format dxfId="2129">
      <pivotArea field="0" type="button" dataOnly="0" labelOnly="1" outline="0" axis="axisRow" fieldPosition="0"/>
    </format>
    <format dxfId="2128">
      <pivotArea field="1" type="button" dataOnly="0" labelOnly="1" outline="0" axis="axisRow" fieldPosition="1"/>
    </format>
    <format dxfId="2127">
      <pivotArea field="3" type="button" dataOnly="0" labelOnly="1" outline="0" axis="axisRow" fieldPosition="2"/>
    </format>
    <format dxfId="2126">
      <pivotArea field="2" type="button" dataOnly="0" labelOnly="1" outline="0" axis="axisRow" fieldPosition="3"/>
    </format>
    <format dxfId="2125">
      <pivotArea field="5" type="button" dataOnly="0" labelOnly="1" outline="0" axis="axisRow" fieldPosition="4"/>
    </format>
    <format dxfId="2124">
      <pivotArea field="6" type="button" dataOnly="0" labelOnly="1" outline="0" axis="axisRow" fieldPosition="5"/>
    </format>
    <format dxfId="2123">
      <pivotArea field="8" type="button" dataOnly="0" labelOnly="1" outline="0" axis="axisRow" fieldPosition="6"/>
    </format>
    <format dxfId="2122">
      <pivotArea dataOnly="0" labelOnly="1" fieldPosition="0">
        <references count="1">
          <reference field="0" count="0"/>
        </references>
      </pivotArea>
    </format>
    <format dxfId="2121">
      <pivotArea dataOnly="0" labelOnly="1" outline="0" fieldPosition="0">
        <references count="1">
          <reference field="4294967294" count="2">
            <x v="0"/>
            <x v="1"/>
          </reference>
        </references>
      </pivotArea>
    </format>
    <format dxfId="2120">
      <pivotArea type="all" dataOnly="0" outline="0" fieldPosition="0"/>
    </format>
    <format dxfId="2119">
      <pivotArea outline="0" collapsedLevelsAreSubtotals="1" fieldPosition="0"/>
    </format>
    <format dxfId="2118">
      <pivotArea field="0" type="button" dataOnly="0" labelOnly="1" outline="0" axis="axisRow" fieldPosition="0"/>
    </format>
    <format dxfId="2117">
      <pivotArea field="1" type="button" dataOnly="0" labelOnly="1" outline="0" axis="axisRow" fieldPosition="1"/>
    </format>
    <format dxfId="2116">
      <pivotArea field="3" type="button" dataOnly="0" labelOnly="1" outline="0" axis="axisRow" fieldPosition="2"/>
    </format>
    <format dxfId="2115">
      <pivotArea field="2" type="button" dataOnly="0" labelOnly="1" outline="0" axis="axisRow" fieldPosition="3"/>
    </format>
    <format dxfId="2114">
      <pivotArea field="5" type="button" dataOnly="0" labelOnly="1" outline="0" axis="axisRow" fieldPosition="4"/>
    </format>
    <format dxfId="2113">
      <pivotArea field="6" type="button" dataOnly="0" labelOnly="1" outline="0" axis="axisRow" fieldPosition="5"/>
    </format>
    <format dxfId="2112">
      <pivotArea field="8" type="button" dataOnly="0" labelOnly="1" outline="0" axis="axisRow" fieldPosition="6"/>
    </format>
    <format dxfId="2111">
      <pivotArea dataOnly="0" labelOnly="1" fieldPosition="0">
        <references count="1">
          <reference field="0" count="0"/>
        </references>
      </pivotArea>
    </format>
    <format dxfId="211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1"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189">
      <pivotArea type="all" dataOnly="0" outline="0" fieldPosition="0"/>
    </format>
    <format dxfId="2188">
      <pivotArea outline="0" collapsedLevelsAreSubtotals="1" fieldPosition="0"/>
    </format>
    <format dxfId="2187">
      <pivotArea field="3" type="button" dataOnly="0" labelOnly="1" outline="0" axis="axisRow" fieldPosition="0"/>
    </format>
    <format dxfId="2186">
      <pivotArea field="7" type="button" dataOnly="0" labelOnly="1" outline="0" axis="axisRow" fieldPosition="1"/>
    </format>
    <format dxfId="2185">
      <pivotArea field="1" type="button" dataOnly="0" labelOnly="1" outline="0" axis="axisRow" fieldPosition="2"/>
    </format>
    <format dxfId="2184">
      <pivotArea field="4" type="button" dataOnly="0" labelOnly="1" outline="0"/>
    </format>
    <format dxfId="2183">
      <pivotArea field="6" type="button" dataOnly="0" labelOnly="1" outline="0" axis="axisRow" fieldPosition="4"/>
    </format>
    <format dxfId="2182">
      <pivotArea field="5" type="button" dataOnly="0" labelOnly="1" outline="0" axis="axisRow" fieldPosition="5"/>
    </format>
    <format dxfId="2181">
      <pivotArea dataOnly="0" labelOnly="1" fieldPosition="0">
        <references count="1">
          <reference field="3" count="0"/>
        </references>
      </pivotArea>
    </format>
    <format dxfId="2180">
      <pivotArea dataOnly="0" labelOnly="1" fieldPosition="0">
        <references count="2">
          <reference field="3" count="1" selected="0">
            <x v="0"/>
          </reference>
          <reference field="7" count="1">
            <x v="0"/>
          </reference>
        </references>
      </pivotArea>
    </format>
    <format dxfId="2179">
      <pivotArea dataOnly="0" labelOnly="1" fieldPosition="0">
        <references count="2">
          <reference field="3" count="1" selected="0">
            <x v="1"/>
          </reference>
          <reference field="7" count="1">
            <x v="1"/>
          </reference>
        </references>
      </pivotArea>
    </format>
    <format dxfId="2178">
      <pivotArea dataOnly="0" labelOnly="1" fieldPosition="0">
        <references count="2">
          <reference field="3" count="1" selected="0">
            <x v="2"/>
          </reference>
          <reference field="7" count="1">
            <x v="2"/>
          </reference>
        </references>
      </pivotArea>
    </format>
    <format dxfId="2177">
      <pivotArea dataOnly="0" labelOnly="1" fieldPosition="0">
        <references count="2">
          <reference field="3" count="1" selected="0">
            <x v="3"/>
          </reference>
          <reference field="7" count="1">
            <x v="0"/>
          </reference>
        </references>
      </pivotArea>
    </format>
    <format dxfId="2176">
      <pivotArea dataOnly="0" labelOnly="1" fieldPosition="0">
        <references count="2">
          <reference field="3" count="1" selected="0">
            <x v="5"/>
          </reference>
          <reference field="7" count="1">
            <x v="3"/>
          </reference>
        </references>
      </pivotArea>
    </format>
    <format dxfId="2175">
      <pivotArea dataOnly="0" labelOnly="1" fieldPosition="0">
        <references count="2">
          <reference field="3" count="1" selected="0">
            <x v="6"/>
          </reference>
          <reference field="7" count="1">
            <x v="1"/>
          </reference>
        </references>
      </pivotArea>
    </format>
    <format dxfId="2174">
      <pivotArea dataOnly="0" labelOnly="1" fieldPosition="0">
        <references count="2">
          <reference field="3" count="1" selected="0">
            <x v="7"/>
          </reference>
          <reference field="7" count="1">
            <x v="2"/>
          </reference>
        </references>
      </pivotArea>
    </format>
    <format dxfId="2173">
      <pivotArea dataOnly="0" labelOnly="1" fieldPosition="0">
        <references count="2">
          <reference field="3" count="1" selected="0">
            <x v="8"/>
          </reference>
          <reference field="7" count="1">
            <x v="0"/>
          </reference>
        </references>
      </pivotArea>
    </format>
    <format dxfId="2172">
      <pivotArea dataOnly="0" labelOnly="1" fieldPosition="0">
        <references count="2">
          <reference field="3" count="1" selected="0">
            <x v="9"/>
          </reference>
          <reference field="7" count="1">
            <x v="4"/>
          </reference>
        </references>
      </pivotArea>
    </format>
    <format dxfId="2171">
      <pivotArea dataOnly="0" labelOnly="1" fieldPosition="0">
        <references count="2">
          <reference field="3" count="1" selected="0">
            <x v="10"/>
          </reference>
          <reference field="7" count="1">
            <x v="0"/>
          </reference>
        </references>
      </pivotArea>
    </format>
    <format dxfId="2170">
      <pivotArea dataOnly="0" labelOnly="1" fieldPosition="0">
        <references count="2">
          <reference field="3" count="1" selected="0">
            <x v="11"/>
          </reference>
          <reference field="7" count="1">
            <x v="5"/>
          </reference>
        </references>
      </pivotArea>
    </format>
    <format dxfId="2169">
      <pivotArea dataOnly="0" labelOnly="1" fieldPosition="0">
        <references count="2">
          <reference field="3" count="1" selected="0">
            <x v="13"/>
          </reference>
          <reference field="7" count="1">
            <x v="0"/>
          </reference>
        </references>
      </pivotArea>
    </format>
    <format dxfId="2168">
      <pivotArea dataOnly="0" labelOnly="1" fieldPosition="0">
        <references count="2">
          <reference field="3" count="1" selected="0">
            <x v="14"/>
          </reference>
          <reference field="7" count="1">
            <x v="1"/>
          </reference>
        </references>
      </pivotArea>
    </format>
    <format dxfId="2167">
      <pivotArea dataOnly="0" labelOnly="1" fieldPosition="0">
        <references count="2">
          <reference field="3" count="1" selected="0">
            <x v="15"/>
          </reference>
          <reference field="7" count="1">
            <x v="2"/>
          </reference>
        </references>
      </pivotArea>
    </format>
    <format dxfId="2166">
      <pivotArea dataOnly="0" labelOnly="1" fieldPosition="0">
        <references count="2">
          <reference field="3" count="1" selected="0">
            <x v="16"/>
          </reference>
          <reference field="7" count="1">
            <x v="0"/>
          </reference>
        </references>
      </pivotArea>
    </format>
    <format dxfId="2165">
      <pivotArea dataOnly="0" labelOnly="1" fieldPosition="0">
        <references count="2">
          <reference field="3" count="1" selected="0">
            <x v="18"/>
          </reference>
          <reference field="7" count="1">
            <x v="3"/>
          </reference>
        </references>
      </pivotArea>
    </format>
    <format dxfId="2164">
      <pivotArea dataOnly="0" labelOnly="1" fieldPosition="0">
        <references count="2">
          <reference field="3" count="1" selected="0">
            <x v="19"/>
          </reference>
          <reference field="7" count="1">
            <x v="1"/>
          </reference>
        </references>
      </pivotArea>
    </format>
    <format dxfId="2163">
      <pivotArea dataOnly="0" labelOnly="1" fieldPosition="0">
        <references count="2">
          <reference field="3" count="1" selected="0">
            <x v="20"/>
          </reference>
          <reference field="7" count="1">
            <x v="2"/>
          </reference>
        </references>
      </pivotArea>
    </format>
    <format dxfId="2162">
      <pivotArea dataOnly="0" labelOnly="1" fieldPosition="0">
        <references count="2">
          <reference field="3" count="1" selected="0">
            <x v="21"/>
          </reference>
          <reference field="7" count="1">
            <x v="0"/>
          </reference>
        </references>
      </pivotArea>
    </format>
    <format dxfId="2161">
      <pivotArea dataOnly="0" labelOnly="1" fieldPosition="0">
        <references count="2">
          <reference field="3" count="1" selected="0">
            <x v="22"/>
          </reference>
          <reference field="7" count="1">
            <x v="4"/>
          </reference>
        </references>
      </pivotArea>
    </format>
    <format dxfId="2160">
      <pivotArea dataOnly="0" labelOnly="1" fieldPosition="0">
        <references count="2">
          <reference field="3" count="1" selected="0">
            <x v="23"/>
          </reference>
          <reference field="7" count="1">
            <x v="0"/>
          </reference>
        </references>
      </pivotArea>
    </format>
    <format dxfId="2159">
      <pivotArea dataOnly="0" labelOnly="1" fieldPosition="0">
        <references count="2">
          <reference field="3" count="1" selected="0">
            <x v="24"/>
          </reference>
          <reference field="7" count="1">
            <x v="5"/>
          </reference>
        </references>
      </pivotArea>
    </format>
    <format dxfId="2158">
      <pivotArea dataOnly="0" labelOnly="1" fieldPosition="0">
        <references count="2">
          <reference field="3" count="1" selected="0">
            <x v="25"/>
          </reference>
          <reference field="7" count="1">
            <x v="0"/>
          </reference>
        </references>
      </pivotArea>
    </format>
    <format dxfId="2157">
      <pivotArea dataOnly="0" labelOnly="1" fieldPosition="0">
        <references count="2">
          <reference field="3" count="1" selected="0">
            <x v="26"/>
          </reference>
          <reference field="7" count="1">
            <x v="1"/>
          </reference>
        </references>
      </pivotArea>
    </format>
    <format dxfId="2156">
      <pivotArea dataOnly="0" labelOnly="1" fieldPosition="0">
        <references count="2">
          <reference field="3" count="1" selected="0">
            <x v="27"/>
          </reference>
          <reference field="7" count="1">
            <x v="2"/>
          </reference>
        </references>
      </pivotArea>
    </format>
    <format dxfId="2155">
      <pivotArea dataOnly="0" labelOnly="1" fieldPosition="0">
        <references count="2">
          <reference field="3" count="1" selected="0">
            <x v="28"/>
          </reference>
          <reference field="7" count="1">
            <x v="5"/>
          </reference>
        </references>
      </pivotArea>
    </format>
    <format dxfId="2154">
      <pivotArea dataOnly="0" labelOnly="1" fieldPosition="0">
        <references count="3">
          <reference field="1" count="1">
            <x v="0"/>
          </reference>
          <reference field="3" count="1" selected="0">
            <x v="0"/>
          </reference>
          <reference field="7" count="1" selected="0">
            <x v="0"/>
          </reference>
        </references>
      </pivotArea>
    </format>
    <format dxfId="2153">
      <pivotArea dataOnly="0" labelOnly="1" fieldPosition="0">
        <references count="3">
          <reference field="1" count="1">
            <x v="1"/>
          </reference>
          <reference field="3" count="1" selected="0">
            <x v="2"/>
          </reference>
          <reference field="7" count="1" selected="0">
            <x v="2"/>
          </reference>
        </references>
      </pivotArea>
    </format>
    <format dxfId="2152">
      <pivotArea dataOnly="0" labelOnly="1" fieldPosition="0">
        <references count="3">
          <reference field="1" count="1">
            <x v="0"/>
          </reference>
          <reference field="3" count="1" selected="0">
            <x v="5"/>
          </reference>
          <reference field="7" count="1" selected="0">
            <x v="3"/>
          </reference>
        </references>
      </pivotArea>
    </format>
    <format dxfId="2151">
      <pivotArea dataOnly="0" labelOnly="1" fieldPosition="0">
        <references count="3">
          <reference field="1" count="1">
            <x v="1"/>
          </reference>
          <reference field="3" count="1" selected="0">
            <x v="7"/>
          </reference>
          <reference field="7" count="1" selected="0">
            <x v="2"/>
          </reference>
        </references>
      </pivotArea>
    </format>
    <format dxfId="2150">
      <pivotArea dataOnly="0" labelOnly="1" fieldPosition="0">
        <references count="3">
          <reference field="1" count="1">
            <x v="0"/>
          </reference>
          <reference field="3" count="1" selected="0">
            <x v="8"/>
          </reference>
          <reference field="7" count="1" selected="0">
            <x v="0"/>
          </reference>
        </references>
      </pivotArea>
    </format>
    <format dxfId="2149">
      <pivotArea dataOnly="0" labelOnly="1" fieldPosition="0">
        <references count="3">
          <reference field="1" count="1">
            <x v="1"/>
          </reference>
          <reference field="3" count="1" selected="0">
            <x v="11"/>
          </reference>
          <reference field="7" count="1" selected="0">
            <x v="5"/>
          </reference>
        </references>
      </pivotArea>
    </format>
    <format dxfId="2148">
      <pivotArea dataOnly="0" labelOnly="1" fieldPosition="0">
        <references count="3">
          <reference field="1" count="1">
            <x v="0"/>
          </reference>
          <reference field="3" count="1" selected="0">
            <x v="12"/>
          </reference>
          <reference field="7" count="1" selected="0">
            <x v="5"/>
          </reference>
        </references>
      </pivotArea>
    </format>
    <format dxfId="2147">
      <pivotArea dataOnly="0" labelOnly="1" fieldPosition="0">
        <references count="3">
          <reference field="1" count="1">
            <x v="1"/>
          </reference>
          <reference field="3" count="1" selected="0">
            <x v="13"/>
          </reference>
          <reference field="7" count="1" selected="0">
            <x v="0"/>
          </reference>
        </references>
      </pivotArea>
    </format>
    <format dxfId="2146">
      <pivotArea dataOnly="0" labelOnly="1" fieldPosition="0">
        <references count="3">
          <reference field="1" count="1">
            <x v="0"/>
          </reference>
          <reference field="3" count="1" selected="0">
            <x v="15"/>
          </reference>
          <reference field="7" count="1" selected="0">
            <x v="2"/>
          </reference>
        </references>
      </pivotArea>
    </format>
    <format dxfId="2145">
      <pivotArea dataOnly="0" labelOnly="1" fieldPosition="0">
        <references count="3">
          <reference field="1" count="1">
            <x v="1"/>
          </reference>
          <reference field="3" count="1" selected="0">
            <x v="16"/>
          </reference>
          <reference field="7" count="1" selected="0">
            <x v="0"/>
          </reference>
        </references>
      </pivotArea>
    </format>
    <format dxfId="2144">
      <pivotArea dataOnly="0" labelOnly="1" fieldPosition="0">
        <references count="3">
          <reference field="1" count="1">
            <x v="0"/>
          </reference>
          <reference field="3" count="1" selected="0">
            <x v="17"/>
          </reference>
          <reference field="7" count="1" selected="0">
            <x v="0"/>
          </reference>
        </references>
      </pivotArea>
    </format>
    <format dxfId="2143">
      <pivotArea dataOnly="0" labelOnly="1" fieldPosition="0">
        <references count="3">
          <reference field="1" count="1">
            <x v="1"/>
          </reference>
          <reference field="3" count="1" selected="0">
            <x v="19"/>
          </reference>
          <reference field="7" count="1" selected="0">
            <x v="1"/>
          </reference>
        </references>
      </pivotArea>
    </format>
    <format dxfId="2142">
      <pivotArea dataOnly="0" labelOnly="1" fieldPosition="0">
        <references count="3">
          <reference field="1" count="1">
            <x v="0"/>
          </reference>
          <reference field="3" count="1" selected="0">
            <x v="21"/>
          </reference>
          <reference field="7" count="1" selected="0">
            <x v="0"/>
          </reference>
        </references>
      </pivotArea>
    </format>
    <format dxfId="2141">
      <pivotArea dataOnly="0" labelOnly="1" fieldPosition="0">
        <references count="3">
          <reference field="1" count="1">
            <x v="1"/>
          </reference>
          <reference field="3" count="1" selected="0">
            <x v="23"/>
          </reference>
          <reference field="7" count="1" selected="0">
            <x v="0"/>
          </reference>
        </references>
      </pivotArea>
    </format>
    <format dxfId="2140">
      <pivotArea dataOnly="0" labelOnly="1" fieldPosition="0">
        <references count="3">
          <reference field="1" count="1">
            <x v="0"/>
          </reference>
          <reference field="3" count="1" selected="0">
            <x v="24"/>
          </reference>
          <reference field="7" count="1" selected="0">
            <x v="5"/>
          </reference>
        </references>
      </pivotArea>
    </format>
    <format dxfId="2139">
      <pivotArea dataOnly="0" labelOnly="1" fieldPosition="0">
        <references count="3">
          <reference field="1" count="1">
            <x v="1"/>
          </reference>
          <reference field="3" count="1" selected="0">
            <x v="25"/>
          </reference>
          <reference field="7" count="1" selected="0">
            <x v="0"/>
          </reference>
        </references>
      </pivotArea>
    </format>
    <format dxfId="2138">
      <pivotArea dataOnly="0" labelOnly="1" fieldPosition="0">
        <references count="3">
          <reference field="1" count="1">
            <x v="0"/>
          </reference>
          <reference field="3" count="1" selected="0">
            <x v="26"/>
          </reference>
          <reference field="7" count="1" selected="0">
            <x v="1"/>
          </reference>
        </references>
      </pivotArea>
    </format>
    <format dxfId="2137">
      <pivotArea dataOnly="0" labelOnly="1" fieldPosition="0">
        <references count="3">
          <reference field="1" count="1">
            <x v="1"/>
          </reference>
          <reference field="3" count="1" selected="0">
            <x v="27"/>
          </reference>
          <reference field="7" count="1" selected="0">
            <x v="2"/>
          </reference>
        </references>
      </pivotArea>
    </format>
    <format dxfId="2136">
      <pivotArea dataOnly="0" labelOnly="1" fieldPosition="0">
        <references count="3">
          <reference field="1" count="1">
            <x v="0"/>
          </reference>
          <reference field="3" count="1" selected="0">
            <x v="28"/>
          </reference>
          <reference field="7" count="1" selected="0">
            <x v="5"/>
          </reference>
        </references>
      </pivotArea>
    </format>
    <format dxfId="213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2"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213">
      <pivotArea type="all" dataOnly="0" outline="0" fieldPosition="0"/>
    </format>
    <format dxfId="2212">
      <pivotArea field="0" type="button" dataOnly="0" labelOnly="1" outline="0" axis="axisRow" fieldPosition="0"/>
    </format>
    <format dxfId="2211">
      <pivotArea dataOnly="0" labelOnly="1" grandRow="1" outline="0" fieldPosition="0"/>
    </format>
    <format dxfId="2210">
      <pivotArea type="all" dataOnly="0" outline="0" fieldPosition="0"/>
    </format>
    <format dxfId="2209">
      <pivotArea outline="0" collapsedLevelsAreSubtotals="1" fieldPosition="0"/>
    </format>
    <format dxfId="2208">
      <pivotArea field="0" type="button" dataOnly="0" labelOnly="1" outline="0" axis="axisRow" fieldPosition="0"/>
    </format>
    <format dxfId="2207">
      <pivotArea field="2" type="button" dataOnly="0" labelOnly="1" outline="0" axis="axisRow" fieldPosition="1"/>
    </format>
    <format dxfId="2206">
      <pivotArea field="1" type="button" dataOnly="0" labelOnly="1" outline="0" axis="axisRow" fieldPosition="2"/>
    </format>
    <format dxfId="2205">
      <pivotArea field="3" type="button" dataOnly="0" labelOnly="1" outline="0" axis="axisRow" fieldPosition="3"/>
    </format>
    <format dxfId="2204">
      <pivotArea field="4" type="button" dataOnly="0" labelOnly="1" outline="0" axis="axisRow" fieldPosition="4"/>
    </format>
    <format dxfId="2203">
      <pivotArea field="6" type="button" dataOnly="0" labelOnly="1" outline="0" axis="axisRow" fieldPosition="5"/>
    </format>
    <format dxfId="2202">
      <pivotArea field="7" type="button" dataOnly="0" labelOnly="1" outline="0" axis="axisRow" fieldPosition="7"/>
    </format>
    <format dxfId="2201">
      <pivotArea dataOnly="0" labelOnly="1" outline="0" axis="axisValues" fieldPosition="0"/>
    </format>
    <format dxfId="2200">
      <pivotArea type="all" dataOnly="0" outline="0" fieldPosition="0"/>
    </format>
    <format dxfId="2199">
      <pivotArea outline="0" collapsedLevelsAreSubtotals="1" fieldPosition="0"/>
    </format>
    <format dxfId="2198">
      <pivotArea field="0" type="button" dataOnly="0" labelOnly="1" outline="0" axis="axisRow" fieldPosition="0"/>
    </format>
    <format dxfId="2197">
      <pivotArea field="2" type="button" dataOnly="0" labelOnly="1" outline="0" axis="axisRow" fieldPosition="1"/>
    </format>
    <format dxfId="2196">
      <pivotArea field="1" type="button" dataOnly="0" labelOnly="1" outline="0" axis="axisRow" fieldPosition="2"/>
    </format>
    <format dxfId="2195">
      <pivotArea field="3" type="button" dataOnly="0" labelOnly="1" outline="0" axis="axisRow" fieldPosition="3"/>
    </format>
    <format dxfId="2194">
      <pivotArea field="4" type="button" dataOnly="0" labelOnly="1" outline="0" axis="axisRow" fieldPosition="4"/>
    </format>
    <format dxfId="2193">
      <pivotArea field="6" type="button" dataOnly="0" labelOnly="1" outline="0" axis="axisRow" fieldPosition="5"/>
    </format>
    <format dxfId="2192">
      <pivotArea field="7" type="button" dataOnly="0" labelOnly="1" outline="0" axis="axisRow" fieldPosition="7"/>
    </format>
    <format dxfId="2191">
      <pivotArea dataOnly="0" labelOnly="1" fieldPosition="0">
        <references count="1">
          <reference field="0" count="0"/>
        </references>
      </pivotArea>
    </format>
    <format dxfId="2190">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3"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229">
      <pivotArea type="all" dataOnly="0" outline="0" fieldPosition="0"/>
    </format>
    <format dxfId="2228">
      <pivotArea field="1" type="button" dataOnly="0" labelOnly="1" outline="0" axis="axisRow" fieldPosition="0"/>
    </format>
    <format dxfId="2227">
      <pivotArea type="all" dataOnly="0" outline="0" fieldPosition="0"/>
    </format>
    <format dxfId="2226">
      <pivotArea field="1" type="button" dataOnly="0" labelOnly="1" outline="0" axis="axisRow" fieldPosition="0"/>
    </format>
    <format dxfId="2225">
      <pivotArea type="all" dataOnly="0" outline="0" fieldPosition="0"/>
    </format>
    <format dxfId="2224">
      <pivotArea field="1" type="button" dataOnly="0" labelOnly="1" outline="0" axis="axisRow" fieldPosition="0"/>
    </format>
    <format dxfId="2223">
      <pivotArea dataOnly="0" labelOnly="1" outline="0" fieldPosition="0">
        <references count="1">
          <reference field="1" count="0"/>
        </references>
      </pivotArea>
    </format>
    <format dxfId="2222">
      <pivotArea type="all" dataOnly="0" outline="0" fieldPosition="0"/>
    </format>
    <format dxfId="2221">
      <pivotArea field="1" type="button" dataOnly="0" labelOnly="1" outline="0" axis="axisRow" fieldPosition="0"/>
    </format>
    <format dxfId="2220">
      <pivotArea dataOnly="0" labelOnly="1" outline="0" fieldPosition="0">
        <references count="1">
          <reference field="1" count="0"/>
        </references>
      </pivotArea>
    </format>
    <format dxfId="2219">
      <pivotArea type="all" dataOnly="0" outline="0" fieldPosition="0"/>
    </format>
    <format dxfId="2218">
      <pivotArea field="1" type="button" dataOnly="0" labelOnly="1" outline="0" axis="axisRow" fieldPosition="0"/>
    </format>
    <format dxfId="2217">
      <pivotArea dataOnly="0" labelOnly="1" outline="0" fieldPosition="0">
        <references count="1">
          <reference field="1" count="0"/>
        </references>
      </pivotArea>
    </format>
    <format dxfId="2216">
      <pivotArea type="all" dataOnly="0" outline="0" fieldPosition="0"/>
    </format>
    <format dxfId="2215">
      <pivotArea field="1" type="button" dataOnly="0" labelOnly="1" outline="0" axis="axisRow" fieldPosition="0"/>
    </format>
    <format dxfId="2214">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10"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245">
      <pivotArea type="all" dataOnly="0" outline="0" fieldPosition="0"/>
    </format>
    <format dxfId="2244">
      <pivotArea outline="0" collapsedLevelsAreSubtotals="1" fieldPosition="0"/>
    </format>
    <format dxfId="2243">
      <pivotArea field="0" type="button" dataOnly="0" labelOnly="1" outline="0" axis="axisRow" fieldPosition="0"/>
    </format>
    <format dxfId="2242">
      <pivotArea field="5" type="button" dataOnly="0" labelOnly="1" outline="0" axis="axisRow" fieldPosition="1"/>
    </format>
    <format dxfId="2241">
      <pivotArea field="6" type="button" dataOnly="0" labelOnly="1" outline="0" axis="axisRow" fieldPosition="2"/>
    </format>
    <format dxfId="2240">
      <pivotArea field="7" type="button" dataOnly="0" labelOnly="1" outline="0" axis="axisRow" fieldPosition="3"/>
    </format>
    <format dxfId="2239">
      <pivotArea field="4" type="button" dataOnly="0" labelOnly="1" outline="0" axis="axisRow" fieldPosition="4"/>
    </format>
    <format dxfId="2238">
      <pivotArea field="8" type="button" dataOnly="0" labelOnly="1" outline="0" axis="axisRow" fieldPosition="5"/>
    </format>
    <format dxfId="2237">
      <pivotArea field="1" type="button" dataOnly="0" labelOnly="1" outline="0" axis="axisRow" fieldPosition="6"/>
    </format>
    <format dxfId="2236">
      <pivotArea field="2" type="button" dataOnly="0" labelOnly="1" outline="0" axis="axisRow" fieldPosition="7"/>
    </format>
    <format dxfId="2235">
      <pivotArea field="3" type="button" dataOnly="0" labelOnly="1" outline="0"/>
    </format>
    <format dxfId="2234">
      <pivotArea field="9" type="button" dataOnly="0" labelOnly="1" outline="0" axis="axisRow" fieldPosition="9"/>
    </format>
    <format dxfId="2233">
      <pivotArea field="10" type="button" dataOnly="0" labelOnly="1" outline="0" axis="axisRow" fieldPosition="10"/>
    </format>
    <format dxfId="2232">
      <pivotArea field="11" type="button" dataOnly="0" labelOnly="1" outline="0" axis="axisRow" fieldPosition="11"/>
    </format>
    <format dxfId="2231">
      <pivotArea field="12" type="button" dataOnly="0" labelOnly="1" outline="0" axis="axisRow" fieldPosition="12"/>
    </format>
    <format dxfId="2230">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11"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04">
      <pivotArea type="all" dataOnly="0" outline="0" fieldPosition="0"/>
    </format>
    <format dxfId="803">
      <pivotArea outline="0" collapsedLevelsAreSubtotals="1" fieldPosition="0"/>
    </format>
    <format dxfId="802">
      <pivotArea field="0" type="button" dataOnly="0" labelOnly="1" outline="0" axis="axisRow" fieldPosition="0"/>
    </format>
    <format dxfId="801">
      <pivotArea dataOnly="0" labelOnly="1" fieldPosition="0">
        <references count="1">
          <reference field="0" count="0"/>
        </references>
      </pivotArea>
    </format>
    <format dxfId="800">
      <pivotArea dataOnly="0" labelOnly="1" grandRow="1" outline="0" fieldPosition="0"/>
    </format>
    <format dxfId="799">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12">
      <pivotArea outline="0" collapsedLevelsAreSubtotals="1" fieldPosition="0"/>
    </format>
    <format dxfId="811">
      <pivotArea outline="0" fieldPosition="0">
        <references count="1">
          <reference field="4294967294" count="1">
            <x v="0"/>
          </reference>
        </references>
      </pivotArea>
    </format>
    <format dxfId="810">
      <pivotArea type="all" dataOnly="0" outline="0" fieldPosition="0"/>
    </format>
    <format dxfId="809">
      <pivotArea outline="0" collapsedLevelsAreSubtotals="1" fieldPosition="0"/>
    </format>
    <format dxfId="808">
      <pivotArea field="5" type="button" dataOnly="0" labelOnly="1" outline="0" axis="axisRow" fieldPosition="0"/>
    </format>
    <format dxfId="807">
      <pivotArea dataOnly="0" labelOnly="1" fieldPosition="0">
        <references count="1">
          <reference field="5" count="3">
            <x v="2"/>
            <x v="3"/>
            <x v="4"/>
          </reference>
        </references>
      </pivotArea>
    </format>
    <format dxfId="806">
      <pivotArea dataOnly="0" labelOnly="1" grandRow="1" outline="0" fieldPosition="0"/>
    </format>
    <format dxfId="805">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0">
      <pivotArea outline="0" collapsedLevelsAreSubtotals="1" fieldPosition="0"/>
    </format>
    <format dxfId="819">
      <pivotArea outline="0" fieldPosition="0">
        <references count="1">
          <reference field="4294967294" count="1">
            <x v="0"/>
          </reference>
        </references>
      </pivotArea>
    </format>
    <format dxfId="818">
      <pivotArea type="all" dataOnly="0" outline="0" fieldPosition="0"/>
    </format>
    <format dxfId="817">
      <pivotArea outline="0" collapsedLevelsAreSubtotals="1" fieldPosition="0"/>
    </format>
    <format dxfId="816">
      <pivotArea field="0" type="button" dataOnly="0" labelOnly="1" outline="0" axis="axisRow" fieldPosition="0"/>
    </format>
    <format dxfId="815">
      <pivotArea dataOnly="0" labelOnly="1" fieldPosition="0">
        <references count="1">
          <reference field="0" count="0"/>
        </references>
      </pivotArea>
    </format>
    <format dxfId="814">
      <pivotArea dataOnly="0" labelOnly="1" grandRow="1" outline="0" fieldPosition="0"/>
    </format>
    <format dxfId="81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26">
      <pivotArea type="all" dataOnly="0" outline="0" fieldPosition="0"/>
    </format>
    <format dxfId="825">
      <pivotArea outline="0" collapsedLevelsAreSubtotals="1" fieldPosition="0"/>
    </format>
    <format dxfId="824">
      <pivotArea field="0" type="button" dataOnly="0" labelOnly="1" outline="0" axis="axisRow" fieldPosition="0"/>
    </format>
    <format dxfId="823">
      <pivotArea dataOnly="0" labelOnly="1" fieldPosition="0">
        <references count="1">
          <reference field="0" count="0"/>
        </references>
      </pivotArea>
    </format>
    <format dxfId="822">
      <pivotArea dataOnly="0" labelOnly="1" grandRow="1" outline="0" fieldPosition="0"/>
    </format>
    <format dxfId="821">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40">
      <pivotArea type="all" dataOnly="0" outline="0" fieldPosition="0"/>
    </format>
    <format dxfId="739">
      <pivotArea outline="0" collapsedLevelsAreSubtotals="1" fieldPosition="0"/>
    </format>
    <format dxfId="738">
      <pivotArea field="17" type="button" dataOnly="0" labelOnly="1" outline="0" axis="axisRow" fieldPosition="0"/>
    </format>
    <format dxfId="737">
      <pivotArea dataOnly="0" labelOnly="1" fieldPosition="0">
        <references count="1">
          <reference field="17" count="0"/>
        </references>
      </pivotArea>
    </format>
    <format dxfId="736">
      <pivotArea dataOnly="0" labelOnly="1" grandRow="1" outline="0" fieldPosition="0"/>
    </format>
    <format dxfId="735">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46">
      <pivotArea type="all" dataOnly="0" outline="0" fieldPosition="0"/>
    </format>
    <format dxfId="745">
      <pivotArea outline="0" collapsedLevelsAreSubtotals="1" fieldPosition="0"/>
    </format>
    <format dxfId="744">
      <pivotArea field="17" type="button" dataOnly="0" labelOnly="1" outline="0" axis="axisRow" fieldPosition="0"/>
    </format>
    <format dxfId="743">
      <pivotArea dataOnly="0" labelOnly="1" fieldPosition="0">
        <references count="1">
          <reference field="17" count="0"/>
        </references>
      </pivotArea>
    </format>
    <format dxfId="742">
      <pivotArea dataOnly="0" labelOnly="1" grandRow="1" outline="0" fieldPosition="0"/>
    </format>
    <format dxfId="741">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52">
      <pivotArea type="all" dataOnly="0" outline="0" fieldPosition="0"/>
    </format>
    <format dxfId="751">
      <pivotArea outline="0" collapsedLevelsAreSubtotals="1" fieldPosition="0"/>
    </format>
    <format dxfId="750">
      <pivotArea field="50" type="button" dataOnly="0" labelOnly="1" outline="0" axis="axisRow" fieldPosition="0"/>
    </format>
    <format dxfId="749">
      <pivotArea dataOnly="0" labelOnly="1" fieldPosition="0">
        <references count="1">
          <reference field="50" count="3">
            <x v="3"/>
            <x v="4"/>
            <x v="5"/>
          </reference>
        </references>
      </pivotArea>
    </format>
    <format dxfId="748">
      <pivotArea dataOnly="0" labelOnly="1" grandRow="1" outline="0" fieldPosition="0"/>
    </format>
    <format dxfId="747">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8">
      <pivotArea type="all" dataOnly="0" outline="0" fieldPosition="0"/>
    </format>
    <format dxfId="757">
      <pivotArea outline="0" collapsedLevelsAreSubtotals="1" fieldPosition="0"/>
    </format>
    <format dxfId="756">
      <pivotArea field="2" type="button" dataOnly="0" labelOnly="1" outline="0" axis="axisRow" fieldPosition="0"/>
    </format>
    <format dxfId="755">
      <pivotArea dataOnly="0" labelOnly="1" fieldPosition="0">
        <references count="1">
          <reference field="2" count="3">
            <x v="1"/>
            <x v="2"/>
            <x v="3"/>
          </reference>
        </references>
      </pivotArea>
    </format>
    <format dxfId="754">
      <pivotArea dataOnly="0" labelOnly="1" grandRow="1" outline="0" fieldPosition="0"/>
    </format>
    <format dxfId="753">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22">
      <pivotArea outline="0" collapsedLevelsAreSubtotals="1" fieldPosition="0"/>
    </format>
    <format dxfId="721">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8"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09" dataDxfId="2108">
  <autoFilter ref="BI2:BI33" xr:uid="{FCABCB06-E76D-4ABB-A881-ABFB02322D7F}"/>
  <tableColumns count="1">
    <tableColumn id="1" xr3:uid="{D8BF13A4-3A12-4036-9917-AB6128C1D5F8}" name="Ngày" dataDxfId="2107"/>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06" dataDxfId="2105">
  <autoFilter ref="BK2:BK3" xr:uid="{F030FBF0-4D34-4EF7-97B9-188D44049DC2}"/>
  <tableColumns count="1">
    <tableColumn id="1" xr3:uid="{E3C6024A-8868-4504-AE1E-10D6FFA8BE7D}" name="Kỳ" dataDxfId="2104"/>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103" dataDxfId="2102">
  <autoFilter ref="CO4:CS6" xr:uid="{BA39F5F3-F5AA-404A-A7CD-16C79C9DEDE4}"/>
  <tableColumns count="5">
    <tableColumn id="1" xr3:uid="{2B2CA254-1972-463F-AC1F-79640FD3FEBC}" name="Năm" dataDxfId="2101"/>
    <tableColumn id="2" xr3:uid="{AB2F707D-FA25-4ABB-94CC-0B37FF8E4A20}" name="Giá trị gốc" dataDxfId="2100">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099">
      <calculatedColumnFormula array="1"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calculatedColumnFormula>
    </tableColumn>
    <tableColumn id="4" xr3:uid="{4949AB23-B1EF-4C05-ADC2-B754FDD4B8F7}" name="Format" dataDxfId="2098">
      <calculatedColumnFormula>IFERROR(TEXT(Dashboard_GiaTriNam[[#This Row],[Giá trị đạt]],LOOKUP(Dashboard_GiaTriNam[[#This Row],[Giá trị đạt]],Pivot!$B$6:$B$12,Pivot!$C$6:$C$12)),"")</calculatedColumnFormula>
    </tableColumn>
    <tableColumn id="5" xr3:uid="{1DD8ABD5-C72F-4CFD-BFFA-BEDC4F4C954B}" name="Hiệu quả" dataDxfId="2097">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B6" totalsRowShown="0" headerRowDxfId="2096" dataDxfId="2095">
  <autoFilter ref="B5:BB6" xr:uid="{BAEBA6B2-288F-49A9-BEF9-8278EDB11DBD}"/>
  <tableColumns count="53">
    <tableColumn id="1" xr3:uid="{FD8ED7B4-F071-45F0-BEE1-F25B013177D2}" name="Kỳ" dataDxfId="2094">
      <calculatedColumnFormula>DATE(Table_Datafeed[[#This Row],[Năm]],Table_Datafeed[[#This Row],[Tháng]],1)</calculatedColumnFormula>
    </tableColumn>
    <tableColumn id="2" xr3:uid="{E9A2CF43-BA4B-4887-B726-EFB6AE39C4B5}" name="Năm" dataDxfId="2093"/>
    <tableColumn id="3" xr3:uid="{2DA1D101-98A7-4341-BAC4-4301BE3B4776}" name="Tháng" dataDxfId="2092"/>
    <tableColumn id="4" xr3:uid="{0641FC0C-01EB-4185-9062-F4AF4EF93644}" name="Sản lượng" dataDxfId="2091">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0">
      <calculatedColumnFormula>-Table_Datafeed[[#This Row],[Chi phí cố định]]/(Table_Datafeed[[#This Row],[Lợi nhuận biến đổi]]/Table_Datafeed[[#This Row],[Sản lượng]])</calculatedColumnFormula>
    </tableColumn>
    <tableColumn id="6" xr3:uid="{6AAF5E7D-0221-4C25-814E-E4C46F4BFA4D}" name="Tỷ lệ hòa vốn" dataDxfId="2089">
      <calculatedColumnFormula>Table_Datafeed[[#This Row],[Sản lượng]]/Table_Datafeed[[#This Row],[Điểm hòa vốn]]-1</calculatedColumnFormula>
    </tableColumn>
    <tableColumn id="7" xr3:uid="{2395E714-F676-4D5E-A096-2A17554BF36E}" name="Doanh thu" dataDxfId="2088">
      <calculatedColumnFormula array="1" xml:space="preserve">
+IFERROR(SUM(
_xlfn._xlws.FILTER(Table_DonBan[Doanh thu ròng],
(ISBLANK(Table_DonBan[Phân bổ từ]))*
(ISBLANK(Table_DonBan[Phân bổ đến]))*
(Table_Main[Ngày lên đơn] &gt;= Table_Datafeed[[#This Row],[Kỳ]])*
(Table_Main[Ngày lên đơn] &lt; DATE(Table_Datafeed[[#This Row],[Năm]],Table_Datafeed[[#This Row],[Tháng]]+1, 1))
)),0)
+IFERROR(SUMPRODUCT(
_xlfn._xlws.FILTER(Table_DonBan[Doanh thu ròng],
(NOT(ISBLANK(Table_DonBan[Phân bổ từ])))*
(NOT(ISBLANK(Table_DonBan[Phân bổ đến])))*
(Table_DonBan[Phân bổ từ]&lt;DATE(Table_Datafeed[[#This Row],[Năm]],Table_Datafeed[[#This Row],[Tháng]]+1, 1))*
(Table_DonBan[Phân bổ đến]&gt;=Table_Datafeed[[#This Row],[Kỳ]])
),
_xlfn._xlws.FILTER(
ROUND((DATE(Table_Datafeed[[#This Row],[Năm]],Table_Datafeed[[#This Row],[Tháng]]+1, 1)- 1 - Table_DonBan[Phân bổ từ]) / (362.25 / 12 ), 0),
(NOT(ISBLANK(Table_DonBan[Phân bổ từ])))*
(NOT(ISBLANK(Table_DonBan[Phân bổ đến])))*
(Table_DonBan[Phân bổ từ]&lt;DATE(Table_Datafeed[[#This Row],[Năm]],Table_Datafeed[[#This Row],[Tháng]]+1, 1))*
(Table_DonBan[Phân bổ đến]&gt;=Table_Datafeed[[#This Row],[Kỳ]])
),
_xlfn._xlws.FILTER(
1/ROUND((Table_DonBan[Phân bổ đến] - Table_DonBan[Phân bổ từ]) / (362.25 / 12 ),0),
(NOT(ISBLANK(Table_DonBan[Phân bổ từ])))*
(NOT(ISBLANK(Table_DonBan[Phân bổ đến])))*
(Table_DonBan[Phân bổ từ]&lt;DATE(Table_Datafeed[[#This Row],[Năm]],Table_Datafeed[[#This Row],[Tháng]]+1, 1))*
(Table_DonBan[Phân bổ đến]&gt;=Table_Datafeed[[#This Row],[Kỳ]])
)),0)</calculatedColumnFormula>
    </tableColumn>
    <tableColumn id="8" xr3:uid="{5596F896-3038-4E7B-9288-73FA2227ED66}" name="Biên lãi gộp" dataDxfId="2087">
      <calculatedColumnFormula>(Table_Datafeed[[#This Row],[Doanh thu]]+Table_Datafeed[[#This Row],[Chi phí biến đổi]])/Table_Datafeed[[#This Row],[Doanh thu]]</calculatedColumnFormula>
    </tableColumn>
    <tableColumn id="9" xr3:uid="{EBB47544-D455-4DD2-AF63-F1351FBE6D82}" name="Chi phí biến đổi" dataDxfId="2086">
      <calculatedColumnFormula>SUM(Table_Datafeed[[#This Row],[CP nguyên liệu]:[CP vận chuyển]])</calculatedColumnFormula>
    </tableColumn>
    <tableColumn id="11" xr3:uid="{9729C4DC-21DC-4D34-AC53-2BB99DB56E1A}" name="CP nguyên liệu" dataDxfId="2085">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4">
      <calculatedColumnFormula array="1">-
IFERROR(
SUM(
_xlfn._xlws.FILTER(Table_ChiPhiKD[Phân bổ sản xuất],
(Table_ChiPhiKD[Kỳ] = Table_Datafeed[[#This Row],[Kỳ]]) *
(NOT(ISBLANK(Table_ChiPhiKD[Tháng])))*
(VLOOKUP(Table_ChiPhiKD[Nhóm chi phí],Table_ChiPhiKD_PhanNhom[],Sheet_ChiPhiKD!$J$2,0) = "Chưa phân bổ" )
)),0)
- IFERROR(SUMPRODUCT(
_xlfn._xlws.FILTER(Table_ChiPhiKD[Phân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calculatedColumnFormula>
    </tableColumn>
    <tableColumn id="13" xr3:uid="{02813682-815F-4019-9F5F-48235030214D}" name="CP hoa hồng" dataDxfId="2083">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2">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1">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0">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79">
      <calculatedColumnFormula>+Table_Datafeed[[#This Row],[Doanh thu]]+Table_Datafeed[[#This Row],[Chi phí biến đổi]]</calculatedColumnFormula>
    </tableColumn>
    <tableColumn id="19" xr3:uid="{EA7590FA-F01E-432E-A8A9-1D63BC7943B0}" name="Đòn bẩy hoạt động" dataDxfId="2078">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77">
      <calculatedColumnFormula>SUM(Table_Datafeed[[#This Row],[CP nhân sự]:[CP khác]])</calculatedColumnFormula>
    </tableColumn>
    <tableColumn id="21" xr3:uid="{EE9318AF-255F-4579-B13E-250E155C38E3}" name="CP nhân sự" dataDxfId="2076">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5">
      <calculatedColumnFormula array="1">-IFERROR(
SUM(_xlfn._xlws.FILTER(Table_TonKho[Chi phí ghi nhận],
(Table_TonKho[Kỳ] = Table_Datafeed[[#This Row],[Kỳ]]) *
(Table_TonKho[Chức năng] = "Văn phòng")
)),0)
-IFERROR(
SUM(
_xlfn._xlws.FILTER(Table_ChiPhiKD[Giá trị]-Table_ChiPhiKD[Phân bổ sản xuất],
(Table_ChiPhiKD[Kỳ] = Table_Datafeed[[#This Row],[Kỳ]])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calculatedColumnFormula>
    </tableColumn>
    <tableColumn id="23" xr3:uid="{62B65E09-992C-411F-B6B9-50EFEE7A3975}" name="CP vận hành kênh" dataDxfId="2074">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3">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2">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1">
      <calculatedColumnFormula array="1">-IFERROR(SUM(_xlfn._xlws.FILTER(Table_TSCD_KhauHao[Khấu hao],
(Table_TSCD_KhauHao[Kỳ] = Table_Datafeed[[#This Row],[Kỳ]]))),0)</calculatedColumnFormula>
    </tableColumn>
    <tableColumn id="27" xr3:uid="{422E3EF5-602E-4FB0-B5C7-B7930FB398B8}" name="CP lãi vay" dataDxfId="2070">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69">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68">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67">
      <calculatedColumnFormula>+Table_Datafeed[[#This Row],[Lợi nhuận biến đổi]]+Table_Datafeed[[#This Row],[Chi phí cố định]]</calculatedColumnFormula>
    </tableColumn>
    <tableColumn id="31" xr3:uid="{FB241A19-96CD-4E04-9DA9-E059525EA09C}" name="Hiệu quả lợi nhuận" dataDxfId="2066">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5">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4">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3">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2">
      <calculatedColumnFormula>(Table_Datafeed[[#This Row],[Doanh thu]]-Table_Datafeed[[#This Row],[Tiền bán hàng]])/Table_Datafeed[[#This Row],[Doanh thu]]</calculatedColumnFormula>
    </tableColumn>
    <tableColumn id="35" xr3:uid="{3945CA98-6BD9-4A7E-A831-EE792C7E1311}" name="Tiền chi kinh doanh" dataDxfId="2061">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0">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59">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58">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57">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6">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5">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4">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3">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2">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1">
      <calculatedColumnFormula>+Table_Datafeed[[#This Row],[Dòng tiền kinh doanh]]+Table_Datafeed[[#This Row],[Tiền trả gốc &amp; lãi]]</calculatedColumnFormula>
    </tableColumn>
    <tableColumn id="46" xr3:uid="{4207F6E5-B11E-4B5E-B672-017A94756225}" name="Hiệu quả dòng tiền kinh doanh" dataDxfId="2050">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49">
      <calculatedColumnFormula array="1">Sheet_BaoCaoTaiChinh!$D$74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48">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47">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6">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5">
      <calculatedColumnFormula array="1" xml:space="preserve">
(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(Sheet_BaoCaoTaiChinh!$D$113+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4">
      <calculatedColumnFormula>+Table_Datafeed[[#This Row],[Số dư tiền mặt vận hành]]+
+SUM(Table_Datafeed[[#This Row],[Tiền lời đầu tư]:[Huy động vốn góp]])</calculatedColumnFormula>
    </tableColumn>
    <tableColumn id="53" xr3:uid="{5D5C330E-CA2B-4D92-A0B6-79774FE8FBEC}" name="Trả cổ tức" dataDxfId="2043">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2">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1" dataDxfId="2040">
  <autoFilter ref="AR7:AV14" xr:uid="{36BBD135-DAA2-48A2-99CC-C482F4C12060}"/>
  <tableColumns count="5">
    <tableColumn id="1" xr3:uid="{FC5BBDC0-CFF2-40B0-B4B0-961E16F0FBE9}" name="Khách hàng" dataDxfId="2039"/>
    <tableColumn id="2" xr3:uid="{93CD08C4-DED5-48C4-9634-176A29C072EE}" name="Doanh thu" dataDxfId="2038">
      <calculatedColumnFormula>VLOOKUP(Dashboard_ThiTruong_KhachHang[[#This Row],[Khách hàng]],_xlfn.ANCHORARRAY($BO$31):_xlfn.ANCHORARRAY($BV$31),8,0)</calculatedColumnFormula>
    </tableColumn>
    <tableColumn id="3" xr3:uid="{EB73406B-1D74-4E47-9074-58C8F4833142}" name="Doanh thu / ngày" dataDxfId="2037">
      <calculatedColumnFormula>VLOOKUP(Dashboard_ThiTruong_KhachHang[[#This Row],[Khách hàng]],_xlfn.ANCHORARRAY($BO$31):_xlfn.ANCHORARRAY($BZ$31),12,0)</calculatedColumnFormula>
    </tableColumn>
    <tableColumn id="4" xr3:uid="{DA459717-422A-4B47-8E93-7DA52DF867B5}" name="Số ngày chưa mua" dataDxfId="2036">
      <calculatedColumnFormula>VLOOKUP(Dashboard_ThiTruong_KhachHang[[#This Row],[Khách hàng]],_xlfn.ANCHORARRAY($BO$31):_xlfn.ANCHORARRAY($CB$31),14,0)</calculatedColumnFormula>
    </tableColumn>
    <tableColumn id="5" xr3:uid="{B422CFDB-D178-4B09-84E6-7649EF566A27}" name="Nhóm khách" dataDxfId="2035">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4" dataDxfId="2033">
  <autoFilter ref="AY7:BC9" xr:uid="{FB440F6A-EEE4-49BF-9775-007470767C65}"/>
  <tableColumns count="5">
    <tableColumn id="1" xr3:uid="{20D32DBA-262A-4148-9BA5-9841285D26F8}" name="Phân khúc" dataDxfId="2032"/>
    <tableColumn id="2" xr3:uid="{024CA038-6F0E-4D5E-B596-4358E7B947CA}" name="Giá trị" dataDxfId="2031">
      <calculatedColumnFormula>VLOOKUP(Dashboard_ThiTruong_PhanKhuc[[#This Row],[Phân khúc]],CJ:CK,2,0)</calculatedColumnFormula>
    </tableColumn>
    <tableColumn id="3" xr3:uid="{F68BE591-9FB2-48C6-A949-2F2B91C6813C}" name="Tỷ lệ" dataDxfId="2030">
      <calculatedColumnFormula>VLOOKUP(Dashboard_ThiTruong_PhanKhuc[[#This Row],[Phân khúc]],CJ:CM,4,0)</calculatedColumnFormula>
    </tableColumn>
    <tableColumn id="4" xr3:uid="{20749695-AF08-4320-9479-96401DA1E585}" name="Tăng trưởng" dataDxfId="2029">
      <calculatedColumnFormula>VLOOKUP(Dashboard_ThiTruong_PhanKhuc[[#This Row],[Phân khúc]],CJ:CO,6,0)</calculatedColumnFormula>
    </tableColumn>
    <tableColumn id="5" xr3:uid="{BFCD7BF7-ADB6-469E-8C6E-4952394F6441}" name="Vượt TB" dataDxfId="2028">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27" dataDxfId="2026">
  <autoFilter ref="BF7:BG14" xr:uid="{F24DE4CE-2BDB-402B-A4D9-D74394A56CA2}"/>
  <tableColumns count="2">
    <tableColumn id="1" xr3:uid="{2C49FBFF-3A20-4D1C-A5A7-F514B51CB0B9}" name="Tỉnh" dataDxfId="2025" dataCellStyle="Percent"/>
    <tableColumn id="2" xr3:uid="{8FDB34DF-8393-46E4-ABF4-B6305ACAAAD6}" name="Giá trị tổng" dataDxfId="2024">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3" dataDxfId="2022">
  <autoFilter ref="BJ7:BL10" xr:uid="{8EE233C6-2A42-4B91-8973-74E3A35A71D1}"/>
  <tableColumns count="3">
    <tableColumn id="1" xr3:uid="{6FFD339B-4956-48CB-B3A0-7B8D0886D91C}" name="Nhóm" dataDxfId="2021" dataCellStyle="Percent"/>
    <tableColumn id="2" xr3:uid="{39CF6C88-44BE-43C6-808F-D00BDFBDDBFA}" name="Giá trị" dataDxfId="2020">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19">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18" dataDxfId="2017">
  <autoFilter ref="AR7:AV10" xr:uid="{36BBD135-DAA2-48A2-99CC-C482F4C12060}"/>
  <tableColumns count="5">
    <tableColumn id="1" xr3:uid="{2839A81E-3678-4D30-B050-74594E3386CF}" name="SKU" dataDxfId="2016"/>
    <tableColumn id="2" xr3:uid="{013F09F9-44F1-4B64-8268-3FEEFB073505}" name="Doanh thu" dataDxfId="2015">
      <calculatedColumnFormula>VLOOKUP(Dashboard_SanPham_SKU[[#This Row],[SKU]],_xlfn.ANCHORARRAY($BN$31):_xlfn.ANCHORARRAY($BS$31),6,0)</calculatedColumnFormula>
    </tableColumn>
    <tableColumn id="3" xr3:uid="{66EF6EB3-57D3-4620-9EFD-C456A801A67C}" name="Doanh thu / ngày" dataDxfId="2014">
      <calculatedColumnFormula>VLOOKUP(Dashboard_SanPham_SKU[[#This Row],[SKU]],_xlfn.ANCHORARRAY($BN$31):_xlfn.ANCHORARRAY($BV$31),9,0)</calculatedColumnFormula>
    </tableColumn>
    <tableColumn id="4" xr3:uid="{BCDAF0EC-9CDF-4108-9011-05111BF7A1A4}" name="Số ngày chưa mua" dataDxfId="2013">
      <calculatedColumnFormula>VLOOKUP(Dashboard_SanPham_SKU[[#This Row],[SKU]],_xlfn.ANCHORARRAY($BN$31):_xlfn.ANCHORARRAY($BX$31),11,0)</calculatedColumnFormula>
    </tableColumn>
    <tableColumn id="5" xr3:uid="{112F85F1-1601-4439-9E49-0A41EB27DCEF}" name="Nhóm khách" dataDxfId="2012">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1" dataDxfId="2010">
  <autoFilter ref="AY7:BC10" xr:uid="{FB440F6A-EEE4-49BF-9775-007470767C65}"/>
  <tableColumns count="5">
    <tableColumn id="1" xr3:uid="{54987609-E015-4F8A-8705-E7362082B0AC}" name="Phân khúc" dataDxfId="2009"/>
    <tableColumn id="2" xr3:uid="{A46D8873-0CC1-4523-969E-C6412BF1DC75}" name="Giá trị" dataDxfId="2008">
      <calculatedColumnFormula>VLOOKUP(Dashboard_SanPham_Nhom[[#This Row],[Phân khúc]],_xlfn.ANCHORARRAY($CC$31):_xlfn.ANCHORARRAY($CD$31),2,0)</calculatedColumnFormula>
    </tableColumn>
    <tableColumn id="3" xr3:uid="{EDF080E1-16F4-47D4-9261-82A34D69850B}" name="Tỷ lệ" dataDxfId="2007">
      <calculatedColumnFormula>VLOOKUP(Dashboard_SanPham_Nhom[[#This Row],[Phân khúc]],_xlfn.ANCHORARRAY($CC$31):_xlfn.ANCHORARRAY($CF$31),4,0)</calculatedColumnFormula>
    </tableColumn>
    <tableColumn id="4" xr3:uid="{078182C3-BE75-4B2C-B027-8A2671D370AC}" name="Tăng trưởng" dataDxfId="2006">
      <calculatedColumnFormula>VLOOKUP(Dashboard_SanPham_Nhom[[#This Row],[Phân khúc]],_xlfn.ANCHORARRAY($CC$31):_xlfn.ANCHORARRAY($CH$31),6,0)</calculatedColumnFormula>
    </tableColumn>
    <tableColumn id="5" xr3:uid="{45FEA94E-0A31-41AB-9067-DDEF672F91FD}" name="Vượt TB" dataDxfId="2005">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4" dataDxfId="2003">
  <autoFilter ref="BF7:BG14" xr:uid="{F24DE4CE-2BDB-402B-A4D9-D74394A56CA2}"/>
  <tableColumns count="2">
    <tableColumn id="1" xr3:uid="{28FCE4F9-C924-40C0-85DA-BDE44C3CD7AA}" name="Tỉnh" dataDxfId="2002"/>
    <tableColumn id="2" xr3:uid="{6B8C8115-7638-4338-88DB-6BF2A168FB86}" name="Giá trị tổng" dataDxfId="2001">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0" dataDxfId="1999">
  <autoFilter ref="BJ7:BL9" xr:uid="{265EC072-CE70-4CEB-AB95-42357F07755C}"/>
  <tableColumns count="3">
    <tableColumn id="1" xr3:uid="{28C519B2-52DB-4C07-B549-8BBA4AF7F476}" name="Phân khúc" dataDxfId="1998"/>
    <tableColumn id="2" xr3:uid="{210EA312-5AC9-4860-BC61-F2EF7A60E09D}" name="Giá trị" dataDxfId="1997">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6">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5" dataDxfId="1994">
  <autoFilter ref="AP4:AV10" xr:uid="{7EF92B3D-4805-404A-AF6C-53B7308A26AA}"/>
  <tableColumns count="7">
    <tableColumn id="1" xr3:uid="{6436136F-98BF-4810-8D6E-F2D0B860C734}" name="Mã kênh" dataDxfId="1993"/>
    <tableColumn id="2" xr3:uid="{51ACC555-ED96-4FE3-A6B8-77BAB890DAED}" name="Doanh thu" dataDxfId="1992">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1">
      <calculatedColumnFormula>IFERROR(VLOOKUP(Dashboard_KPI_Kenh[[#This Row],[Mã kênh]],_xlfn.ANCHORARRAY($CD$5):_xlfn.ANCHORARRAY($CH$5),5,0),0)</calculatedColumnFormula>
    </tableColumn>
    <tableColumn id="4" xr3:uid="{C7C60840-3138-4B42-9BC8-BE5D8DADD1C5}" name="Doanh thu / tỷ lệ" dataDxfId="1990">
      <calculatedColumnFormula>IFERROR(VLOOKUP(Dashboard_KPI_Kenh[[#This Row],[Mã kênh]],_xlfn.ANCHORARRAY($CD$5):_xlfn.ANCHORARRAY($CI$5),6,0),0)</calculatedColumnFormula>
    </tableColumn>
    <tableColumn id="5" xr3:uid="{11A9A5B1-A512-4256-B4E2-A4C63A426936}" name="KPI" dataDxfId="1989">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88">
      <calculatedColumnFormula>IFERROR(Dashboard_KPI_Kenh[[#This Row],[Doanh thu]]/Dashboard_KPI_Kenh[[#This Row],[KPI]],"")</calculatedColumnFormula>
    </tableColumn>
    <tableColumn id="7" xr3:uid="{63C5CC16-6B27-4B81-A093-37B969B017C6}" name="Đạt KPI" dataDxfId="1987">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6" dataDxfId="1985">
  <autoFilter ref="AY4:BE9" xr:uid="{509EC850-09C3-4E1A-96B6-6A3E61B6DFF6}"/>
  <tableColumns count="7">
    <tableColumn id="1" xr3:uid="{E76CF702-F090-45B6-8F64-39627BF64F34}" name="Mã NV" dataDxfId="1984"/>
    <tableColumn id="2" xr3:uid="{7C83196F-9E99-4A71-9BD0-E6BCF83CB713}" name="Doanh thu" dataDxfId="1983">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2">
      <calculatedColumnFormula>IFERROR(VLOOKUP(Dashboard_KPI_NhanVien[[#This Row],[Mã NV]],_xlfn.ANCHORARRAY($CL$5):_xlfn.ANCHORARRAY($CP$5),5,0),0)</calculatedColumnFormula>
    </tableColumn>
    <tableColumn id="4" xr3:uid="{39A52C50-B42D-4C5C-BE5B-FA5FA9A16A3D}" name="Doanh thu / tỷ lệ" dataDxfId="1981">
      <calculatedColumnFormula>IFERROR(VLOOKUP(Dashboard_KPI_NhanVien[[#This Row],[Mã NV]],_xlfn.ANCHORARRAY($CL$5):_xlfn.ANCHORARRAY($CQ$5),6,0),0)</calculatedColumnFormula>
    </tableColumn>
    <tableColumn id="5" xr3:uid="{DA8E4220-8158-4BD1-82CE-A7F238A31A95}" name="KPI" dataDxfId="1980">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79">
      <calculatedColumnFormula>IFERROR(Dashboard_KPI_NhanVien[[#This Row],[Doanh thu]]/Dashboard_KPI_NhanVien[[#This Row],[KPI]],"")</calculatedColumnFormula>
    </tableColumn>
    <tableColumn id="7" xr3:uid="{4DD66838-23F4-43AE-A1A6-CBED87B84FF6}" name="Đạt KPI" dataDxfId="1978">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77" dataDxfId="1976">
  <autoFilter ref="BH4:BJ6" xr:uid="{9D9E506A-DC0D-4DE9-BF99-A6727265051F}"/>
  <tableColumns count="3">
    <tableColumn id="1" xr3:uid="{E74E1FE3-FDEF-4B0C-86E2-E12D87C9487E}" name="Phân khúc" dataDxfId="1975"/>
    <tableColumn id="2" xr3:uid="{CFD1BF36-F37F-44C6-A79C-E7CEA67B5223}" name="Tỷ lệ Kênh" dataDxfId="1974">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3">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2" dataDxfId="1971">
  <autoFilter ref="BM4:BO7" xr:uid="{F2603CB4-9CE6-453C-924D-95ABE1214791}"/>
  <tableColumns count="3">
    <tableColumn id="1" xr3:uid="{B258295B-3240-4E04-B819-B4AE54BD2541}" name="Phân nhóm" dataDxfId="1970"/>
    <tableColumn id="2" xr3:uid="{7721E708-F3E7-4B36-8E93-E8F6D2E758AB}" name="Tỷ lệ NV" dataDxfId="1969">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68">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67" dataDxfId="1966">
  <autoFilter ref="AM5:AV9" xr:uid="{15565D60-6118-4C37-A7DF-0AF81AE48398}"/>
  <tableColumns count="10">
    <tableColumn id="1" xr3:uid="{A820E8DB-EDB7-424E-AA8D-7EEE7633F0E4}" name="Chương trình" dataDxfId="1965"/>
    <tableColumn id="2" xr3:uid="{FE7A7A82-196E-441A-8056-E6A1B3044E04}" name="Dthu" dataDxfId="1964">
      <calculatedColumnFormula>VLOOKUP(Dashboard_Ctr_Ctr[[#This Row],[Chương trình]],_xlfn.ANCHORARRAY($BH$25):_xlfn.ANCHORARRAY($BL$25),5,0)</calculatedColumnFormula>
    </tableColumn>
    <tableColumn id="3" xr3:uid="{052BD364-3308-438B-B0F3-7D2E28AFA2AB}" name="Tăng DT" dataDxfId="1963">
      <calculatedColumnFormula>VLOOKUP(Dashboard_Ctr_Ctr[[#This Row],[Chương trình]],_xlfn.ANCHORARRAY($BH$25):_xlfn.ANCHORARRAY($BX$25),17,0)</calculatedColumnFormula>
    </tableColumn>
    <tableColumn id="4" xr3:uid="{2E247858-F896-432F-A010-6875C5A3A5F9}" name="HQ Dthu" dataDxfId="1962">
      <calculatedColumnFormula>VLOOKUP(Dashboard_Ctr_Ctr[[#This Row],[Chương trình]],_xlfn.ANCHORARRAY($BH$25):_xlfn.ANCHORARRAY($BZ$25),19,0)</calculatedColumnFormula>
    </tableColumn>
    <tableColumn id="5" xr3:uid="{81B762CF-66DE-4703-B65C-A67769863726}" name="Khách mới" dataDxfId="1961">
      <calculatedColumnFormula>VLOOKUP(Dashboard_Ctr_Ctr[[#This Row],[Chương trình]],_xlfn.ANCHORARRAY($BH$25):_xlfn.ANCHORARRAY($BI$25),2,0)</calculatedColumnFormula>
    </tableColumn>
    <tableColumn id="6" xr3:uid="{131D7EFD-240C-4EFE-AC0D-61AB2E916EA0}" name="HQ khách mới" dataDxfId="1960">
      <calculatedColumnFormula>VLOOKUP(Dashboard_Ctr_Ctr[[#This Row],[Chương trình]],_xlfn.ANCHORARRAY($BH$25):_xlfn.ANCHORARRAY($BW$25),16,0)</calculatedColumnFormula>
    </tableColumn>
    <tableColumn id="7" xr3:uid="{29EE600E-6C76-49F2-95D1-C3967391D426}" name="Tăng TS Đơn" dataDxfId="1959">
      <calculatedColumnFormula>VLOOKUP(Dashboard_Ctr_Ctr[[#This Row],[Chương trình]],_xlfn.ANCHORARRAY($BH$25):_xlfn.ANCHORARRAY($CA$25),20,0)</calculatedColumnFormula>
    </tableColumn>
    <tableColumn id="8" xr3:uid="{73D8814E-2098-4228-ABE6-2EA69BF59588}" name="HQ Đơn" dataDxfId="1958">
      <calculatedColumnFormula>VLOOKUP(Dashboard_Ctr_Ctr[[#This Row],[Chương trình]],_xlfn.ANCHORARRAY($BH$25):_xlfn.ANCHORARRAY($CB$25),21,0)</calculatedColumnFormula>
    </tableColumn>
    <tableColumn id="9" xr3:uid="{93933BA8-267D-4E3D-B6BB-0801477E4F20}" name="Tăng TS SKU" dataDxfId="1957">
      <calculatedColumnFormula>VLOOKUP(Dashboard_Ctr_Ctr[[#This Row],[Chương trình]],_xlfn.ANCHORARRAY($BH$25):_xlfn.ANCHORARRAY($CC$25),22,0)</calculatedColumnFormula>
    </tableColumn>
    <tableColumn id="10" xr3:uid="{C926ABF7-22EE-4F16-AC71-EF37EAC60314}" name="HQ SKU" dataDxfId="1956">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5" dataDxfId="1954">
  <autoFilter ref="AY5:BA12" xr:uid="{1CB9D148-4698-4385-8DD3-482072853730}"/>
  <tableColumns count="3">
    <tableColumn id="1" xr3:uid="{8E48EF81-9B6D-46D3-8B0F-1DE07507681F}" name="Khách" dataDxfId="1953"/>
    <tableColumn id="2" xr3:uid="{9C6E774F-1A80-48EE-A0C0-232764C66C1C}" name="Giá trị" dataDxfId="1952">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1">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0" dataDxfId="1949">
  <autoFilter ref="BD5:BF8" xr:uid="{16F12A0E-ED7C-459C-BC66-ED2465A5F374}"/>
  <tableColumns count="3">
    <tableColumn id="1" xr3:uid="{DCD71675-FF16-40CF-B500-B8E70688B072}" name="SKU" dataDxfId="1948"/>
    <tableColumn id="2" xr3:uid="{A12AE408-6E8B-4FC4-84DC-1DA1A9C8DD90}" name="Giá trị" dataDxfId="1947">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6">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6" totalsRowShown="0" headerRowDxfId="1885" dataDxfId="1884">
  <autoFilter ref="B6:P46" xr:uid="{822B9D44-8197-4B45-BA58-5B50DB6A72B5}"/>
  <tableColumns count="15">
    <tableColumn id="1" xr3:uid="{656412B0-12BB-4819-9C73-49C79DEB4E6A}" name="Gtri" dataDxfId="1883"/>
    <tableColumn id="4" xr3:uid="{09162BA7-3630-4B4C-95DE-4A93C54903A8}" name="Năm" dataDxfId="1882"/>
    <tableColumn id="2" xr3:uid="{FB83258E-0BE8-455A-9DCB-4F9C3FA390D0}" name="Tháng 1" dataDxfId="1881"/>
    <tableColumn id="3" xr3:uid="{641B1B86-10DE-4F0C-A502-11DEA59DF958}" name="Tháng 2" dataDxfId="1880"/>
    <tableColumn id="5" xr3:uid="{754DA001-F6FD-443E-A174-CD7E0B1F5D17}" name="Tháng 3" dataDxfId="1879"/>
    <tableColumn id="6" xr3:uid="{6FA9767F-3C52-4564-9992-686AC7EBEB3E}" name="Tháng 4" dataDxfId="1878"/>
    <tableColumn id="7" xr3:uid="{F6BD0B78-CBC0-4377-A58A-555958C799E1}" name="Tháng 5" dataDxfId="1877"/>
    <tableColumn id="8" xr3:uid="{75E88C8C-617B-475C-B72F-31798F0DD844}" name="Tháng 6" dataDxfId="1876"/>
    <tableColumn id="9" xr3:uid="{20F2A264-1A70-4F0C-8BB9-D0162B0123E8}" name="Tháng 7" dataDxfId="1875"/>
    <tableColumn id="10" xr3:uid="{9E5110B6-B694-4D70-8064-B95CECFFF716}" name="Tháng 8" dataDxfId="1874"/>
    <tableColumn id="11" xr3:uid="{B3CA4AC5-536E-4D62-A03D-6901B8958F54}" name="Tháng 9" dataDxfId="1873"/>
    <tableColumn id="12" xr3:uid="{51C600F4-235F-4505-A24C-F4DF37840B37}" name="Tháng 10" dataDxfId="1872"/>
    <tableColumn id="13" xr3:uid="{2DFC94EE-8346-42BC-ADC0-510190C07656}" name="Tháng 11" dataDxfId="1871"/>
    <tableColumn id="14" xr3:uid="{28C613C3-C209-4F7A-82BF-B2F301134772}" name="Tháng 12" dataDxfId="1870"/>
    <tableColumn id="15" xr3:uid="{C1064C40-D3C2-4250-A7A0-F40BA9B57993}" name="Add" dataDxfId="1869"/>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3:P55" totalsRowCount="1" headerRowDxfId="1868" dataDxfId="1867" totalsRowDxfId="1866">
  <autoFilter ref="B53:P54" xr:uid="{D31941DA-BE1B-4021-9B31-FDF3E083BB86}"/>
  <tableColumns count="15">
    <tableColumn id="1" xr3:uid="{82FAE5A8-DBFB-4E79-822D-469B63D66705}" name="Kế hoạch sản lượng" totalsRowLabel="Tổng" dataDxfId="1865" totalsRowDxfId="1864"/>
    <tableColumn id="4" xr3:uid="{6B311055-99D3-4F69-B4DB-48A1AB894484}" name="Tham chiếu" totalsRowFunction="custom" dataDxfId="1863" totalsRowDxfId="1862" dataCellStyle="Comma" totalsRowCellStyle="Comma">
      <calculatedColumnFormula array="1" xml:space="preserve">
(+IFERROR(SUM(
_xlfn._xlws.FILTER(Table_Main[Số lượng],
(Table_Main[Mã SKU] = $B54) *
NOT(ISBLANK(Table_Main[Đơn bán]))*
(Table_Main[Loại] = "Xuất")*
(Table_Main[Ngày lên đơn] &gt;= BCQT_BatDau)*
(Table_Main[Ngày lên đơn] &lt; BCQT_KetThuc)
)),0)
-IFERROR(SUM(
_xlfn._xlws.FILTER(Table_Main[Số lượng],
(Table_Main[Mã SKU] = $B54)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1" totalsRowDxfId="1860" dataCellStyle="Comma" totalsRowCellStyle="Comma">
      <totalsRowFormula>SUM(Table_KeHoach_SanLuong[Tháng 1])</totalsRowFormula>
    </tableColumn>
    <tableColumn id="30" xr3:uid="{70694902-0D86-4550-8978-6631221B1110}" name="Tháng 2" totalsRowFunction="custom" dataDxfId="1859" totalsRowDxfId="1858" dataCellStyle="Comma" totalsRowCellStyle="Comma">
      <totalsRowFormula>SUM(Table_KeHoach_SanLuong[Tháng 2])</totalsRowFormula>
    </tableColumn>
    <tableColumn id="31" xr3:uid="{C1E724A7-9693-46FC-8A7A-304F00161DBE}" name="Tháng 3" totalsRowFunction="custom" dataDxfId="1857" totalsRowDxfId="1856" dataCellStyle="Comma" totalsRowCellStyle="Comma">
      <totalsRowFormula>SUM(Table_KeHoach_SanLuong[Tháng 3])</totalsRowFormula>
    </tableColumn>
    <tableColumn id="32" xr3:uid="{7221CCF4-72B1-44F8-BEEB-AAD846AA595F}" name="Tháng 4" totalsRowFunction="custom" dataDxfId="1855" totalsRowDxfId="1854" dataCellStyle="Comma" totalsRowCellStyle="Comma">
      <totalsRowFormula>SUM(Table_KeHoach_SanLuong[Tháng 4])</totalsRowFormula>
    </tableColumn>
    <tableColumn id="33" xr3:uid="{0E67CAE7-0D32-49F3-BD50-A158C644B1BD}" name="Tháng 5" totalsRowFunction="custom" dataDxfId="1853" totalsRowDxfId="1852" dataCellStyle="Comma" totalsRowCellStyle="Comma">
      <totalsRowFormula>SUM(Table_KeHoach_SanLuong[Tháng 5])</totalsRowFormula>
    </tableColumn>
    <tableColumn id="34" xr3:uid="{1918CD14-C8BB-4831-A685-D18D5461986C}" name="Tháng 6" totalsRowFunction="custom" dataDxfId="1851" totalsRowDxfId="1850" dataCellStyle="Comma" totalsRowCellStyle="Comma">
      <totalsRowFormula>SUM(Table_KeHoach_SanLuong[Tháng 6])</totalsRowFormula>
    </tableColumn>
    <tableColumn id="35" xr3:uid="{15CFC91E-B8B9-42A1-8A2B-87E661BF4084}" name="Tháng 7" totalsRowFunction="custom" dataDxfId="1849" totalsRowDxfId="1848" dataCellStyle="Comma" totalsRowCellStyle="Comma">
      <totalsRowFormula>SUM(Table_KeHoach_SanLuong[Tháng 7])</totalsRowFormula>
    </tableColumn>
    <tableColumn id="36" xr3:uid="{DEAE018A-5B97-4FF8-B5C6-524BBD8A8553}" name="Tháng 8" totalsRowFunction="custom" dataDxfId="1847" totalsRowDxfId="1846" dataCellStyle="Comma" totalsRowCellStyle="Comma">
      <totalsRowFormula>SUM(Table_KeHoach_SanLuong[Tháng 8])</totalsRowFormula>
    </tableColumn>
    <tableColumn id="37" xr3:uid="{69090A1D-A073-4FD8-889C-ADBE6A9D7DB8}" name="Tháng 9" totalsRowFunction="custom" dataDxfId="1845" totalsRowDxfId="1844" dataCellStyle="Comma" totalsRowCellStyle="Comma">
      <totalsRowFormula>SUM(Table_KeHoach_SanLuong[Tháng 9])</totalsRowFormula>
    </tableColumn>
    <tableColumn id="38" xr3:uid="{11A81D84-C3DD-47F7-AF28-E389CC9FF3CB}" name="Tháng 10" totalsRowFunction="custom" dataDxfId="1843" totalsRowDxfId="1842" dataCellStyle="Comma" totalsRowCellStyle="Comma">
      <totalsRowFormula>SUM(Table_KeHoach_SanLuong[Tháng 10])</totalsRowFormula>
    </tableColumn>
    <tableColumn id="39" xr3:uid="{14A6A2F5-5E15-4169-86A9-3229B946B250}" name="Tháng 11" totalsRowFunction="custom" dataDxfId="1841" totalsRowDxfId="1840" dataCellStyle="Comma" totalsRowCellStyle="Comma">
      <totalsRowFormula>SUM(Table_KeHoach_SanLuong[Tháng 11])</totalsRowFormula>
    </tableColumn>
    <tableColumn id="40" xr3:uid="{7C1CB8B1-00D4-4FA9-A290-F043A0FA9307}" name="Tháng 12" totalsRowFunction="custom" dataDxfId="1839" totalsRowDxfId="1838" dataCellStyle="Comma" totalsRowCellStyle="Comma">
      <totalsRowFormula>SUM(Table_KeHoach_SanLuong[Tháng 12])</totalsRowFormula>
    </tableColumn>
    <tableColumn id="3" xr3:uid="{A6D0263F-3084-4FE7-A127-4BA9D805D4D7}" name="Add" dataDxfId="1837" totalsRowDxfId="1836"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8:P59" totalsRowShown="0" headerRowDxfId="1835" dataDxfId="1834">
  <autoFilter ref="B58:P59" xr:uid="{8A426214-1C38-4C4E-9C2C-D253B8886748}"/>
  <tableColumns count="15">
    <tableColumn id="1" xr3:uid="{EBDC21DB-0978-43FF-8F49-EB0A63ACFFC6}" name="Kế hoạch giá niêm yết thành phẩm" dataDxfId="1833" totalsRowDxfId="1832"/>
    <tableColumn id="3" xr3:uid="{425153B2-5062-4C16-A6F6-F47683DA3B49}" name="Tham chiếu" dataDxfId="1831" totalsRowDxfId="1830" dataCellStyle="Comma">
      <calculatedColumnFormula array="1">+IFERROR(
SUM(
_xlfn._xlws.FILTER(Table_Main[Thành tiền niêm yết],
(Table_Main[Mã SKU] = $B59) *
NOT(ISBLANK(Table_Main[Đơn bán]))*
(Table_Main[Loại] = "Xuất")*
(Table_Main[Ngày lên đơn] &gt;= BCQT_BatDau)*
(Table_Main[Ngày lên đơn] &lt; BCQT_KetThuc)
)) /
SUM(
_xlfn._xlws.FILTER(Table_Main[Số lượng],
(Table_Main[Mã SKU] = $B59) *
NOT(ISBLANK(Table_Main[Đơn bán]))*
(Table_Main[Loại] = "Xuất")*
(Table_Main[Ngày lên đơn] &gt;= BCQT_BatDau)*
(Table_Main[Ngày lên đơn] &lt; BCQT_KetThuc)
)),0)</calculatedColumnFormula>
    </tableColumn>
    <tableColumn id="29" xr3:uid="{669CACBE-1D77-46AC-A978-B8FF66B671BB}" name="Tháng 1" dataDxfId="1829" totalsRowDxfId="1828" dataCellStyle="Comma"/>
    <tableColumn id="30" xr3:uid="{CF8A322E-866F-494C-966A-830B3ADA2CD2}" name="Tháng 2" dataDxfId="1827" totalsRowDxfId="1826" dataCellStyle="Comma"/>
    <tableColumn id="31" xr3:uid="{6B66BA70-F0F0-4B4E-87CF-79B7E1D3B29C}" name="Tháng 3" dataDxfId="1825" totalsRowDxfId="1824" dataCellStyle="Comma"/>
    <tableColumn id="32" xr3:uid="{5B3CE899-C52C-4E1C-A688-5D6030E82F01}" name="Tháng 4" dataDxfId="1823" totalsRowDxfId="1822" dataCellStyle="Comma"/>
    <tableColumn id="33" xr3:uid="{C034F888-AFFA-4740-B3BA-F4654FB405CF}" name="Tháng 5" dataDxfId="1821" totalsRowDxfId="1820" dataCellStyle="Comma"/>
    <tableColumn id="34" xr3:uid="{07693A9D-90BE-477A-BB72-83DE0C3434DF}" name="Tháng 6" dataDxfId="1819" totalsRowDxfId="1818" dataCellStyle="Comma"/>
    <tableColumn id="35" xr3:uid="{B0AE6993-599A-4E49-BDB1-73ABDD7A437B}" name="Tháng 7" dataDxfId="1817" totalsRowDxfId="1816" dataCellStyle="Comma"/>
    <tableColumn id="36" xr3:uid="{D49868AC-F67A-41A1-A3C9-45781D2C20F8}" name="Tháng 8" dataDxfId="1815" totalsRowDxfId="1814" dataCellStyle="Comma"/>
    <tableColumn id="37" xr3:uid="{468EF536-F826-42F5-9301-BAFFFD24E104}" name="Tháng 9" dataDxfId="1813" totalsRowDxfId="1812" dataCellStyle="Comma"/>
    <tableColumn id="38" xr3:uid="{70CE9CF4-C007-4692-8311-0BC64B9F3395}" name="Tháng 10" dataDxfId="1811" totalsRowDxfId="1810" dataCellStyle="Comma"/>
    <tableColumn id="39" xr3:uid="{04E84556-5D4C-4DA4-B749-C98FB45C0BAF}" name="Tháng 11" dataDxfId="1809" totalsRowDxfId="1808" dataCellStyle="Comma"/>
    <tableColumn id="40" xr3:uid="{68F1F4EB-3B1D-42A1-AC0E-1DCF48610F1E}" name="Tháng 12" dataDxfId="1807" totalsRowDxfId="1806" dataCellStyle="Comma"/>
    <tableColumn id="4" xr3:uid="{0E570896-0519-4F88-8B9B-744525FF3C16}" name="Add" dataDxfId="1805" totalsRowDxfId="1804"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2:P64" totalsRowCount="1" headerRowDxfId="1803" dataDxfId="1802" totalsRowDxfId="1801">
  <autoFilter ref="B62:P63" xr:uid="{711209EA-EEC6-4FC4-BAC5-C6E63F6E3A21}"/>
  <tableColumns count="15">
    <tableColumn id="1" xr3:uid="{F22794FE-2FF3-4CE4-82EB-81614189B352}" name="Kế hoạch doanh thu gộp" totalsRowLabel="Tổng" dataDxfId="1800" totalsRowDxfId="1799"/>
    <tableColumn id="3" xr3:uid="{76F75EB8-7687-48A4-A860-C3AABF1EACB2}" name="Tham chiếu" totalsRowFunction="custom" dataDxfId="1798" totalsRowDxfId="1797" dataCellStyle="Comma" totalsRowCellStyle="Comma">
      <calculatedColumnFormula array="1" xml:space="preserve">
(+IFERROR(SUM(
_xlfn._xlws.FILTER(Table_Main[Giá trị bán trước VAT],
(Table_Main[Mã SKU] = $B63) *
NOT(ISBLANK(Table_Main[Đơn bán]))*
(Table_Main[Loại] = "Xuất")*
(Table_Main[Ngày lên đơn] &gt;= BCQT_BatDau)*
(Table_Main[Ngày lên đơn] &lt; BCQT_KetThuc)
)),0)
-IFERROR(SUM(
_xlfn._xlws.FILTER(Table_Main[Giá trị bán trước VAT],
(Table_Main[Mã SKU] = $B63)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796" totalsRowDxfId="1795" dataCellStyle="Comma" totalsRowCellStyle="Comma">
      <calculatedColumnFormula xml:space="preserve">
INDEX(Table_KeHoach_SanLuong[[#Headers],[#Data]],
MATCH(Table_KeHoach_DoanhThu[[#This Row],[Kế hoạch doanh thu gộp]],Table_KeHoach_SanLuong[[#Headers],[#Data],[Kế hoạch sản lượng]],0),
MATCH(D$53,Table_KeHoach_SanLuong[#Headers],0)) *
INDEX(Table_KeHoach_Gia[#All],
MATCH(Table_KeHoach_DoanhThu[[#This Row],[Kế hoạch doanh thu gộp]],Table_KeHoach_Gia[[#All],[Kế hoạch giá niêm yết thành phẩm]],0),
MATCH(D$62,Table_KeHoach_Gia[#Headers],0))</calculatedColumnFormula>
      <totalsRowFormula>SUM(Table_KeHoach_DoanhThu[Tháng 1])</totalsRowFormula>
    </tableColumn>
    <tableColumn id="30" xr3:uid="{7A212235-4EA0-4179-B870-D606FE76B216}" name="Tháng 2" totalsRowFunction="custom" dataDxfId="1794" totalsRowDxfId="1793" dataCellStyle="Comma" totalsRowCellStyle="Comma">
      <calculatedColumnFormula xml:space="preserve">
INDEX(Table_KeHoach_SanLuong[[#Headers],[#Data]],
MATCH(Table_KeHoach_DoanhThu[[#This Row],[Kế hoạch doanh thu gộp]],Table_KeHoach_SanLuong[[#Headers],[#Data],[Kế hoạch sản lượng]],0),
MATCH(E$53,Table_KeHoach_SanLuong[#Headers],0)) *
INDEX(Table_KeHoach_Gia[#All],
MATCH(Table_KeHoach_DoanhThu[[#This Row],[Kế hoạch doanh thu gộp]],Table_KeHoach_Gia[[#All],[Kế hoạch giá niêm yết thành phẩm]],0),
MATCH(E$62,Table_KeHoach_Gia[#Headers],0))</calculatedColumnFormula>
      <totalsRowFormula>SUM(Table_KeHoach_DoanhThu[Tháng 2])</totalsRowFormula>
    </tableColumn>
    <tableColumn id="31" xr3:uid="{D9825A39-9B19-4658-8560-DDDD891E0205}" name="Tháng 3" totalsRowFunction="custom" dataDxfId="1792" totalsRowDxfId="1791" dataCellStyle="Comma" totalsRowCellStyle="Comma">
      <calculatedColumnFormula xml:space="preserve">
INDEX(Table_KeHoach_SanLuong[[#Headers],[#Data]],
MATCH(Table_KeHoach_DoanhThu[[#This Row],[Kế hoạch doanh thu gộp]],Table_KeHoach_SanLuong[[#Headers],[#Data],[Kế hoạch sản lượng]],0),
MATCH(F$53,Table_KeHoach_SanLuong[#Headers],0)) *
INDEX(Table_KeHoach_Gia[#All],
MATCH(Table_KeHoach_DoanhThu[[#This Row],[Kế hoạch doanh thu gộp]],Table_KeHoach_Gia[[#All],[Kế hoạch giá niêm yết thành phẩm]],0),
MATCH(F$62,Table_KeHoach_Gia[#Headers],0))</calculatedColumnFormula>
      <totalsRowFormula>SUM(Table_KeHoach_DoanhThu[Tháng 3])</totalsRowFormula>
    </tableColumn>
    <tableColumn id="32" xr3:uid="{CF1D56F3-AD70-4276-BB0C-AD1DB6B57C66}" name="Tháng 4" totalsRowFunction="custom" dataDxfId="1790" totalsRowDxfId="1789" dataCellStyle="Comma" totalsRowCellStyle="Comma">
      <calculatedColumnFormula xml:space="preserve">
INDEX(Table_KeHoach_SanLuong[[#Headers],[#Data]],
MATCH(Table_KeHoach_DoanhThu[[#This Row],[Kế hoạch doanh thu gộp]],Table_KeHoach_SanLuong[[#Headers],[#Data],[Kế hoạch sản lượng]],0),
MATCH(G$53,Table_KeHoach_SanLuong[#Headers],0)) *
INDEX(Table_KeHoach_Gia[#All],
MATCH(Table_KeHoach_DoanhThu[[#This Row],[Kế hoạch doanh thu gộp]],Table_KeHoach_Gia[[#All],[Kế hoạch giá niêm yết thành phẩm]],0),
MATCH(G$62,Table_KeHoach_Gia[#Headers],0))</calculatedColumnFormula>
      <totalsRowFormula>SUM(Table_KeHoach_DoanhThu[Tháng 4])</totalsRowFormula>
    </tableColumn>
    <tableColumn id="33" xr3:uid="{00880281-B1E6-4212-96C1-4D19F388A28B}" name="Tháng 5" totalsRowFunction="custom" dataDxfId="1788" totalsRowDxfId="1787" dataCellStyle="Comma" totalsRowCellStyle="Comma">
      <calculatedColumnFormula xml:space="preserve">
INDEX(Table_KeHoach_SanLuong[[#Headers],[#Data]],
MATCH(Table_KeHoach_DoanhThu[[#This Row],[Kế hoạch doanh thu gộp]],Table_KeHoach_SanLuong[[#Headers],[#Data],[Kế hoạch sản lượng]],0),
MATCH(H$53,Table_KeHoach_SanLuong[#Headers],0)) *
INDEX(Table_KeHoach_Gia[#All],
MATCH(Table_KeHoach_DoanhThu[[#This Row],[Kế hoạch doanh thu gộp]],Table_KeHoach_Gia[[#All],[Kế hoạch giá niêm yết thành phẩm]],0),
MATCH(H$62,Table_KeHoach_Gia[#Headers],0))</calculatedColumnFormula>
      <totalsRowFormula>SUM(Table_KeHoach_DoanhThu[Tháng 5])</totalsRowFormula>
    </tableColumn>
    <tableColumn id="34" xr3:uid="{0C65B697-F7AA-4DE3-ADAE-0ADCA8351B2F}" name="Tháng 6" totalsRowFunction="custom" dataDxfId="1786" totalsRowDxfId="1785" dataCellStyle="Comma" totalsRowCellStyle="Comma">
      <calculatedColumnFormula xml:space="preserve">
INDEX(Table_KeHoach_SanLuong[[#Headers],[#Data]],
MATCH(Table_KeHoach_DoanhThu[[#This Row],[Kế hoạch doanh thu gộp]],Table_KeHoach_SanLuong[[#Headers],[#Data],[Kế hoạch sản lượng]],0),
MATCH(I$53,Table_KeHoach_SanLuong[#Headers],0)) *
INDEX(Table_KeHoach_Gia[#All],
MATCH(Table_KeHoach_DoanhThu[[#This Row],[Kế hoạch doanh thu gộp]],Table_KeHoach_Gia[[#All],[Kế hoạch giá niêm yết thành phẩm]],0),
MATCH(I$62,Table_KeHoach_Gia[#Headers],0))</calculatedColumnFormula>
      <totalsRowFormula>SUM(Table_KeHoach_DoanhThu[Tháng 6])</totalsRowFormula>
    </tableColumn>
    <tableColumn id="35" xr3:uid="{FD5FC443-FABD-40AE-A1B2-AF43E5583B4A}" name="Tháng 7" totalsRowFunction="custom" dataDxfId="1784" totalsRowDxfId="1783" dataCellStyle="Comma" totalsRowCellStyle="Comma">
      <calculatedColumnFormula xml:space="preserve">
INDEX(Table_KeHoach_SanLuong[[#Headers],[#Data]],
MATCH(Table_KeHoach_DoanhThu[[#This Row],[Kế hoạch doanh thu gộp]],Table_KeHoach_SanLuong[[#Headers],[#Data],[Kế hoạch sản lượng]],0),
MATCH(J$53,Table_KeHoach_SanLuong[#Headers],0)) *
INDEX(Table_KeHoach_Gia[#All],
MATCH(Table_KeHoach_DoanhThu[[#This Row],[Kế hoạch doanh thu gộp]],Table_KeHoach_Gia[[#All],[Kế hoạch giá niêm yết thành phẩm]],0),
MATCH(J$62,Table_KeHoach_Gia[#Headers],0))</calculatedColumnFormula>
      <totalsRowFormula>SUM(Table_KeHoach_DoanhThu[Tháng 7])</totalsRowFormula>
    </tableColumn>
    <tableColumn id="36" xr3:uid="{F5D51FF9-EFB8-4B10-BD35-9DFB587A52C7}" name="Tháng 8" totalsRowFunction="custom" dataDxfId="1782" totalsRowDxfId="1781" dataCellStyle="Comma" totalsRowCellStyle="Comma">
      <calculatedColumnFormula xml:space="preserve">
INDEX(Table_KeHoach_SanLuong[[#Headers],[#Data]],
MATCH(Table_KeHoach_DoanhThu[[#This Row],[Kế hoạch doanh thu gộp]],Table_KeHoach_SanLuong[[#Headers],[#Data],[Kế hoạch sản lượng]],0),
MATCH(K$53,Table_KeHoach_SanLuong[#Headers],0)) *
INDEX(Table_KeHoach_Gia[#All],
MATCH(Table_KeHoach_DoanhThu[[#This Row],[Kế hoạch doanh thu gộp]],Table_KeHoach_Gia[[#All],[Kế hoạch giá niêm yết thành phẩm]],0),
MATCH(K$62,Table_KeHoach_Gia[#Headers],0))</calculatedColumnFormula>
      <totalsRowFormula>SUM(Table_KeHoach_DoanhThu[Tháng 8])</totalsRowFormula>
    </tableColumn>
    <tableColumn id="37" xr3:uid="{C6C15622-E8E9-487A-959D-8C220B56DE76}" name="Tháng 9" totalsRowFunction="custom" dataDxfId="1780" totalsRowDxfId="1779" dataCellStyle="Comma" totalsRowCellStyle="Comma">
      <calculatedColumnFormula xml:space="preserve">
INDEX(Table_KeHoach_SanLuong[[#Headers],[#Data]],
MATCH(Table_KeHoach_DoanhThu[[#This Row],[Kế hoạch doanh thu gộp]],Table_KeHoach_SanLuong[[#Headers],[#Data],[Kế hoạch sản lượng]],0),
MATCH(L$53,Table_KeHoach_SanLuong[#Headers],0)) *
INDEX(Table_KeHoach_Gia[#All],
MATCH(Table_KeHoach_DoanhThu[[#This Row],[Kế hoạch doanh thu gộp]],Table_KeHoach_Gia[[#All],[Kế hoạch giá niêm yết thành phẩm]],0),
MATCH(L$62,Table_KeHoach_Gia[#Headers],0))</calculatedColumnFormula>
      <totalsRowFormula>SUM(Table_KeHoach_DoanhThu[Tháng 9])</totalsRowFormula>
    </tableColumn>
    <tableColumn id="38" xr3:uid="{7BFC1C3B-6EF3-4CF7-A300-C11AEEBB0E1A}" name="Tháng 10" totalsRowFunction="custom" dataDxfId="1778" totalsRowDxfId="1777" dataCellStyle="Comma" totalsRowCellStyle="Comma">
      <calculatedColumnFormula xml:space="preserve">
INDEX(Table_KeHoach_SanLuong[[#Headers],[#Data]],
MATCH(Table_KeHoach_DoanhThu[[#This Row],[Kế hoạch doanh thu gộp]],Table_KeHoach_SanLuong[[#Headers],[#Data],[Kế hoạch sản lượng]],0),
MATCH(M$53,Table_KeHoach_SanLuong[#Headers],0)) *
INDEX(Table_KeHoach_Gia[#All],
MATCH(Table_KeHoach_DoanhThu[[#This Row],[Kế hoạch doanh thu gộp]],Table_KeHoach_Gia[[#All],[Kế hoạch giá niêm yết thành phẩm]],0),
MATCH(M$62,Table_KeHoach_Gia[#Headers],0))</calculatedColumnFormula>
      <totalsRowFormula>SUM(Table_KeHoach_DoanhThu[Tháng 10])</totalsRowFormula>
    </tableColumn>
    <tableColumn id="39" xr3:uid="{4D0CAB13-02F5-4D43-93DB-79792960CDFB}" name="Tháng 11" totalsRowFunction="custom" dataDxfId="1776" totalsRowDxfId="1775" dataCellStyle="Comma" totalsRowCellStyle="Comma">
      <calculatedColumnFormula xml:space="preserve">
INDEX(Table_KeHoach_SanLuong[[#Headers],[#Data]],
MATCH(Table_KeHoach_DoanhThu[[#This Row],[Kế hoạch doanh thu gộp]],Table_KeHoach_SanLuong[[#Headers],[#Data],[Kế hoạch sản lượng]],0),
MATCH(N$53,Table_KeHoach_SanLuong[#Headers],0)) *
INDEX(Table_KeHoach_Gia[#All],
MATCH(Table_KeHoach_DoanhThu[[#This Row],[Kế hoạch doanh thu gộp]],Table_KeHoach_Gia[[#All],[Kế hoạch giá niêm yết thành phẩm]],0),
MATCH(N$62,Table_KeHoach_Gia[#Headers],0))</calculatedColumnFormula>
      <totalsRowFormula>SUM(Table_KeHoach_DoanhThu[Tháng 11])</totalsRowFormula>
    </tableColumn>
    <tableColumn id="40" xr3:uid="{784CDCAA-C9FB-447F-AAED-DD0A17FEAB77}" name="Tháng 12" totalsRowFunction="custom" dataDxfId="1774" totalsRowDxfId="1773" dataCellStyle="Comma" totalsRowCellStyle="Comma">
      <calculatedColumnFormula xml:space="preserve">
INDEX(Table_KeHoach_SanLuong[[#Headers],[#Data]],
MATCH(Table_KeHoach_DoanhThu[[#This Row],[Kế hoạch doanh thu gộp]],Table_KeHoach_SanLuong[[#Headers],[#Data],[Kế hoạch sản lượng]],0),
MATCH(O$53,Table_KeHoach_SanLuong[#Headers],0)) *
INDEX(Table_KeHoach_Gia[#All],
MATCH(Table_KeHoach_DoanhThu[[#This Row],[Kế hoạch doanh thu gộp]],Table_KeHoach_Gia[[#All],[Kế hoạch giá niêm yết thành phẩm]],0),
MATCH(O$62,Table_KeHoach_Gia[#Headers],0))</calculatedColumnFormula>
      <totalsRowFormula>SUM(Table_KeHoach_DoanhThu[Tháng 12])</totalsRowFormula>
    </tableColumn>
    <tableColumn id="4" xr3:uid="{AB7BA7A5-13D5-45DF-9B90-D3674E94410E}" name="Add" dataDxfId="1772" totalsRowDxfId="1771"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2:P73" totalsRowShown="0" headerRowDxfId="1770" dataDxfId="1769">
  <autoFilter ref="B72:P73" xr:uid="{50D75140-F33D-450B-ACC0-7F92B177C57D}"/>
  <tableColumns count="15">
    <tableColumn id="1" xr3:uid="{C9B9741A-9357-40AD-8883-2D1E650453F5}" name="Kế hoạch giá nhập hàng hóa" dataDxfId="1768" totalsRowDxfId="1767"/>
    <tableColumn id="3" xr3:uid="{28B2834A-7CE4-43D5-ACA9-8317F7A289D2}" name="Tham chiếu" dataDxfId="1766" totalsRowDxfId="1765" dataCellStyle="Comma">
      <calculatedColumnFormula array="1">+IFERROR(
AVERAGE(
_xlfn._xlws.FILTER(Table_Main[Giá trị hàng nhập],
(Table_Main[Mã SKU] = $B73) *
(Table_Main[Ngày lên đơn] &gt;= BCQT_BatDau)*
(Table_Main[Ngày lên đơn] &lt; BCQT_KetThuc)
)) /
AVERAGE(
_xlfn._xlws.FILTER(Table_Main[Số lượng],
(Table_Main[Mã SKU] = $B73) *
(Table_Main[Ngày lên đơn] &gt;= BCQT_BatDau)*
(Table_Main[Ngày lên đơn] &lt; BCQT_KetThuc)
)),0)</calculatedColumnFormula>
    </tableColumn>
    <tableColumn id="29" xr3:uid="{019E5F1B-DE2D-464D-8063-064C5116CFCC}" name="Tháng 1" dataDxfId="1764" totalsRowDxfId="1763" dataCellStyle="Comma"/>
    <tableColumn id="30" xr3:uid="{90AFC99B-1620-4C46-BD12-553A1C3FFDD8}" name="Tháng 2" dataDxfId="1762" totalsRowDxfId="1761" dataCellStyle="Comma"/>
    <tableColumn id="31" xr3:uid="{FBF2D68D-F4EB-4171-BD9D-E76539DF938C}" name="Tháng 3" dataDxfId="1760" totalsRowDxfId="1759" dataCellStyle="Comma"/>
    <tableColumn id="32" xr3:uid="{F41B1887-7A08-4DC9-BDE9-E43ABE4AE1BE}" name="Tháng 4" dataDxfId="1758" totalsRowDxfId="1757" dataCellStyle="Comma"/>
    <tableColumn id="33" xr3:uid="{D369E62A-3CDD-4B01-A431-C39C2CBE1293}" name="Tháng 5" dataDxfId="1756" totalsRowDxfId="1755" dataCellStyle="Comma"/>
    <tableColumn id="34" xr3:uid="{F0115D72-64F0-4CBC-A8C5-6835DCA86A12}" name="Tháng 6" dataDxfId="1754" totalsRowDxfId="1753" dataCellStyle="Comma"/>
    <tableColumn id="35" xr3:uid="{4AEC4DCF-162D-499F-A186-5800A521A71B}" name="Tháng 7" dataDxfId="1752" totalsRowDxfId="1751" dataCellStyle="Comma"/>
    <tableColumn id="36" xr3:uid="{5A6B4CEF-0269-4C8A-B8D5-9CB34819A8C8}" name="Tháng 8" dataDxfId="1750" totalsRowDxfId="1749" dataCellStyle="Comma"/>
    <tableColumn id="37" xr3:uid="{15EBC225-23BE-414B-B8C6-FF6D2C2DA707}" name="Tháng 9" dataDxfId="1748" totalsRowDxfId="1747" dataCellStyle="Comma"/>
    <tableColumn id="38" xr3:uid="{68785765-EC8D-400C-A53D-C098BAEB2867}" name="Tháng 10" dataDxfId="1746" totalsRowDxfId="1745" dataCellStyle="Comma"/>
    <tableColumn id="39" xr3:uid="{FE6CAAF6-4E91-48E9-BE30-736B71AE2517}" name="Tháng 11" dataDxfId="1744" totalsRowDxfId="1743" dataCellStyle="Comma"/>
    <tableColumn id="40" xr3:uid="{9B1D1B2C-78EE-4936-BA9C-70DE6FAEB0D5}" name="Tháng 12" dataDxfId="1742" totalsRowDxfId="1741" dataCellStyle="Comma"/>
    <tableColumn id="4" xr3:uid="{F6BA2DB9-C7C4-4136-A29C-3988740AF60B}" name="Add" dataDxfId="1740" totalsRowDxfId="1739"/>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6:P78" totalsRowCount="1" headerRowDxfId="1738" dataDxfId="1737" totalsRowDxfId="1736">
  <autoFilter ref="B76:P77" xr:uid="{673B555B-AF75-419C-8864-7B66DF2C2C6F}"/>
  <tableColumns count="15">
    <tableColumn id="1" xr3:uid="{91AE107E-7E90-4FD8-9894-89A53DE58960}" name="Kế hoạch chi phí hàng hóa" totalsRowLabel="Total" dataDxfId="1735" totalsRowDxfId="1734"/>
    <tableColumn id="3" xr3:uid="{89E2E365-2517-477F-B95E-6FD048EFFFF0}" name="Tham chiếu" totalsRowFunction="sum" dataDxfId="1733" totalsRowDxfId="1732"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MATCH(D$76,Table_KeHoach_SanLuong[#Headers],0)) *
INDEX(Table_KeHoach_GiaNhápKU[#All],
MATCH(Table_KeHoach_ChiPhiSKU[[#This Row],[Kế hoạch chi phí hàng hóa]],Table_KeHoach_GiaNhápKU[[#All],[Kế hoạch giá nhập hàng hóa]],0),
MATCH(D$76, Table_KeHoach_GiaNhápKU[#Headers],0)),0)</calculatedColumnFormula>
    </tableColumn>
    <tableColumn id="30" xr3:uid="{37F68F66-8DC6-4721-995B-A9C565EDC074}" name="Tháng 2"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MATCH(E$76,Table_KeHoach_SanLuong[#Headers],0)) *
INDEX(Table_KeHoach_GiaNhápKU[#All],
MATCH(Table_KeHoach_ChiPhiSKU[[#This Row],[Kế hoạch chi phí hàng hóa]],Table_KeHoach_GiaNhápKU[[#All],[Kế hoạch giá nhập hàng hóa]],0),
MATCH(E$76, Table_KeHoach_GiaNhápKU[#Headers],0)),0)</calculatedColumnFormula>
    </tableColumn>
    <tableColumn id="31" xr3:uid="{2BC7CA73-4BD0-470B-9B0D-9F76DAA6E07C}" name="Tháng 3"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MATCH(F$76,Table_KeHoach_SanLuong[#Headers],0)) *
INDEX(Table_KeHoach_GiaNhápKU[#All],
MATCH(Table_KeHoach_ChiPhiSKU[[#This Row],[Kế hoạch chi phí hàng hóa]],Table_KeHoach_GiaNhápKU[[#All],[Kế hoạch giá nhập hàng hóa]],0),
MATCH(F$76, Table_KeHoach_GiaNhápKU[#Headers],0)),0)</calculatedColumnFormula>
    </tableColumn>
    <tableColumn id="32" xr3:uid="{5644AD1C-3FFA-42FB-9ADE-2E483592E846}" name="Tháng 4"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MATCH(G$76,Table_KeHoach_SanLuong[#Headers],0)) *
INDEX(Table_KeHoach_GiaNhápKU[#All],
MATCH(Table_KeHoach_ChiPhiSKU[[#This Row],[Kế hoạch chi phí hàng hóa]],Table_KeHoach_GiaNhápKU[[#All],[Kế hoạch giá nhập hàng hóa]],0),
MATCH(G$76, Table_KeHoach_GiaNhápKU[#Headers],0)),0)</calculatedColumnFormula>
    </tableColumn>
    <tableColumn id="33" xr3:uid="{2FFF0947-01AC-41E7-ACDF-FAC1A6DA515C}" name="Tháng 5"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MATCH(H$76,Table_KeHoach_SanLuong[#Headers],0)) *
INDEX(Table_KeHoach_GiaNhápKU[#All],
MATCH(Table_KeHoach_ChiPhiSKU[[#This Row],[Kế hoạch chi phí hàng hóa]],Table_KeHoach_GiaNhápKU[[#All],[Kế hoạch giá nhập hàng hóa]],0),
MATCH(H$76, Table_KeHoach_GiaNhápKU[#Headers],0)),0)</calculatedColumnFormula>
    </tableColumn>
    <tableColumn id="34" xr3:uid="{5750EFE5-25E1-499F-A818-F1A750D13220}" name="Tháng 6"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MATCH(I$76,Table_KeHoach_SanLuong[#Headers],0)) *
INDEX(Table_KeHoach_GiaNhápKU[#All],
MATCH(Table_KeHoach_ChiPhiSKU[[#This Row],[Kế hoạch chi phí hàng hóa]],Table_KeHoach_GiaNhápKU[[#All],[Kế hoạch giá nhập hàng hóa]],0),
MATCH(I$76, Table_KeHoach_GiaNhápKU[#Headers],0)),0)</calculatedColumnFormula>
    </tableColumn>
    <tableColumn id="35" xr3:uid="{A4D3AFA5-70E9-450C-8894-1DE0C94FD9C1}" name="Tháng 7"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MATCH(J$76,Table_KeHoach_SanLuong[#Headers],0)) *
INDEX(Table_KeHoach_GiaNhápKU[#All],
MATCH(Table_KeHoach_ChiPhiSKU[[#This Row],[Kế hoạch chi phí hàng hóa]],Table_KeHoach_GiaNhápKU[[#All],[Kế hoạch giá nhập hàng hóa]],0),
MATCH(J$76, Table_KeHoach_GiaNhápKU[#Headers],0)),0)</calculatedColumnFormula>
    </tableColumn>
    <tableColumn id="36" xr3:uid="{0098CC1D-55DA-4BE3-AF11-DC348343C5FD}" name="Tháng 8"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MATCH(K$76,Table_KeHoach_SanLuong[#Headers],0)) *
INDEX(Table_KeHoach_GiaNhápKU[#All],
MATCH(Table_KeHoach_ChiPhiSKU[[#This Row],[Kế hoạch chi phí hàng hóa]],Table_KeHoach_GiaNhápKU[[#All],[Kế hoạch giá nhập hàng hóa]],0),
MATCH(K$76, Table_KeHoach_GiaNhápKU[#Headers],0)),0)</calculatedColumnFormula>
    </tableColumn>
    <tableColumn id="37" xr3:uid="{92521C97-0D88-45E6-AABC-A297D3839A8E}" name="Tháng 9"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MATCH(L$76,Table_KeHoach_SanLuong[#Headers],0)) *
INDEX(Table_KeHoach_GiaNhápKU[#All],
MATCH(Table_KeHoach_ChiPhiSKU[[#This Row],[Kế hoạch chi phí hàng hóa]],Table_KeHoach_GiaNhápKU[[#All],[Kế hoạch giá nhập hàng hóa]],0),
MATCH(L$76, Table_KeHoach_GiaNhápKU[#Headers],0)),0)</calculatedColumnFormula>
    </tableColumn>
    <tableColumn id="38" xr3:uid="{89D3235E-1CED-47EE-8B5A-44E67EFFB28C}" name="Tháng 10" totalsRowFunction="sum" dataDxfId="1713" totalsRowDxfId="1712" dataCellStyle="Comma" totalsRowCellStyle="Comma">
      <calculatedColumnFormula xml:space="preserve">
-IFERROR(
INDEX(Table_KeHoach_SanLuong[[#Headers],[#Data]],
MATCH(Table_KeHoach_ChiPhiSKU[[#This Row],[Kế hoạch chi phí hàng hóa]],Table_KeHoach_SanLuong[[#Headers],[#Data],[Kế hoạch sản lượng]],0),
MATCH(M$76,Table_KeHoach_SanLuong[#Headers],0)) *
INDEX(Table_KeHoach_GiaNhápKU[#All],
MATCH(Table_KeHoach_ChiPhiSKU[[#This Row],[Kế hoạch chi phí hàng hóa]],Table_KeHoach_GiaNhápKU[[#All],[Kế hoạch giá nhập hàng hóa]],0),
MATCH(M$76, Table_KeHoach_GiaNhápKU[#Headers],0)),0)</calculatedColumnFormula>
    </tableColumn>
    <tableColumn id="39" xr3:uid="{15B70680-6B84-4E74-9D09-80A9E804313E}" name="Tháng 11" totalsRowFunction="sum" dataDxfId="1711" totalsRowDxfId="1710" dataCellStyle="Comma" totalsRowCellStyle="Comma">
      <calculatedColumnFormula xml:space="preserve">
-IFERROR(
INDEX(Table_KeHoach_SanLuong[[#Headers],[#Data]],
MATCH(Table_KeHoach_ChiPhiSKU[[#This Row],[Kế hoạch chi phí hàng hóa]],Table_KeHoach_SanLuong[[#Headers],[#Data],[Kế hoạch sản lượng]],0),
MATCH(N$76,Table_KeHoach_SanLuong[#Headers],0)) *
INDEX(Table_KeHoach_GiaNhápKU[#All],
MATCH(Table_KeHoach_ChiPhiSKU[[#This Row],[Kế hoạch chi phí hàng hóa]],Table_KeHoach_GiaNhápKU[[#All],[Kế hoạch giá nhập hàng hóa]],0),
MATCH(N$76, Table_KeHoach_GiaNhápKU[#Headers],0)),0)</calculatedColumnFormula>
    </tableColumn>
    <tableColumn id="40" xr3:uid="{AA453F5D-621A-48ED-AE68-1464823DFBED}" name="Tháng 12" totalsRowFunction="sum" dataDxfId="1709" totalsRowDxfId="1708" dataCellStyle="Comma" totalsRowCellStyle="Comma">
      <calculatedColumnFormula xml:space="preserve">
-IFERROR(
INDEX(Table_KeHoach_SanLuong[[#Headers],[#Data]],
MATCH(Table_KeHoach_ChiPhiSKU[[#This Row],[Kế hoạch chi phí hàng hóa]],Table_KeHoach_SanLuong[[#Headers],[#Data],[Kế hoạch sản lượng]],0),
MATCH(O$76,Table_KeHoach_SanLuong[#Headers],0)) *
INDEX(Table_KeHoach_GiaNhápKU[#All],
MATCH(Table_KeHoach_ChiPhiSKU[[#This Row],[Kế hoạch chi phí hàng hóa]],Table_KeHoach_GiaNhápKU[[#All],[Kế hoạch giá nhập hàng hóa]],0),
MATCH(O$76, Table_KeHoach_GiaNhápKU[#Headers],0)),0)</calculatedColumnFormula>
    </tableColumn>
    <tableColumn id="4" xr3:uid="{1DA38066-0235-47D9-9C13-A949D7DC71F3}" name="Add" dataDxfId="1707" totalsRowDxfId="1706"/>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7:P98" totalsRowShown="0" headerRowDxfId="1705" dataDxfId="1704" headerRowCellStyle="Percent" dataCellStyle="Percent">
  <autoFilter ref="B97:P98" xr:uid="{571A7629-CD3D-4301-B87F-F24F63AD2A81}"/>
  <tableColumns count="15">
    <tableColumn id="1" xr3:uid="{89CE5103-5F2F-473A-8285-61F7E158BE32}" name="Kế hoạch tỷ lệ hoa hồng" dataDxfId="1703" totalsRowDxfId="1702" dataCellStyle="Percent"/>
    <tableColumn id="3" xr3:uid="{A1C5A2FF-BE5E-4865-9699-E09EA6B78869}" name="Tham chiếu" dataDxfId="1701" totalsRowDxfId="1700"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699" totalsRowDxfId="1698" dataCellStyle="Percent"/>
    <tableColumn id="30" xr3:uid="{B17D0FDB-5B56-4429-9BF8-633417993FBB}" name="Tháng 2" dataDxfId="1697" totalsRowDxfId="1696" dataCellStyle="Percent"/>
    <tableColumn id="31" xr3:uid="{7F3739EE-012B-4AB4-ACE1-CBC110526F9D}" name="Tháng 3" dataDxfId="1695" totalsRowDxfId="1694" dataCellStyle="Percent"/>
    <tableColumn id="32" xr3:uid="{6103A08B-5854-4BEB-B0F6-AF7602FCE44A}" name="Tháng 4" dataDxfId="1693" totalsRowDxfId="1692" dataCellStyle="Percent"/>
    <tableColumn id="33" xr3:uid="{EE55A315-C233-4CC6-B5AF-32C405AB383B}" name="Tháng 5" dataDxfId="1691" totalsRowDxfId="1690" dataCellStyle="Percent"/>
    <tableColumn id="34" xr3:uid="{12B659E6-642C-4140-AA0D-2D84AB9B6125}" name="Tháng 6" dataDxfId="1689" totalsRowDxfId="1688" dataCellStyle="Percent"/>
    <tableColumn id="35" xr3:uid="{A00D81B6-DF88-4E88-8CFC-8C7C28D732F7}" name="Tháng 7" dataDxfId="1687" totalsRowDxfId="1686" dataCellStyle="Percent"/>
    <tableColumn id="36" xr3:uid="{211F463D-5EDA-41F3-803D-F665490CFE40}" name="Tháng 8" dataDxfId="1685" totalsRowDxfId="1684" dataCellStyle="Percent"/>
    <tableColumn id="37" xr3:uid="{B4EC8197-3C1F-43AB-A435-36D6AD6B3E13}" name="Tháng 9" dataDxfId="1683" totalsRowDxfId="1682" dataCellStyle="Percent"/>
    <tableColumn id="38" xr3:uid="{7C84B51B-A957-4A53-AC29-4A036ABA4C20}" name="Tháng 10" dataDxfId="1681" totalsRowDxfId="1680" dataCellStyle="Percent"/>
    <tableColumn id="39" xr3:uid="{E5FAA999-8C52-4A9F-B6FA-CA39A6D759DA}" name="Tháng 11" dataDxfId="1679" totalsRowDxfId="1678" dataCellStyle="Percent"/>
    <tableColumn id="40" xr3:uid="{5936866B-F994-4BD4-9014-345AD0715655}" name="Tháng 12" dataDxfId="1677" totalsRowDxfId="1676" dataCellStyle="Percent"/>
    <tableColumn id="4" xr3:uid="{D216F6B4-B989-49AA-A487-C608C9A0C4AE}" name="Add" dataDxfId="1675" totalsRowDxfId="1674"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1:P103" totalsRowCount="1" headerRowDxfId="1673" dataDxfId="1672" totalsRowDxfId="1671" headerRowCellStyle="Comma" dataCellStyle="Comma" totalsRowCellStyle="Comma">
  <autoFilter ref="B101:P102" xr:uid="{917CE6FA-BA76-44BB-B776-281155435948}"/>
  <tableColumns count="15">
    <tableColumn id="1" xr3:uid="{B069FC19-6704-4041-B913-34A9A708A151}" name="Kế hoạch chi phí hoa hồng" totalsRowLabel="Total" dataDxfId="1670" totalsRowDxfId="1669" dataCellStyle="Comma" totalsRowCellStyle="Comma"/>
    <tableColumn id="3" xr3:uid="{45A81392-9858-4624-9F4F-3DB6DC54E1DD}" name="Tham chiếu" totalsRowFunction="sum" dataDxfId="1668" totalsRowDxfId="1667"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MATCH(D$101,Table_KeHoach_TyleHoaHong[#Headers],0)) *
INDEX(Table_KeHoach_DoanhThu[[#Headers],[#Data]],
MATCH(Table_KeHoach_ChiPhiHoaHong[[#This Row],[Kế hoạch chi phí hoa hồng]],Table_KeHoach_DoanhThu[[#Headers],[#Data],[Kế hoạch doanh thu gộp]],0),
MATCH(D$101, Table_KeHoach_DoanhThu[#Headers],0))</calculatedColumnFormula>
    </tableColumn>
    <tableColumn id="30" xr3:uid="{AA758440-3D9D-4EED-984C-92AC297C6E87}" name="Tháng 2"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MATCH(E$101,Table_KeHoach_TyleHoaHong[#Headers],0)) *
INDEX(Table_KeHoach_DoanhThu[[#Headers],[#Data]],
MATCH(Table_KeHoach_ChiPhiHoaHong[[#This Row],[Kế hoạch chi phí hoa hồng]],Table_KeHoach_DoanhThu[[#Headers],[#Data],[Kế hoạch doanh thu gộp]],0),
MATCH(E$101, Table_KeHoach_DoanhThu[#Headers],0))</calculatedColumnFormula>
    </tableColumn>
    <tableColumn id="31" xr3:uid="{F07668AE-AD66-4052-9593-D1A9368E6169}" name="Tháng 3"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MATCH(F$101,Table_KeHoach_TyleHoaHong[#Headers],0)) *
INDEX(Table_KeHoach_DoanhThu[[#Headers],[#Data]],
MATCH(Table_KeHoach_ChiPhiHoaHong[[#This Row],[Kế hoạch chi phí hoa hồng]],Table_KeHoach_DoanhThu[[#Headers],[#Data],[Kế hoạch doanh thu gộp]],0),
MATCH(F$101, Table_KeHoach_DoanhThu[#Headers],0))</calculatedColumnFormula>
    </tableColumn>
    <tableColumn id="32" xr3:uid="{019F83CA-1D86-4894-9E1C-B97411E02CE3}" name="Tháng 4"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MATCH(G$101,Table_KeHoach_TyleHoaHong[#Headers],0)) *
INDEX(Table_KeHoach_DoanhThu[[#Headers],[#Data]],
MATCH(Table_KeHoach_ChiPhiHoaHong[[#This Row],[Kế hoạch chi phí hoa hồng]],Table_KeHoach_DoanhThu[[#Headers],[#Data],[Kế hoạch doanh thu gộp]],0),
MATCH(G$101, Table_KeHoach_DoanhThu[#Headers],0))</calculatedColumnFormula>
    </tableColumn>
    <tableColumn id="33" xr3:uid="{98A21E41-7307-4A31-8516-C3BAAF1B6A71}" name="Tháng 5"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MATCH(H$101,Table_KeHoach_TyleHoaHong[#Headers],0)) *
INDEX(Table_KeHoach_DoanhThu[[#Headers],[#Data]],
MATCH(Table_KeHoach_ChiPhiHoaHong[[#This Row],[Kế hoạch chi phí hoa hồng]],Table_KeHoach_DoanhThu[[#Headers],[#Data],[Kế hoạch doanh thu gộp]],0),
MATCH(H$101, Table_KeHoach_DoanhThu[#Headers],0))</calculatedColumnFormula>
    </tableColumn>
    <tableColumn id="34" xr3:uid="{A35D5DAD-05B9-47A1-BE73-C5B4D7AC14D2}" name="Tháng 6"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MATCH(I$101,Table_KeHoach_TyleHoaHong[#Headers],0)) *
INDEX(Table_KeHoach_DoanhThu[[#Headers],[#Data]],
MATCH(Table_KeHoach_ChiPhiHoaHong[[#This Row],[Kế hoạch chi phí hoa hồng]],Table_KeHoach_DoanhThu[[#Headers],[#Data],[Kế hoạch doanh thu gộp]],0),
MATCH(I$101, Table_KeHoach_DoanhThu[#Headers],0))</calculatedColumnFormula>
    </tableColumn>
    <tableColumn id="35" xr3:uid="{DB88872F-43F3-4B29-B6D2-7C307941341D}" name="Tháng 7"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MATCH(J$101,Table_KeHoach_TyleHoaHong[#Headers],0)) *
INDEX(Table_KeHoach_DoanhThu[[#Headers],[#Data]],
MATCH(Table_KeHoach_ChiPhiHoaHong[[#This Row],[Kế hoạch chi phí hoa hồng]],Table_KeHoach_DoanhThu[[#Headers],[#Data],[Kế hoạch doanh thu gộp]],0),
MATCH(J$101, Table_KeHoach_DoanhThu[#Headers],0))</calculatedColumnFormula>
    </tableColumn>
    <tableColumn id="36" xr3:uid="{4293C101-8A6A-48CA-BB50-59282E2317CE}" name="Tháng 8"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MATCH(K$101,Table_KeHoach_TyleHoaHong[#Headers],0)) *
INDEX(Table_KeHoach_DoanhThu[[#Headers],[#Data]],
MATCH(Table_KeHoach_ChiPhiHoaHong[[#This Row],[Kế hoạch chi phí hoa hồng]],Table_KeHoach_DoanhThu[[#Headers],[#Data],[Kế hoạch doanh thu gộp]],0),
MATCH(K$101, Table_KeHoach_DoanhThu[#Headers],0))</calculatedColumnFormula>
    </tableColumn>
    <tableColumn id="37" xr3:uid="{95FBAF24-EB51-44D8-B651-26FE188B4B40}" name="Tháng 9"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MATCH(L$101,Table_KeHoach_TyleHoaHong[#Headers],0)) *
INDEX(Table_KeHoach_DoanhThu[[#Headers],[#Data]],
MATCH(Table_KeHoach_ChiPhiHoaHong[[#This Row],[Kế hoạch chi phí hoa hồng]],Table_KeHoach_DoanhThu[[#Headers],[#Data],[Kế hoạch doanh thu gộp]],0),
MATCH(L$101, Table_KeHoach_DoanhThu[#Headers],0))</calculatedColumnFormula>
    </tableColumn>
    <tableColumn id="38" xr3:uid="{E4FFC353-4C31-4E0A-ABD0-521861BA3766}" name="Tháng 10" totalsRowFunction="sum" dataDxfId="1648" totalsRowDxfId="1647" dataCellStyle="Comma" totalsRowCellStyle="Comma">
      <calculatedColumnFormula>-
INDEX(Table_KeHoach_TyleHoaHong[#All],
MATCH(Table_KeHoach_ChiPhiHoaHong[[#This Row],[Kế hoạch chi phí hoa hồng]],Table_KeHoach_TyleHoaHong[[#All],[Kế hoạch tỷ lệ hoa hồng]],0),
MATCH(M$101,Table_KeHoach_TyleHoaHong[#Headers],0)) *
INDEX(Table_KeHoach_DoanhThu[[#Headers],[#Data]],
MATCH(Table_KeHoach_ChiPhiHoaHong[[#This Row],[Kế hoạch chi phí hoa hồng]],Table_KeHoach_DoanhThu[[#Headers],[#Data],[Kế hoạch doanh thu gộp]],0),
MATCH(M$101, Table_KeHoach_DoanhThu[#Headers],0))</calculatedColumnFormula>
    </tableColumn>
    <tableColumn id="39" xr3:uid="{1176195A-F2D0-491F-ADAF-FEE4B331168F}" name="Tháng 11" totalsRowFunction="sum" dataDxfId="1646" totalsRowDxfId="1645" dataCellStyle="Comma" totalsRowCellStyle="Comma">
      <calculatedColumnFormula>-
INDEX(Table_KeHoach_TyleHoaHong[#All],
MATCH(Table_KeHoach_ChiPhiHoaHong[[#This Row],[Kế hoạch chi phí hoa hồng]],Table_KeHoach_TyleHoaHong[[#All],[Kế hoạch tỷ lệ hoa hồng]],0),
MATCH(N$101,Table_KeHoach_TyleHoaHong[#Headers],0)) *
INDEX(Table_KeHoach_DoanhThu[[#Headers],[#Data]],
MATCH(Table_KeHoach_ChiPhiHoaHong[[#This Row],[Kế hoạch chi phí hoa hồng]],Table_KeHoach_DoanhThu[[#Headers],[#Data],[Kế hoạch doanh thu gộp]],0),
MATCH(N$101, Table_KeHoach_DoanhThu[#Headers],0))</calculatedColumnFormula>
    </tableColumn>
    <tableColumn id="40" xr3:uid="{F7A3A82A-D538-4F76-8571-151155BB1E03}" name="Tháng 12" totalsRowFunction="sum" dataDxfId="1644" totalsRowDxfId="1643" dataCellStyle="Comma" totalsRowCellStyle="Comma">
      <calculatedColumnFormula>-
INDEX(Table_KeHoach_TyleHoaHong[#All],
MATCH(Table_KeHoach_ChiPhiHoaHong[[#This Row],[Kế hoạch chi phí hoa hồng]],Table_KeHoach_TyleHoaHong[[#All],[Kế hoạch tỷ lệ hoa hồng]],0),
MATCH(O$101,Table_KeHoach_TyleHoaHong[#Headers],0)) *
INDEX(Table_KeHoach_DoanhThu[[#Headers],[#Data]],
MATCH(Table_KeHoach_ChiPhiHoaHong[[#This Row],[Kế hoạch chi phí hoa hồng]],Table_KeHoach_DoanhThu[[#Headers],[#Data],[Kế hoạch doanh thu gộp]],0),
MATCH(O$101, Table_KeHoach_DoanhThu[#Headers],0))</calculatedColumnFormula>
    </tableColumn>
    <tableColumn id="4" xr3:uid="{14A5F491-D272-4B46-90C0-7B58515C4C63}" name="Add" dataDxfId="1642" totalsRowDxfId="1641"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19:P121" totalsRowShown="0" headerRowDxfId="1640" dataDxfId="1639">
  <autoFilter ref="B119:P121" xr:uid="{908E4510-1D66-4B62-BD4E-8366A63DB2D9}"/>
  <tableColumns count="15">
    <tableColumn id="1" xr3:uid="{4974AA81-EDE8-48A1-972A-BD6B8748ED4C}" name="Kế hoạch chi phí ship" dataDxfId="1638" totalsRowDxfId="1637"/>
    <tableColumn id="3" xr3:uid="{B298E000-F4DB-4ECC-9D0C-FCA782A86771}" name="Tham chiếu" dataDxfId="1636">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35">
      <calculatedColumnFormula>VLOOKUP(Table_KeHoach_ChiPhiShip[[#This Row],[Kế hoạch chi phí ship]],#REF!,Sheet_SKU!#REF!,0)</calculatedColumnFormula>
    </tableColumn>
    <tableColumn id="30" xr3:uid="{AF72C6DF-EB35-4A98-ABEC-099350C31E27}" name="Tháng 2" dataDxfId="1634">
      <calculatedColumnFormula>VLOOKUP(Table_KeHoach_ChiPhiShip[[#This Row],[Kế hoạch chi phí ship]],#REF!,Sheet_SKU!#REF!,0)</calculatedColumnFormula>
    </tableColumn>
    <tableColumn id="31" xr3:uid="{3EAF95EE-2F6B-43B3-9D13-5D7C0429B475}" name="Tháng 3" dataDxfId="1633">
      <calculatedColumnFormula>VLOOKUP(Table_KeHoach_ChiPhiShip[[#This Row],[Kế hoạch chi phí ship]],#REF!,Sheet_SKU!#REF!,0)</calculatedColumnFormula>
    </tableColumn>
    <tableColumn id="32" xr3:uid="{D96EEB51-7417-4655-BDDC-D0E338E941FB}" name="Tháng 4" dataDxfId="1632">
      <calculatedColumnFormula>VLOOKUP(Table_KeHoach_ChiPhiShip[[#This Row],[Kế hoạch chi phí ship]],#REF!,Sheet_SKU!#REF!,0)</calculatedColumnFormula>
    </tableColumn>
    <tableColumn id="33" xr3:uid="{257E62C8-5051-48B2-85A8-3358E9656E87}" name="Tháng 5" dataDxfId="1631">
      <calculatedColumnFormula>VLOOKUP(Table_KeHoach_ChiPhiShip[[#This Row],[Kế hoạch chi phí ship]],#REF!,Sheet_SKU!#REF!,0)</calculatedColumnFormula>
    </tableColumn>
    <tableColumn id="34" xr3:uid="{0E06FA86-8BB1-4A39-B5C1-0D5C45891AD0}" name="Tháng 6" dataDxfId="1630">
      <calculatedColumnFormula>VLOOKUP(Table_KeHoach_ChiPhiShip[[#This Row],[Kế hoạch chi phí ship]],#REF!,Sheet_SKU!#REF!,0)</calculatedColumnFormula>
    </tableColumn>
    <tableColumn id="35" xr3:uid="{9F9131FD-5E00-446F-BB5F-FA90CC9D32D8}" name="Tháng 7" dataDxfId="1629">
      <calculatedColumnFormula>VLOOKUP(Table_KeHoach_ChiPhiShip[[#This Row],[Kế hoạch chi phí ship]],#REF!,Sheet_SKU!#REF!,0)</calculatedColumnFormula>
    </tableColumn>
    <tableColumn id="36" xr3:uid="{780160DC-AD91-4578-974A-DAA46A0EFA55}" name="Tháng 8" dataDxfId="1628">
      <calculatedColumnFormula>VLOOKUP(Table_KeHoach_ChiPhiShip[[#This Row],[Kế hoạch chi phí ship]],#REF!,Sheet_SKU!#REF!,0)</calculatedColumnFormula>
    </tableColumn>
    <tableColumn id="37" xr3:uid="{8F0619B7-DD39-44BB-919F-7190F8C66661}" name="Tháng 9" dataDxfId="1627">
      <calculatedColumnFormula>VLOOKUP(Table_KeHoach_ChiPhiShip[[#This Row],[Kế hoạch chi phí ship]],#REF!,Sheet_SKU!#REF!,0)</calculatedColumnFormula>
    </tableColumn>
    <tableColumn id="38" xr3:uid="{85E0E657-1656-49DE-ACC4-ECD2C5A8BD77}" name="Tháng 10" dataDxfId="1626">
      <calculatedColumnFormula>VLOOKUP(Table_KeHoach_ChiPhiShip[[#This Row],[Kế hoạch chi phí ship]],#REF!,Sheet_SKU!#REF!,0)</calculatedColumnFormula>
    </tableColumn>
    <tableColumn id="39" xr3:uid="{871494F5-3229-4D50-A00E-F79B1EC4C89C}" name="Tháng 11" dataDxfId="1625">
      <calculatedColumnFormula>VLOOKUP(Table_KeHoach_ChiPhiShip[[#This Row],[Kế hoạch chi phí ship]],#REF!,Sheet_SKU!#REF!,0)</calculatedColumnFormula>
    </tableColumn>
    <tableColumn id="40" xr3:uid="{93DF0D7F-F948-4D01-9B0F-5A68A405CC28}" name="Tháng 12" dataDxfId="1624">
      <calculatedColumnFormula>VLOOKUP(Table_KeHoach_ChiPhiShip[[#This Row],[Kế hoạch chi phí ship]],#REF!,Sheet_SKU!#REF!,0)</calculatedColumnFormula>
    </tableColumn>
    <tableColumn id="4" xr3:uid="{2D4C2D48-BC42-4E31-9323-72EFF86ED93C}" name="Add" dataDxfId="1623">
      <calculatedColumnFormula>-P119*HLOOKUP(P$119,Table_KeHoach_DoanhThu[#All],COUNTA(Table_KeHoach_DoanhThu[[#All],[Kế hoạch doanh thu gộp]]),0)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4:P125" totalsRowShown="0" headerRowDxfId="1622" dataDxfId="1621" headerRowCellStyle="Comma" dataCellStyle="Comma">
  <autoFilter ref="B124:P125" xr:uid="{3AA81467-7CA1-47A8-90EC-3D38BDD54257}"/>
  <tableColumns count="15">
    <tableColumn id="1" xr3:uid="{3C4D3BE7-FFE8-4AA6-9046-2E900FEAAF24}" name="Kế hoạch lương gross" dataDxfId="1620" totalsRowDxfId="1619" dataCellStyle="Comma"/>
    <tableColumn id="3" xr3:uid="{5406D85A-8CE2-4CC8-8623-275C8DAC4DB0}" name="Tham chiếu" dataDxfId="1618" totalsRowDxfId="1617"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16" totalsRowDxfId="1615" dataCellStyle="Comma"/>
    <tableColumn id="30" xr3:uid="{3C7E21A7-1D02-40CC-B621-9BA1EE2F5AF0}" name="Tháng 2" dataDxfId="1614" totalsRowDxfId="1613" dataCellStyle="Comma"/>
    <tableColumn id="31" xr3:uid="{0EA71E79-00ED-47C7-9E3F-25D06EA1FE91}" name="Tháng 3" dataDxfId="1612" totalsRowDxfId="1611" dataCellStyle="Comma"/>
    <tableColumn id="32" xr3:uid="{BC596114-217F-4B94-AD95-C681D74C7AEE}" name="Tháng 4" dataDxfId="1610" totalsRowDxfId="1609" dataCellStyle="Comma"/>
    <tableColumn id="33" xr3:uid="{4D50F754-44AB-4EA0-8411-B3DA58FA9F77}" name="Tháng 5" dataDxfId="1608" totalsRowDxfId="1607" dataCellStyle="Comma"/>
    <tableColumn id="34" xr3:uid="{095DA541-8FFF-4D4A-B0B1-0F628DFE99D0}" name="Tháng 6" dataDxfId="1606" dataCellStyle="Comma"/>
    <tableColumn id="35" xr3:uid="{D3E05F56-0880-4153-91D3-D886DE1340C5}" name="Tháng 7" dataDxfId="1605" dataCellStyle="Comma"/>
    <tableColumn id="36" xr3:uid="{D1923F54-11DB-4249-B122-FA71BE50ED0F}" name="Tháng 8" dataDxfId="1604" dataCellStyle="Comma"/>
    <tableColumn id="37" xr3:uid="{01190BA1-8776-41CD-8213-306DC9E72917}" name="Tháng 9" dataDxfId="1603" dataCellStyle="Comma"/>
    <tableColumn id="38" xr3:uid="{D4E78B4D-AEFC-4A5A-90AA-D2B0186513FD}" name="Tháng 10" dataDxfId="1602" dataCellStyle="Comma"/>
    <tableColumn id="39" xr3:uid="{39541C43-C729-4B8C-A2DF-8B46DB19934F}" name="Tháng 11" dataDxfId="1601" dataCellStyle="Comma"/>
    <tableColumn id="40" xr3:uid="{B507645B-A83E-40A1-8131-DC22121E7942}" name="Tháng 12" dataDxfId="1600" dataCellStyle="Comma"/>
    <tableColumn id="4" xr3:uid="{D2D75DE3-EB7B-496E-AFF1-41BEC8813A93}" name="Add" dataDxfId="1599"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8:P130" totalsRowCount="1" headerRowDxfId="1598" dataDxfId="1597" totalsRowDxfId="1596" headerRowCellStyle="Comma" dataCellStyle="Comma" totalsRowCellStyle="Comma">
  <autoFilter ref="B128:P129" xr:uid="{91BBA9C3-FC15-4CD7-9733-B5B5DB650110}"/>
  <tableColumns count="15">
    <tableColumn id="1" xr3:uid="{2E43917D-C813-4D56-BD16-1D4A8D96F05A}" name="Kế hoạch chi phí nhân sự (+ bảo hiểm)" totalsRowLabel="Total" dataDxfId="1595" totalsRowDxfId="1594" dataCellStyle="Comma"/>
    <tableColumn id="3" xr3:uid="{A57E4123-9FD6-4DF6-9D3E-62EF299F2B98}" name="Tham chiếu" totalsRowFunction="sum" dataDxfId="1593" totalsRowDxfId="1592"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MATCH(D$128,Table_KeHoach_LuongNet[#Headers],0))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MATCH(E$128,Table_KeHoach_LuongNet[#Headers],0))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MATCH(F$128,Table_KeHoach_LuongNet[#Headers],0))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MATCH(G$128,Table_KeHoach_LuongNet[#Headers],0))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MATCH(H$128,Table_KeHoach_LuongNet[#Headers],0))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MATCH(I$128,Table_KeHoach_LuongNet[#Headers],0))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MATCH(J$128,Table_KeHoach_LuongNet[#Headers],0))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MATCH(K$128,Table_KeHoach_LuongNet[#Headers],0))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MATCH(L$128,Table_KeHoach_LuongNet[#Headers],0))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3" totalsRowDxfId="1572" dataCellStyle="Comma">
      <calculatedColumnFormula xml:space="preserve">
INDEX(Table_KeHoach_LuongNet[#All],
MATCH(Table_KeHoach_LuongGross[[#This Row],[Kế hoạch chi phí nhân sự (+ bảo hiểm)]],Table_KeHoach_LuongNet[[#All],[Kế hoạch lương gross]],0),
MATCH(M$128,Table_KeHoach_LuongNet[#Headers],0))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1" totalsRowDxfId="1570" dataCellStyle="Comma">
      <calculatedColumnFormula xml:space="preserve">
INDEX(Table_KeHoach_LuongNet[#All],
MATCH(Table_KeHoach_LuongGross[[#This Row],[Kế hoạch chi phí nhân sự (+ bảo hiểm)]],Table_KeHoach_LuongNet[[#All],[Kế hoạch lương gross]],0),
MATCH(N$128,Table_KeHoach_LuongNet[#Headers],0))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69" totalsRowDxfId="1568" dataCellStyle="Comma">
      <calculatedColumnFormula xml:space="preserve">
INDEX(Table_KeHoach_LuongNet[#All],
MATCH(Table_KeHoach_LuongGross[[#This Row],[Kế hoạch chi phí nhân sự (+ bảo hiểm)]],Table_KeHoach_LuongNet[[#All],[Kế hoạch lương gross]],0),
MATCH(O$128,Table_KeHoach_LuongNet[#Headers],0))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67" totalsRowDxfId="1566"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3:P135" totalsRowCount="1" headerRowDxfId="1565" dataDxfId="1564" totalsRowDxfId="1563" headerRowCellStyle="Comma" dataCellStyle="Comma" totalsRowCellStyle="Comma">
  <autoFilter ref="B133:P134" xr:uid="{51C1DF05-35B2-4BFD-8DF4-9018A45F6CC9}"/>
  <tableColumns count="15">
    <tableColumn id="1" xr3:uid="{DE902550-E20E-4920-9A1F-69869534EED6}" name="Kế hoạch thưởng KPI" totalsRowLabel="Total" dataDxfId="1562" totalsRowDxfId="1561" dataCellStyle="Comma" totalsRowCellStyle="Comma"/>
    <tableColumn id="3" xr3:uid="{23B56988-FA74-49DE-860C-652B89832633}" name="Tham chiếu" totalsRowFunction="sum" dataDxfId="1560" totalsRowDxfId="1559"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58" totalsRowDxfId="1557" dataCellStyle="Comma" totalsRowCellStyle="Comma"/>
    <tableColumn id="30" xr3:uid="{79562E96-A57B-4C97-B581-1FC0ECDC0E76}" name="Tháng 2" totalsRowFunction="sum" dataDxfId="1556" totalsRowDxfId="1555" dataCellStyle="Comma" totalsRowCellStyle="Comma"/>
    <tableColumn id="31" xr3:uid="{0A4730AF-73B6-4A07-958A-C8FF52EC6A41}" name="Tháng 3" totalsRowFunction="sum" dataDxfId="1554" totalsRowDxfId="1553" dataCellStyle="Comma" totalsRowCellStyle="Comma"/>
    <tableColumn id="32" xr3:uid="{F0F88703-DBDC-407F-8F7E-4483AECA0242}" name="Tháng 4" totalsRowFunction="sum" dataDxfId="1552" totalsRowDxfId="1551" dataCellStyle="Comma" totalsRowCellStyle="Comma"/>
    <tableColumn id="33" xr3:uid="{D10E704C-0465-4AE8-BCD8-36942ABB8208}" name="Tháng 5" totalsRowFunction="sum" dataDxfId="1550" totalsRowDxfId="1549" dataCellStyle="Comma" totalsRowCellStyle="Comma"/>
    <tableColumn id="34" xr3:uid="{D8F6CCAA-AFE4-4EC1-AE0D-510FB5B92FB5}" name="Tháng 6" totalsRowFunction="sum" dataDxfId="1548" totalsRowDxfId="1547" dataCellStyle="Comma" totalsRowCellStyle="Comma"/>
    <tableColumn id="35" xr3:uid="{678187C6-1705-4738-B037-28706C93C220}" name="Tháng 7" totalsRowFunction="sum" dataDxfId="1546" totalsRowDxfId="1545" dataCellStyle="Comma" totalsRowCellStyle="Comma"/>
    <tableColumn id="36" xr3:uid="{D79FF401-459B-4FD8-8631-FD8F00B21CE3}" name="Tháng 8" totalsRowFunction="sum" dataDxfId="1544" totalsRowDxfId="1543" dataCellStyle="Comma" totalsRowCellStyle="Comma"/>
    <tableColumn id="37" xr3:uid="{36801A4E-98B6-4028-8EBF-B03919843482}" name="Tháng 9" totalsRowFunction="sum" dataDxfId="1542" totalsRowDxfId="1541" dataCellStyle="Comma" totalsRowCellStyle="Comma"/>
    <tableColumn id="38" xr3:uid="{30753DC8-004B-477F-B388-CBD4F9EF4ECE}" name="Tháng 10" totalsRowFunction="sum" dataDxfId="1540" totalsRowDxfId="1539" dataCellStyle="Comma" totalsRowCellStyle="Comma"/>
    <tableColumn id="39" xr3:uid="{638B4AF6-6F7F-43EC-A0CE-20762E3E036D}" name="Tháng 11" totalsRowFunction="sum" dataDxfId="1538" totalsRowDxfId="1537" dataCellStyle="Comma" totalsRowCellStyle="Comma"/>
    <tableColumn id="40" xr3:uid="{2C7C1BC1-E77A-4FA3-9C3B-873B2BA91660}" name="Tháng 12" totalsRowFunction="sum" dataDxfId="1536" totalsRowDxfId="1535" dataCellStyle="Comma" totalsRowCellStyle="Comma"/>
    <tableColumn id="4" xr3:uid="{C75BA92E-3442-4B90-BCC9-4C1EBA166D5F}" name="Add" dataDxfId="1534" totalsRowDxfId="1533"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1:P94" totalsRowCount="1" headerRowDxfId="1532" dataDxfId="1531" totalsRowDxfId="1530" headerRowCellStyle="Comma" dataCellStyle="Comma" totalsRowCellStyle="Comma">
  <autoFilter ref="B91:P93" xr:uid="{65310F32-2FD4-490F-884B-1AA81C582DF4}"/>
  <tableColumns count="15">
    <tableColumn id="1" xr3:uid="{BE423CEE-B6E7-4111-8870-82E3FE033021}" name="Kế hoạch chi phí vật tư &amp; tiện ích văn phòng" totalsRowLabel="Total" dataDxfId="1529" totalsRowDxfId="1528" dataCellStyle="Comma" totalsRowCellStyle="Comma"/>
    <tableColumn id="3" xr3:uid="{EBB8A3FA-398D-4A82-9B88-93A338431418}" name="Tham chiếu" totalsRowFunction="sum" dataDxfId="1527" totalsRowDxfId="1526" dataCellStyle="Comma" totalsRowCellStyle="Comma">
      <calculatedColumnFormula array="1"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calculatedColumnFormula>
    </tableColumn>
    <tableColumn id="29" xr3:uid="{18458E08-BB69-483A-BFF6-CC58414AD0D7}" name="Tháng 1" totalsRowFunction="sum" dataDxfId="1525" totalsRowDxfId="1524" dataCellStyle="Comma" totalsRowCellStyle="Comma"/>
    <tableColumn id="30" xr3:uid="{7FD75624-7DC6-49A7-8E05-A71039153BF1}" name="Tháng 2" totalsRowFunction="sum" dataDxfId="1523" totalsRowDxfId="1522" dataCellStyle="Comma" totalsRowCellStyle="Comma"/>
    <tableColumn id="31" xr3:uid="{42CB0602-6C2C-429F-9B84-98C757C5C5E4}" name="Tháng 3" totalsRowFunction="sum" dataDxfId="1521" totalsRowDxfId="1520" dataCellStyle="Comma" totalsRowCellStyle="Comma"/>
    <tableColumn id="32" xr3:uid="{01087BC2-EBDB-4095-8A4A-732B0A6FE87E}" name="Tháng 4" totalsRowFunction="sum" dataDxfId="1519" totalsRowDxfId="1518" dataCellStyle="Comma" totalsRowCellStyle="Comma"/>
    <tableColumn id="33" xr3:uid="{304B7945-3140-472A-AD9E-868515C0D16C}" name="Tháng 5" totalsRowFunction="sum" dataDxfId="1517" totalsRowDxfId="1516" dataCellStyle="Comma" totalsRowCellStyle="Comma"/>
    <tableColumn id="34" xr3:uid="{3261FDF8-4E8D-44A5-9B23-D773F0C7B65B}" name="Tháng 6" totalsRowFunction="sum" dataDxfId="1515" totalsRowDxfId="1514" dataCellStyle="Comma" totalsRowCellStyle="Comma"/>
    <tableColumn id="35" xr3:uid="{C2668BA7-C9F7-4559-90D2-274692CC68BA}" name="Tháng 7" totalsRowFunction="sum" dataDxfId="1513" totalsRowDxfId="1512" dataCellStyle="Comma" totalsRowCellStyle="Comma"/>
    <tableColumn id="36" xr3:uid="{B8B3836E-E188-4747-8152-C6E22B15EA27}" name="Tháng 8" totalsRowFunction="sum" dataDxfId="1511" totalsRowDxfId="1510" dataCellStyle="Comma" totalsRowCellStyle="Comma"/>
    <tableColumn id="37" xr3:uid="{4124E7A8-F80D-4B28-A7AF-3D2F53163B04}" name="Tháng 9" totalsRowFunction="sum" dataDxfId="1509" totalsRowDxfId="1508" dataCellStyle="Comma" totalsRowCellStyle="Comma"/>
    <tableColumn id="38" xr3:uid="{4E61618F-7E56-433A-9F3D-A7BEF1423B52}" name="Tháng 10" totalsRowFunction="sum" dataDxfId="1507" totalsRowDxfId="1506" dataCellStyle="Comma" totalsRowCellStyle="Comma"/>
    <tableColumn id="39" xr3:uid="{42F0304F-0136-47F5-A156-67D1C6D5A0F8}" name="Tháng 11" totalsRowFunction="sum" dataDxfId="1505" totalsRowDxfId="1504" dataCellStyle="Comma" totalsRowCellStyle="Comma"/>
    <tableColumn id="40" xr3:uid="{32AC9F09-DE67-48F6-8C67-9DC92EE4D4CC}" name="Tháng 12" totalsRowFunction="sum" dataDxfId="1503" totalsRowDxfId="1502" dataCellStyle="Comma" totalsRowCellStyle="Comma"/>
    <tableColumn id="4" xr3:uid="{762515F4-2F66-471A-83A4-BE59179608FF}" name="Add" dataDxfId="1501" totalsRowDxfId="1500"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8:P142" totalsRowCount="1" headerRowDxfId="1499" dataDxfId="1498" totalsRowDxfId="1497" headerRowCellStyle="Comma" dataCellStyle="Comma" totalsRowCellStyle="Comma">
  <autoFilter ref="B138:P141" xr:uid="{3D0FA759-8479-488D-839B-1BE0075A8A6C}"/>
  <tableColumns count="15">
    <tableColumn id="1" xr3:uid="{A3A5B59D-65BE-4BDD-8D15-A6692B89122C}" name="Kế hoạch ngân sách" totalsRowLabel="Total" dataDxfId="1496" totalsRowDxfId="1495" dataCellStyle="Comma" totalsRowCellStyle="Comma"/>
    <tableColumn id="3" xr3:uid="{9A361F38-A974-4042-8B26-AC09A6AC678E}" name="Tham chiếu" totalsRowFunction="sum" dataDxfId="1494" totalsRowDxfId="1493"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calculatedColumnFormula>
    </tableColumn>
    <tableColumn id="29" xr3:uid="{814D5643-16CD-47F4-A1E0-208A06B8A9D3}" name="Tháng 1" totalsRowFunction="sum" dataDxfId="1492" totalsRowDxfId="1491" dataCellStyle="Comma" totalsRowCellStyle="Comma"/>
    <tableColumn id="30" xr3:uid="{7A393414-42CB-443D-9D95-3533718E1A1D}" name="Tháng 2" totalsRowFunction="sum" dataDxfId="1490" totalsRowDxfId="1489" dataCellStyle="Comma" totalsRowCellStyle="Comma"/>
    <tableColumn id="31" xr3:uid="{1547A942-2141-4B1A-981E-FAFA34800349}" name="Tháng 3" totalsRowFunction="sum" dataDxfId="1488" totalsRowDxfId="1487" dataCellStyle="Comma" totalsRowCellStyle="Comma"/>
    <tableColumn id="32" xr3:uid="{4BA2A346-C5A9-4F66-B866-D24B20A9F657}" name="Tháng 4" totalsRowFunction="sum" dataDxfId="1486" totalsRowDxfId="1485" dataCellStyle="Comma" totalsRowCellStyle="Comma"/>
    <tableColumn id="33" xr3:uid="{72D605EF-2B61-4603-BCEA-EDBA2E24899C}" name="Tháng 5" totalsRowFunction="sum" dataDxfId="1484" totalsRowDxfId="1483" dataCellStyle="Comma" totalsRowCellStyle="Comma"/>
    <tableColumn id="34" xr3:uid="{D875344A-BA11-4CC1-BB3B-8739F71AC936}" name="Tháng 6" totalsRowFunction="sum" dataDxfId="1482" totalsRowDxfId="1481" dataCellStyle="Comma" totalsRowCellStyle="Comma"/>
    <tableColumn id="35" xr3:uid="{8B9B1D70-3FB2-4F52-B888-826982A5B247}" name="Tháng 7" totalsRowFunction="sum" dataDxfId="1480" totalsRowDxfId="1479" dataCellStyle="Comma" totalsRowCellStyle="Comma"/>
    <tableColumn id="36" xr3:uid="{0B8202AD-3A51-404D-9F3F-05D009961822}" name="Tháng 8" totalsRowFunction="sum" dataDxfId="1478" totalsRowDxfId="1477" dataCellStyle="Comma" totalsRowCellStyle="Comma"/>
    <tableColumn id="37" xr3:uid="{C122372F-CA84-4684-9337-528B16AB5609}" name="Tháng 9" totalsRowFunction="sum" dataDxfId="1476" totalsRowDxfId="1475" dataCellStyle="Comma" totalsRowCellStyle="Comma"/>
    <tableColumn id="38" xr3:uid="{62E64D4F-8F5D-45B9-B48B-B5ADDCB026D3}" name="Tháng 10" totalsRowFunction="sum" dataDxfId="1474" totalsRowDxfId="1473" dataCellStyle="Comma" totalsRowCellStyle="Comma"/>
    <tableColumn id="39" xr3:uid="{ECACEED0-E3A6-411F-9422-7CEA08BA2E8D}" name="Tháng 11" totalsRowFunction="sum" dataDxfId="1472" totalsRowDxfId="1471" dataCellStyle="Comma" totalsRowCellStyle="Comma"/>
    <tableColumn id="40" xr3:uid="{9697E292-6880-42E7-A8AE-EE172DE9F15A}" name="Tháng 12" totalsRowFunction="sum" dataDxfId="1470" totalsRowDxfId="1469" dataCellStyle="Comma" totalsRowCellStyle="Comma"/>
    <tableColumn id="4" xr3:uid="{39A00EAC-35E2-476E-9C03-58DC60EBCFD7}" name="Add" dataDxfId="1468" totalsRowDxfId="1467"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1:P154" totalsRowShown="0" headerRowDxfId="1466" dataDxfId="1465" headerRowCellStyle="Comma" dataCellStyle="Comma">
  <autoFilter ref="B151:P154" xr:uid="{97E71E07-08C3-4D75-87B9-575C55B5318E}"/>
  <tableColumns count="15">
    <tableColumn id="1" xr3:uid="{8C61939D-D1D3-4AA6-B8EC-9BF9733718F4}" name="Lịch khấu hao &amp; lãi vay" dataDxfId="1464" totalsRowDxfId="1463" dataCellStyle="Comma"/>
    <tableColumn id="3" xr3:uid="{EDAC3FF8-E543-464D-9B08-967E5E55A4FA}" name="Tham chiếu" dataDxfId="1462" dataCellStyle="Comma"/>
    <tableColumn id="29" xr3:uid="{B71573E4-B697-46AB-9AAD-919DBC8C2FE4}" name="Tháng 1" dataDxfId="1461" dataCellStyle="Comma"/>
    <tableColumn id="30" xr3:uid="{BB6EF50D-0D28-463F-A546-0322F2AA023F}" name="Tháng 2" dataDxfId="1460" dataCellStyle="Comma"/>
    <tableColumn id="31" xr3:uid="{BEEDA225-F934-4EC8-A044-EF51D67FFEA6}" name="Tháng 3" dataDxfId="1459" dataCellStyle="Comma"/>
    <tableColumn id="32" xr3:uid="{B6239208-B5A0-4BB3-876A-5D5156EDB6DD}" name="Tháng 4" dataDxfId="1458" dataCellStyle="Comma"/>
    <tableColumn id="33" xr3:uid="{7E493B9B-A5A9-4C91-9CC4-83B34E29EE50}" name="Tháng 5" dataDxfId="1457" dataCellStyle="Comma"/>
    <tableColumn id="34" xr3:uid="{37ACC2D8-4DEE-4789-AFB8-5D6B17420595}" name="Tháng 6" dataDxfId="1456" dataCellStyle="Comma"/>
    <tableColumn id="35" xr3:uid="{C38990B5-9F3B-4DB4-9798-79782F699076}" name="Tháng 7" dataDxfId="1455" dataCellStyle="Comma"/>
    <tableColumn id="36" xr3:uid="{11218192-6632-468B-9EE7-26F36E3398AE}" name="Tháng 8" dataDxfId="1454" dataCellStyle="Comma"/>
    <tableColumn id="37" xr3:uid="{CFC4D188-33E2-4A7B-A9BD-E10A0C069D17}" name="Tháng 9" dataDxfId="1453" dataCellStyle="Comma"/>
    <tableColumn id="38" xr3:uid="{98901CFD-0E90-426A-B1AE-8391DAC8D976}" name="Tháng 10" dataDxfId="1452" dataCellStyle="Comma"/>
    <tableColumn id="39" xr3:uid="{1F566442-3E89-4C65-9077-775BF6EF3FB6}" name="Tháng 11" dataDxfId="1451" dataCellStyle="Comma"/>
    <tableColumn id="40" xr3:uid="{58E047CC-369A-45E9-970B-69863F3C0B10}" name="Tháng 12" dataDxfId="1450" dataCellStyle="Comma"/>
    <tableColumn id="4" xr3:uid="{A3D771E3-1BF0-4769-9E5D-0A43A6EE075D}" name="Add" dataDxfId="1449"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5:P148" totalsRowCount="1" headerRowDxfId="1448" dataDxfId="1447" totalsRowDxfId="1446" headerRowCellStyle="Comma" dataCellStyle="Comma" totalsRowCellStyle="Comma">
  <autoFilter ref="B145:P147" xr:uid="{9E645D46-1A44-4F2B-8728-BC01BC6E8461}"/>
  <tableColumns count="15">
    <tableColumn id="1" xr3:uid="{5AA33CFF-2395-41B5-BF4C-27903568360B}" name="Kế hoạch ngân sách" totalsRowLabel="Total" dataDxfId="1445" totalsRowDxfId="1444" dataCellStyle="Comma" totalsRowCellStyle="Comma"/>
    <tableColumn id="3" xr3:uid="{DAE9A5E1-2CB3-4173-B33F-044FDCA10A62}" name="Tham chiếu" totalsRowFunction="sum" dataDxfId="1443" totalsRowDxfId="1442"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calculatedColumnFormula>
    </tableColumn>
    <tableColumn id="29" xr3:uid="{89D89AB7-BC0F-4F78-B5ED-5E36151E42EB}" name="Tháng 1" totalsRowFunction="sum" dataDxfId="1441" totalsRowDxfId="1440" dataCellStyle="Comma" totalsRowCellStyle="Comma"/>
    <tableColumn id="30" xr3:uid="{34C4D473-7E36-46F9-9EBA-E56D5FD0E172}" name="Tháng 2" totalsRowFunction="sum" dataDxfId="1439" totalsRowDxfId="1438" dataCellStyle="Comma" totalsRowCellStyle="Comma"/>
    <tableColumn id="31" xr3:uid="{20ECC82F-669A-4503-8155-4E0BD0CD521E}" name="Tháng 3" totalsRowFunction="sum" dataDxfId="1437" totalsRowDxfId="1436" dataCellStyle="Comma" totalsRowCellStyle="Comma"/>
    <tableColumn id="32" xr3:uid="{D7DF4C08-EF0D-459E-A993-EC17AB53D1BF}" name="Tháng 4" totalsRowFunction="sum" dataDxfId="1435" totalsRowDxfId="1434" dataCellStyle="Comma" totalsRowCellStyle="Comma"/>
    <tableColumn id="33" xr3:uid="{508CE090-5BF6-43D6-9AA3-7D2F39531309}" name="Tháng 5" totalsRowFunction="sum" dataDxfId="1433" totalsRowDxfId="1432" dataCellStyle="Comma" totalsRowCellStyle="Comma"/>
    <tableColumn id="34" xr3:uid="{6E7DB939-A67C-4B62-A246-94DEF021C7FA}" name="Tháng 6" totalsRowFunction="sum" dataDxfId="1431" totalsRowDxfId="1430" dataCellStyle="Comma" totalsRowCellStyle="Comma"/>
    <tableColumn id="35" xr3:uid="{E8F31322-4527-4EB4-8EBD-8E8CFD5F5E16}" name="Tháng 7" totalsRowFunction="sum" dataDxfId="1429" totalsRowDxfId="1428" dataCellStyle="Comma" totalsRowCellStyle="Comma"/>
    <tableColumn id="36" xr3:uid="{749398F3-9AB9-41DA-86BA-A41AB260C8A0}" name="Tháng 8" totalsRowFunction="sum" dataDxfId="1427" totalsRowDxfId="1426" dataCellStyle="Comma" totalsRowCellStyle="Comma"/>
    <tableColumn id="37" xr3:uid="{679E67DA-BE73-4F1E-904E-D4BAB51D59D2}" name="Tháng 9" totalsRowFunction="sum" dataDxfId="1425" totalsRowDxfId="1424" dataCellStyle="Comma" totalsRowCellStyle="Comma"/>
    <tableColumn id="38" xr3:uid="{C8B5B370-BD7A-42F4-ACA7-19D7B1064E9D}" name="Tháng 10" totalsRowFunction="sum" dataDxfId="1423" totalsRowDxfId="1422" dataCellStyle="Comma" totalsRowCellStyle="Comma"/>
    <tableColumn id="39" xr3:uid="{00FB2879-3329-4378-ACCB-05253AA210A9}" name="Tháng 11" totalsRowFunction="sum" dataDxfId="1421" totalsRowDxfId="1420" dataCellStyle="Comma" totalsRowCellStyle="Comma"/>
    <tableColumn id="40" xr3:uid="{EF5EC11B-262C-449B-BCD4-40B6D08C6A4E}" name="Tháng 12" totalsRowFunction="sum" dataDxfId="1419" totalsRowDxfId="1418" dataCellStyle="Comma" totalsRowCellStyle="Comma"/>
    <tableColumn id="4" xr3:uid="{CCC250CA-6149-4031-BDD7-4D41AD38E16A}" name="Add" dataDxfId="1417" totalsRowDxfId="1416"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1:P83" totalsRowCount="1" headerRowDxfId="1415" dataDxfId="1414" totalsRowDxfId="1413">
  <autoFilter ref="B81:P82" xr:uid="{90CB3F43-228B-42C8-8033-82A9C464218A}"/>
  <tableColumns count="15">
    <tableColumn id="1" xr3:uid="{3372742A-D250-4646-8967-F0313A30B44F}" name="Kế hoạch chi phí nguyên liệu, vật tư" totalsRowLabel="Total" dataDxfId="1412" totalsRowDxfId="1411" dataCellStyle="Comma" totalsRowCellStyle="Comma"/>
    <tableColumn id="3" xr3:uid="{44871731-2E3E-470C-8662-4B271913AE86}" name="Tham chiếu" totalsRowFunction="sum" dataDxfId="1410" totalsRowDxfId="1409"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08" totalsRowDxfId="1407" dataCellStyle="Comma" totalsRowCellStyle="Comma"/>
    <tableColumn id="28" xr3:uid="{EB268450-C92C-4EF4-B250-D1327E4DB0DD}" name="Tháng 2" totalsRowFunction="sum" dataDxfId="1406" totalsRowDxfId="1405" dataCellStyle="Comma" totalsRowCellStyle="Comma"/>
    <tableColumn id="29" xr3:uid="{9F8929A2-D8E6-4D5D-85C6-982E5C57DFB2}" name="Tháng 3" totalsRowFunction="sum" dataDxfId="1404" totalsRowDxfId="1403" dataCellStyle="Comma" totalsRowCellStyle="Comma"/>
    <tableColumn id="30" xr3:uid="{3B0680D1-6885-4501-8FDB-F1318F6CB0D8}" name="Tháng 4" totalsRowFunction="sum" dataDxfId="1402" totalsRowDxfId="1401" dataCellStyle="Comma" totalsRowCellStyle="Comma"/>
    <tableColumn id="31" xr3:uid="{BBAA5574-2400-46B0-9AF9-20B2BFDBD9DF}" name="Tháng 5" totalsRowFunction="sum" dataDxfId="1400" totalsRowDxfId="1399" dataCellStyle="Comma" totalsRowCellStyle="Comma"/>
    <tableColumn id="32" xr3:uid="{25BFBF1C-5AF4-49AE-8773-D775BD10541C}" name="Tháng 6" totalsRowFunction="sum" dataDxfId="1398" totalsRowDxfId="1397" dataCellStyle="Comma" totalsRowCellStyle="Comma"/>
    <tableColumn id="33" xr3:uid="{9DD9B0AB-9ADC-404B-A15A-150336570D6B}" name="Tháng 7" totalsRowFunction="sum" dataDxfId="1396" totalsRowDxfId="1395" dataCellStyle="Comma" totalsRowCellStyle="Comma"/>
    <tableColumn id="34" xr3:uid="{DB26B895-DA94-430D-B8B1-C4810F234A02}" name="Tháng 8" totalsRowFunction="sum" dataDxfId="1394" totalsRowDxfId="1393" dataCellStyle="Comma" totalsRowCellStyle="Comma"/>
    <tableColumn id="35" xr3:uid="{B41AAD7F-0471-425C-9C94-E0F57D8A3FD4}" name="Tháng 9" totalsRowFunction="sum" dataDxfId="1392" totalsRowDxfId="1391" dataCellStyle="Comma" totalsRowCellStyle="Comma"/>
    <tableColumn id="36" xr3:uid="{3C7456A8-64D5-4793-A017-A86820EA5328}" name="Tháng 10" totalsRowFunction="sum" dataDxfId="1390" totalsRowDxfId="1389" dataCellStyle="Comma" totalsRowCellStyle="Comma"/>
    <tableColumn id="37" xr3:uid="{4A752FBB-A857-49FA-9DFF-0746C4B7C7B3}" name="Tháng 11" totalsRowFunction="sum" dataDxfId="1388" totalsRowDxfId="1387" dataCellStyle="Comma" totalsRowCellStyle="Comma"/>
    <tableColumn id="38" xr3:uid="{25FB919C-492A-46B1-B521-987406C79B89}" name="Tháng 12" totalsRowFunction="sum" dataDxfId="1386" totalsRowDxfId="1385" dataCellStyle="Comma" totalsRowCellStyle="Comma"/>
    <tableColumn id="4" xr3:uid="{76B04028-0E93-449E-88F6-4D49CB59F867}" name="Add" dataDxfId="1384" totalsRowDxfId="1383"/>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6:P88" totalsRowCount="1" headerRowDxfId="1382" dataDxfId="1381" totalsRowDxfId="1380" headerRowCellStyle="Comma" dataCellStyle="Comma" totalsRowCellStyle="Comma">
  <autoFilter ref="B86:P87" xr:uid="{221B0537-5FEB-4DED-A19F-3E6B77DA9996}"/>
  <tableColumns count="15">
    <tableColumn id="1" xr3:uid="{17A55D1D-8A7F-46C4-A78E-E6D88609A0ED}" name="Kế hoạch chi phí tiện ích sản xuất" totalsRowLabel="Total" dataDxfId="1379" totalsRowDxfId="1378" dataCellStyle="Comma" totalsRowCellStyle="Comma"/>
    <tableColumn id="3" xr3:uid="{03133537-8970-47C4-9CB1-F57A233D5355}" name="Tham chiếu" totalsRowFunction="sum" dataDxfId="1377" totalsRowDxfId="1376" dataCellStyle="Comma" totalsRowCellStyle="Comma">
      <calculatedColumnFormula array="1" xml:space="preserve">
(-IFERROR(SUM(
_xlfn._xlws.FILTER(Table_ChiPhiKD[Phân bổ sản xuất],
(Table_ChiPhiKD[Kỳ] &gt;=BCQT_BatDau) *
(Table_ChiPhiKD[Kỳ] &lt;BCQT_KetThuc) *
(Table_ChiPhiKD[Nhóm chi phí] = Table_KeHoach_ChiPhiTienIchSX[[#This Row],[Kế hoạch chi phí tiện ích sản xuất]] )
)),0)
- IFERROR(SUMPRODUCT(
_xlfn._xlws.FILTER(Table_ChiPhiKD[Phân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calculatedColumnFormula>
    </tableColumn>
    <tableColumn id="27" xr3:uid="{0E5F53FE-DD99-49BB-956B-C5B039632FC3}" name="Tháng 1" totalsRowFunction="sum" dataDxfId="1375" totalsRowDxfId="1374" dataCellStyle="Comma" totalsRowCellStyle="Comma"/>
    <tableColumn id="28" xr3:uid="{408F329E-A3BD-4780-A836-586D06F3F5F6}" name="Tháng 2" totalsRowFunction="sum" dataDxfId="1373" totalsRowDxfId="1372" dataCellStyle="Comma" totalsRowCellStyle="Comma"/>
    <tableColumn id="29" xr3:uid="{93B60ABC-5251-432D-8B09-2C62360426B9}" name="Tháng 3" totalsRowFunction="sum" dataDxfId="1371" totalsRowDxfId="1370" dataCellStyle="Comma" totalsRowCellStyle="Comma"/>
    <tableColumn id="30" xr3:uid="{8CA584FC-B8D9-4903-8138-100091B50430}" name="Tháng 4" totalsRowFunction="sum" dataDxfId="1369" totalsRowDxfId="1368" dataCellStyle="Comma" totalsRowCellStyle="Comma"/>
    <tableColumn id="31" xr3:uid="{D7148F32-51F6-407D-BA56-EEF0BAAFF045}" name="Tháng 5" totalsRowFunction="sum" dataDxfId="1367" totalsRowDxfId="1366" dataCellStyle="Comma" totalsRowCellStyle="Comma"/>
    <tableColumn id="32" xr3:uid="{E4B3771C-3F5D-4E1B-B8C5-F0AB7A779F31}" name="Tháng 6" totalsRowFunction="sum" dataDxfId="1365" totalsRowDxfId="1364" dataCellStyle="Comma" totalsRowCellStyle="Comma"/>
    <tableColumn id="33" xr3:uid="{BB5112F1-DF2B-46EF-A759-0B8526A16202}" name="Tháng 7" totalsRowFunction="sum" dataDxfId="1363" totalsRowDxfId="1362" dataCellStyle="Comma" totalsRowCellStyle="Comma"/>
    <tableColumn id="34" xr3:uid="{53491907-D6B4-44B1-B631-825C9AB3EAC9}" name="Tháng 8" totalsRowFunction="sum" dataDxfId="1361" totalsRowDxfId="1360" dataCellStyle="Comma" totalsRowCellStyle="Comma"/>
    <tableColumn id="35" xr3:uid="{DBD3DFBF-CB4A-4279-B26F-2294BD4221B8}" name="Tháng 9" totalsRowFunction="sum" dataDxfId="1359" totalsRowDxfId="1358" dataCellStyle="Comma" totalsRowCellStyle="Comma"/>
    <tableColumn id="36" xr3:uid="{99835027-2C0C-4E07-8D04-B5AEE2FCAED3}" name="Tháng 10" totalsRowFunction="sum" dataDxfId="1357" totalsRowDxfId="1356" dataCellStyle="Comma" totalsRowCellStyle="Comma"/>
    <tableColumn id="37" xr3:uid="{E54489E3-CF50-4AF1-8114-420E4169CF1C}" name="Tháng 11" totalsRowFunction="sum" dataDxfId="1355" totalsRowDxfId="1354" dataCellStyle="Comma" totalsRowCellStyle="Comma"/>
    <tableColumn id="38" xr3:uid="{81D93D54-7809-486C-8C6D-B20D35EC3603}" name="Tháng 12" totalsRowFunction="sum" dataDxfId="1353" totalsRowDxfId="1352" dataCellStyle="Comma" totalsRowCellStyle="Comma"/>
    <tableColumn id="4" xr3:uid="{D87FE2DC-D034-48F9-B0EF-D04F9DE6812D}" name="Add" dataDxfId="1351" totalsRowDxfId="1350"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6:P107" totalsRowShown="0" headerRowDxfId="1349" dataDxfId="1348" headerRowCellStyle="Percent" dataCellStyle="Percent">
  <autoFilter ref="B106:P107" xr:uid="{6F4378BF-C48C-4BF7-978E-B05133837A9C}"/>
  <tableColumns count="15">
    <tableColumn id="1" xr3:uid="{0AB704CD-6E77-4A19-8A14-44B491ED44A9}" name="Kế hoạch tỷ lệ CK thanh toán" dataDxfId="1347" dataCellStyle="Percent"/>
    <tableColumn id="3" xr3:uid="{2D2F2141-648C-44C4-A38F-63B74B7ADD09}" name="Tham chiếu" dataDxfId="1346"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45" dataCellStyle="Percent"/>
    <tableColumn id="28" xr3:uid="{84EE1221-DEC1-4F70-9345-67F537D90FF1}" name="Tháng 2" dataDxfId="1344" dataCellStyle="Percent"/>
    <tableColumn id="29" xr3:uid="{529C4CF1-0CD0-4188-9775-240208D63558}" name="Tháng 3" dataDxfId="1343" dataCellStyle="Percent"/>
    <tableColumn id="30" xr3:uid="{388C03E3-701B-43CD-98FF-FB59C839699F}" name="Tháng 4" dataDxfId="1342" dataCellStyle="Percent"/>
    <tableColumn id="31" xr3:uid="{A27FB24F-7DB3-45CA-9BB7-26DE3660DD4A}" name="Tháng 5" dataDxfId="1341" dataCellStyle="Percent"/>
    <tableColumn id="32" xr3:uid="{CDFB964C-256B-4671-9E9A-6736F6E35215}" name="Tháng 6" dataDxfId="1340" dataCellStyle="Percent"/>
    <tableColumn id="33" xr3:uid="{9F5978D1-9D0F-435B-B981-77F26AB879EC}" name="Tháng 7" dataDxfId="1339" dataCellStyle="Percent"/>
    <tableColumn id="34" xr3:uid="{9C76757D-0A13-4B88-A3E0-8FB691A90FD6}" name="Tháng 8" dataDxfId="1338" dataCellStyle="Percent"/>
    <tableColumn id="35" xr3:uid="{42FBE347-EDDD-4577-A72B-093288F992EA}" name="Tháng 9" dataDxfId="1337" dataCellStyle="Percent"/>
    <tableColumn id="36" xr3:uid="{C10786ED-D15A-4048-B931-CE8FE052E0BB}" name="Tháng 10" dataDxfId="1336" dataCellStyle="Percent"/>
    <tableColumn id="37" xr3:uid="{E0E1F05E-4DF9-48A2-A327-71B98B576B04}" name="Tháng 11" dataDxfId="1335" dataCellStyle="Percent"/>
    <tableColumn id="38" xr3:uid="{1B2BC369-8B67-4EA4-B6B1-78066DCB5241}" name="Tháng 12" dataDxfId="1334" dataCellStyle="Percent"/>
    <tableColumn id="4" xr3:uid="{AD6DF885-CE62-49F9-A015-3CAAF11FE2E4}" name="Add" dataDxfId="1333"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0:P111" totalsRowShown="0" headerRowDxfId="1332" dataDxfId="1331" headerRowCellStyle="Percent" dataCellStyle="Percent">
  <autoFilter ref="B110:P111" xr:uid="{4DB4E945-1A05-4874-A72A-EEAF59322C13}"/>
  <tableColumns count="15">
    <tableColumn id="1" xr3:uid="{EBB5E7C6-D939-4589-8704-A0CFFC685DB4}" name="Kế hoạch tỷ trọng doanh thu" dataDxfId="1330" dataCellStyle="Percent"/>
    <tableColumn id="3" xr3:uid="{F510D5AB-1223-433A-9DD7-BB949C5603C7}" name="Tham chiếu" dataDxfId="1329"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28" dataCellStyle="Percent"/>
    <tableColumn id="28" xr3:uid="{AC15DDAC-1488-496D-A1FD-755A17C1765C}" name="Tháng 2" dataDxfId="1327" dataCellStyle="Percent"/>
    <tableColumn id="29" xr3:uid="{8F89C81C-9306-4476-9065-1C9055D23101}" name="Tháng 3" dataDxfId="1326" dataCellStyle="Percent"/>
    <tableColumn id="30" xr3:uid="{FB51BEB5-3EBC-4225-AFA9-1582A2D0E694}" name="Tháng 4" dataDxfId="1325" dataCellStyle="Percent"/>
    <tableColumn id="31" xr3:uid="{D59A1D80-6E2A-4F74-B9B2-3CB8EE5D48AC}" name="Tháng 5" dataDxfId="1324" dataCellStyle="Percent"/>
    <tableColumn id="32" xr3:uid="{B5BA3823-4DA6-4052-877C-67FB19C2D153}" name="Tháng 6" dataDxfId="1323" dataCellStyle="Percent"/>
    <tableColumn id="33" xr3:uid="{87A57697-B2D6-4D67-AF6D-87B1A2F2031D}" name="Tháng 7" dataDxfId="1322" dataCellStyle="Percent"/>
    <tableColumn id="34" xr3:uid="{52576BFB-2F7A-44B4-BE29-972875199C82}" name="Tháng 8" dataDxfId="1321" dataCellStyle="Percent"/>
    <tableColumn id="35" xr3:uid="{60667DE0-46F3-41A5-B737-276C5E83E46B}" name="Tháng 9" dataDxfId="1320" dataCellStyle="Percent"/>
    <tableColumn id="36" xr3:uid="{79D79A59-26BF-4C3B-BAB3-FCDB2B9DBFA0}" name="Tháng 10" dataDxfId="1319" dataCellStyle="Percent"/>
    <tableColumn id="37" xr3:uid="{EE95E868-2995-43EE-8E53-035105D694A9}" name="Tháng 11" dataDxfId="1318" dataCellStyle="Percent"/>
    <tableColumn id="38" xr3:uid="{1C4C6182-AF5E-42F6-A7FF-40D2E44EBD89}" name="Tháng 12" dataDxfId="1317" dataCellStyle="Percent"/>
    <tableColumn id="4" xr3:uid="{18EAC69D-6080-4C06-8FE2-E9D20A33237A}" name="Add" dataDxfId="1316"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4:P116" totalsRowCount="1" headerRowDxfId="1315" dataDxfId="1314" totalsRowDxfId="1313" headerRowCellStyle="Comma" dataCellStyle="Comma" totalsRowCellStyle="Comma">
  <autoFilter ref="B114:P115" xr:uid="{4E79D7EF-FE20-446B-8CC3-46D2CC3EA444}"/>
  <tableColumns count="15">
    <tableColumn id="1" xr3:uid="{26A35DC7-8E8B-45E3-BB3A-C37DFD8EE114}" name="Kế hoạch chi phí thanh toán" totalsRowLabel="Total" dataDxfId="1312" totalsRowDxfId="1311" dataCellStyle="Comma" totalsRowCellStyle="Comma"/>
    <tableColumn id="3" xr3:uid="{57AF8CD3-7273-4172-8B35-08BB4E2A0CEF}" name="Tham chiếu" totalsRowFunction="sum" dataDxfId="1310" totalsRowDxfId="1309"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MATCH(D$114,Table_KeHoach_DoanhThuTaiKhoan[#Headers],0)) *
INDEX(Table_KeHoach_ChietKhauThanToan[#All],
MATCH(Table_KeHoach_ChiPhiThanhToan[[#This Row],[Kế hoạch chi phí thanh toán]],Table_KeHoach_ChietKhauThanToan[[#All],[Kế hoạch tỷ lệ CK thanh toán]],0),
MATCH(D$114,Table_KeHoach_ChietKhauThanToan[#Headers],0)) *
HLOOKUP(D$114,Table_KeHoach_DoanhThu[#All],COUNTA(Table_KeHoach_DoanhThu[[#All],[Kế hoạch doanh thu gộp]]),0)</calculatedColumnFormula>
    </tableColumn>
    <tableColumn id="28" xr3:uid="{3C1FD459-BE52-476C-A231-93612BDC781D}" name="Tháng 2"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MATCH(E$114,Table_KeHoach_DoanhThuTaiKhoan[#Headers],0)) *
INDEX(Table_KeHoach_ChietKhauThanToan[#All],
MATCH(Table_KeHoach_ChiPhiThanhToan[[#This Row],[Kế hoạch chi phí thanh toán]],Table_KeHoach_ChietKhauThanToan[[#All],[Kế hoạch tỷ lệ CK thanh toán]],0),
MATCH(E$114,Table_KeHoach_ChietKhauThanToan[#Headers],0)) *
HLOOKUP(E$114,Table_KeHoach_DoanhThu[#All],COUNTA(Table_KeHoach_DoanhThu[[#All],[Kế hoạch doanh thu gộp]]),0)</calculatedColumnFormula>
    </tableColumn>
    <tableColumn id="29" xr3:uid="{44E99AC0-CE1E-4FEA-B1EC-56FE319B7BDB}" name="Tháng 3"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MATCH(F$114,Table_KeHoach_DoanhThuTaiKhoan[#Headers],0)) *
INDEX(Table_KeHoach_ChietKhauThanToan[#All],
MATCH(Table_KeHoach_ChiPhiThanhToan[[#This Row],[Kế hoạch chi phí thanh toán]],Table_KeHoach_ChietKhauThanToan[[#All],[Kế hoạch tỷ lệ CK thanh toán]],0),
MATCH(F$114,Table_KeHoach_ChietKhauThanToan[#Headers],0)) *
HLOOKUP(F$114,Table_KeHoach_DoanhThu[#All],COUNTA(Table_KeHoach_DoanhThu[[#All],[Kế hoạch doanh thu gộp]]),0)</calculatedColumnFormula>
    </tableColumn>
    <tableColumn id="30" xr3:uid="{96C0360B-2A89-485D-AF92-3B6FF178430A}" name="Tháng 4"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MATCH(G$114,Table_KeHoach_DoanhThuTaiKhoan[#Headers],0)) *
INDEX(Table_KeHoach_ChietKhauThanToan[#All],
MATCH(Table_KeHoach_ChiPhiThanhToan[[#This Row],[Kế hoạch chi phí thanh toán]],Table_KeHoach_ChietKhauThanToan[[#All],[Kế hoạch tỷ lệ CK thanh toán]],0),
MATCH(G$114,Table_KeHoach_ChietKhauThanToan[#Headers],0)) *
HLOOKUP(G$114,Table_KeHoach_DoanhThu[#All],COUNTA(Table_KeHoach_DoanhThu[[#All],[Kế hoạch doanh thu gộp]]),0)</calculatedColumnFormula>
    </tableColumn>
    <tableColumn id="31" xr3:uid="{42586720-5824-4FE3-A8DF-B80FDE5EF3D4}" name="Tháng 5"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MATCH(H$114,Table_KeHoach_DoanhThuTaiKhoan[#Headers],0)) *
INDEX(Table_KeHoach_ChietKhauThanToan[#All],
MATCH(Table_KeHoach_ChiPhiThanhToan[[#This Row],[Kế hoạch chi phí thanh toán]],Table_KeHoach_ChietKhauThanToan[[#All],[Kế hoạch tỷ lệ CK thanh toán]],0),
MATCH(H$114,Table_KeHoach_ChietKhauThanToan[#Headers],0)) *
HLOOKUP(H$114,Table_KeHoach_DoanhThu[#All],COUNTA(Table_KeHoach_DoanhThu[[#All],[Kế hoạch doanh thu gộp]]),0)</calculatedColumnFormula>
    </tableColumn>
    <tableColumn id="32" xr3:uid="{07F0297E-062C-4051-8E96-4FA401FF61A4}" name="Tháng 6"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MATCH(I$114,Table_KeHoach_DoanhThuTaiKhoan[#Headers],0)) *
INDEX(Table_KeHoach_ChietKhauThanToan[#All],
MATCH(Table_KeHoach_ChiPhiThanhToan[[#This Row],[Kế hoạch chi phí thanh toán]],Table_KeHoach_ChietKhauThanToan[[#All],[Kế hoạch tỷ lệ CK thanh toán]],0),
MATCH(I$114,Table_KeHoach_ChietKhauThanToan[#Headers],0)) *
HLOOKUP(I$114,Table_KeHoach_DoanhThu[#All],COUNTA(Table_KeHoach_DoanhThu[[#All],[Kế hoạch doanh thu gộp]]),0)</calculatedColumnFormula>
    </tableColumn>
    <tableColumn id="33" xr3:uid="{B905C123-8F78-469A-881C-7FF04EC6AA39}" name="Tháng 7"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MATCH(J$114,Table_KeHoach_DoanhThuTaiKhoan[#Headers],0)) *
INDEX(Table_KeHoach_ChietKhauThanToan[#All],
MATCH(Table_KeHoach_ChiPhiThanhToan[[#This Row],[Kế hoạch chi phí thanh toán]],Table_KeHoach_ChietKhauThanToan[[#All],[Kế hoạch tỷ lệ CK thanh toán]],0),
MATCH(J$114,Table_KeHoach_ChietKhauThanToan[#Headers],0)) *
HLOOKUP(J$114,Table_KeHoach_DoanhThu[#All],COUNTA(Table_KeHoach_DoanhThu[[#All],[Kế hoạch doanh thu gộp]]),0)</calculatedColumnFormula>
    </tableColumn>
    <tableColumn id="34" xr3:uid="{7F55150A-0CF2-4CFB-BFE1-2A95E9D95074}" name="Tháng 8"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MATCH(K$114,Table_KeHoach_DoanhThuTaiKhoan[#Headers],0)) *
INDEX(Table_KeHoach_ChietKhauThanToan[#All],
MATCH(Table_KeHoach_ChiPhiThanhToan[[#This Row],[Kế hoạch chi phí thanh toán]],Table_KeHoach_ChietKhauThanToan[[#All],[Kế hoạch tỷ lệ CK thanh toán]],0),
MATCH(K$114,Table_KeHoach_ChietKhauThanToan[#Headers],0)) *
HLOOKUP(K$114,Table_KeHoach_DoanhThu[#All],COUNTA(Table_KeHoach_DoanhThu[[#All],[Kế hoạch doanh thu gộp]]),0)</calculatedColumnFormula>
    </tableColumn>
    <tableColumn id="35" xr3:uid="{73FA5353-45C9-4ED4-999D-14E70B99E824}" name="Tháng 9"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MATCH(L$114,Table_KeHoach_DoanhThuTaiKhoan[#Headers],0)) *
INDEX(Table_KeHoach_ChietKhauThanToan[#All],
MATCH(Table_KeHoach_ChiPhiThanhToan[[#This Row],[Kế hoạch chi phí thanh toán]],Table_KeHoach_ChietKhauThanToan[[#All],[Kế hoạch tỷ lệ CK thanh toán]],0),
MATCH(L$114,Table_KeHoach_ChietKhauThanToan[#Headers],0)) *
HLOOKUP(L$114,Table_KeHoach_DoanhThu[#All],COUNTA(Table_KeHoach_DoanhThu[[#All],[Kế hoạch doanh thu gộp]]),0)</calculatedColumnFormula>
    </tableColumn>
    <tableColumn id="36" xr3:uid="{D4791067-9357-49C2-84E1-DFAC0F17A84F}" name="Tháng 10" totalsRowFunction="sum" dataDxfId="1290" totalsRowDxfId="1289" dataCellStyle="Comma" totalsRowCellStyle="Comma">
      <calculatedColumnFormula>-
INDEX(Table_KeHoach_DoanhThuTaiKhoan[#All],
MATCH(Table_KeHoach_ChiPhiThanhToan[[#This Row],[Kế hoạch chi phí thanh toán]],Table_KeHoach_DoanhThuTaiKhoan[[#All],[Kế hoạch tỷ trọng doanh thu]],0),
MATCH(M$114,Table_KeHoach_DoanhThuTaiKhoan[#Headers],0)) *
INDEX(Table_KeHoach_ChietKhauThanToan[#All],
MATCH(Table_KeHoach_ChiPhiThanhToan[[#This Row],[Kế hoạch chi phí thanh toán]],Table_KeHoach_ChietKhauThanToan[[#All],[Kế hoạch tỷ lệ CK thanh toán]],0),
MATCH(M$114,Table_KeHoach_ChietKhauThanToan[#Headers],0)) *
HLOOKUP(M$114,Table_KeHoach_DoanhThu[#All],COUNTA(Table_KeHoach_DoanhThu[[#All],[Kế hoạch doanh thu gộp]]),0)</calculatedColumnFormula>
    </tableColumn>
    <tableColumn id="37" xr3:uid="{5611D5E6-8D29-43D1-9B81-864F4CE55C4C}" name="Tháng 11" totalsRowFunction="sum" dataDxfId="1288" totalsRowDxfId="1287" dataCellStyle="Comma" totalsRowCellStyle="Comma">
      <calculatedColumnFormula>-
INDEX(Table_KeHoach_DoanhThuTaiKhoan[#All],
MATCH(Table_KeHoach_ChiPhiThanhToan[[#This Row],[Kế hoạch chi phí thanh toán]],Table_KeHoach_DoanhThuTaiKhoan[[#All],[Kế hoạch tỷ trọng doanh thu]],0),
MATCH(N$114,Table_KeHoach_DoanhThuTaiKhoan[#Headers],0)) *
INDEX(Table_KeHoach_ChietKhauThanToan[#All],
MATCH(Table_KeHoach_ChiPhiThanhToan[[#This Row],[Kế hoạch chi phí thanh toán]],Table_KeHoach_ChietKhauThanToan[[#All],[Kế hoạch tỷ lệ CK thanh toán]],0),
MATCH(N$114,Table_KeHoach_ChietKhauThanToan[#Headers],0)) *
HLOOKUP(N$114,Table_KeHoach_DoanhThu[#All],COUNTA(Table_KeHoach_DoanhThu[[#All],[Kế hoạch doanh thu gộp]]),0)</calculatedColumnFormula>
    </tableColumn>
    <tableColumn id="38" xr3:uid="{8181C98D-3CAA-4B60-8AD7-1538621D71FC}" name="Tháng 12" totalsRowFunction="sum" dataDxfId="1286" totalsRowDxfId="1285" dataCellStyle="Comma" totalsRowCellStyle="Comma">
      <calculatedColumnFormula>-
INDEX(Table_KeHoach_DoanhThuTaiKhoan[#All],
MATCH(Table_KeHoach_ChiPhiThanhToan[[#This Row],[Kế hoạch chi phí thanh toán]],Table_KeHoach_DoanhThuTaiKhoan[[#All],[Kế hoạch tỷ trọng doanh thu]],0),
MATCH(O$114,Table_KeHoach_DoanhThuTaiKhoan[#Headers],0)) *
INDEX(Table_KeHoach_ChietKhauThanToan[#All],
MATCH(Table_KeHoach_ChiPhiThanhToan[[#This Row],[Kế hoạch chi phí thanh toán]],Table_KeHoach_ChietKhauThanToan[[#All],[Kế hoạch tỷ lệ CK thanh toán]],0),
MATCH(O$114,Table_KeHoach_ChietKhauThanToan[#Headers],0)) *
HLOOKUP(O$114,Table_KeHoach_DoanhThu[#All],COUNTA(Table_KeHoach_DoanhThu[[#All],[Kế hoạch doanh thu gộp]]),0)</calculatedColumnFormula>
    </tableColumn>
    <tableColumn id="4" xr3:uid="{B0478169-E6F8-42CC-8421-DE117A26B7F0}" name="Add" dataDxfId="1284" totalsRowDxfId="1283"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7:P69" totalsRowShown="0" headerRowDxfId="1282" dataDxfId="1281">
  <autoFilter ref="B67:P69" xr:uid="{0C63FCA5-374F-45E9-B948-7D48CC19EBA8}"/>
  <tableColumns count="15">
    <tableColumn id="1" xr3:uid="{76415C8B-364D-4D08-A827-14CA674598A8}" name="Kế hoạch chiết khấu thương mại" dataDxfId="1280"/>
    <tableColumn id="3" xr3:uid="{2D1F0164-FE3F-4FC6-81B1-670A52FB817F}" name="Tham chiếu" dataDxfId="1279">
      <calculatedColumnFormula>-C69/Table_KeHoach_DoanhThu[[#Totals],[Tham chiếu]]</calculatedColumnFormula>
    </tableColumn>
    <tableColumn id="27" xr3:uid="{F4421827-F4C5-411A-96EC-B157E5401B70}" name="Tháng 1" dataDxfId="1278">
      <calculatedColumnFormula>IFERROR(-D67*SUM(Table_KeHoach_SanLuong[Tháng 1]),0)</calculatedColumnFormula>
    </tableColumn>
    <tableColumn id="28" xr3:uid="{3D5D0C1B-0AF8-4F92-BBAC-01DC57CAA70C}" name="Tháng 2" dataDxfId="1277">
      <calculatedColumnFormula>-E67*SUM(Table_KeHoach_SanLuong[Tháng 1])</calculatedColumnFormula>
    </tableColumn>
    <tableColumn id="29" xr3:uid="{2184DEE7-0896-49DE-836E-27156D3DB4E3}" name="Tháng 3" dataDxfId="1276">
      <calculatedColumnFormula>-F67*SUM(Table_KeHoach_SanLuong[Tháng 1])</calculatedColumnFormula>
    </tableColumn>
    <tableColumn id="30" xr3:uid="{C24C7C88-ED1E-45EC-A3F8-182C13247E9C}" name="Tháng 4" dataDxfId="1275">
      <calculatedColumnFormula>-G67*SUM(Table_KeHoach_SanLuong[Tháng 1])</calculatedColumnFormula>
    </tableColumn>
    <tableColumn id="31" xr3:uid="{BB7AD995-EE6B-4BF7-A5F7-FCADABCEA453}" name="Tháng 5" dataDxfId="1274">
      <calculatedColumnFormula>-H67*SUM(Table_KeHoach_SanLuong[Tháng 1])</calculatedColumnFormula>
    </tableColumn>
    <tableColumn id="32" xr3:uid="{76BFFA42-73D8-439A-9CD4-3BBB1077ADC8}" name="Tháng 6" dataDxfId="1273">
      <calculatedColumnFormula>-I67*SUM(Table_KeHoach_SanLuong[Tháng 1])</calculatedColumnFormula>
    </tableColumn>
    <tableColumn id="33" xr3:uid="{32662CD6-B520-4DC0-9AD1-2C6240AFB0B2}" name="Tháng 7" dataDxfId="1272">
      <calculatedColumnFormula>-J67*SUM(Table_KeHoach_SanLuong[Tháng 1])</calculatedColumnFormula>
    </tableColumn>
    <tableColumn id="34" xr3:uid="{2E0AEA39-18D9-4BA8-AFDD-957A02179027}" name="Tháng 8" dataDxfId="1271">
      <calculatedColumnFormula>-K67*SUM(Table_KeHoach_SanLuong[Tháng 1])</calculatedColumnFormula>
    </tableColumn>
    <tableColumn id="35" xr3:uid="{D0234ED1-E665-4A9E-BB14-46DADF752A7F}" name="Tháng 9" dataDxfId="1270">
      <calculatedColumnFormula>-L67*SUM(Table_KeHoach_SanLuong[Tháng 1])</calculatedColumnFormula>
    </tableColumn>
    <tableColumn id="36" xr3:uid="{AD609898-BC6C-4B43-B083-24250902B7C3}" name="Tháng 10" dataDxfId="1269">
      <calculatedColumnFormula>-M67*SUM(Table_KeHoach_SanLuong[Tháng 1])</calculatedColumnFormula>
    </tableColumn>
    <tableColumn id="37" xr3:uid="{BAAC8AB2-3DB4-4465-A261-52A69FB1BEF0}" name="Tháng 11" dataDxfId="1268">
      <calculatedColumnFormula>-N67*SUM(Table_KeHoach_SanLuong[Tháng 1])</calculatedColumnFormula>
    </tableColumn>
    <tableColumn id="38" xr3:uid="{BC8D763A-019F-43F4-BDD8-DB95305BE6E2}" name="Tháng 12" dataDxfId="1267">
      <calculatedColumnFormula>-O67*SUM(Table_KeHoach_SanLuong[Tháng 1])</calculatedColumnFormula>
    </tableColumn>
    <tableColumn id="4" xr3:uid="{11843696-7620-496B-B09D-CF638E025668}" name="Add" dataDxfId="1266">
      <calculatedColumnFormula>IFERROR(-P67*Table_KeHoach_DoanhThu[[#Totals],[Tháng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6" totalsRowShown="0" headerRowDxfId="1265" dataDxfId="1264">
  <autoFilter ref="R6:T46" xr:uid="{1035B389-90D7-47BF-AE83-78827CD02611}"/>
  <tableColumns count="3">
    <tableColumn id="1" xr3:uid="{D1EA0B06-F776-4AE7-AFFA-8DDC0BEBB2C7}" name="Gtri" dataDxfId="1263"/>
    <tableColumn id="2" xr3:uid="{0706F8C0-4E8F-4E17-944F-ADD88182B0AD}" name="Năm đầu"/>
    <tableColumn id="15" xr3:uid="{0A76CFCF-213F-4B57-ACE5-C49B82D60DF1}" name="Add" dataDxfId="1262"/>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6" totalsRowShown="0" headerRowDxfId="1261" dataDxfId="1260">
  <autoFilter ref="V6:X46" xr:uid="{F0D1B767-E383-406E-8FDE-2130594FDFAA}"/>
  <tableColumns count="3">
    <tableColumn id="1" xr3:uid="{E01F3758-F6DC-4D50-BA14-C5C056EB4B41}" name="Gtri" dataDxfId="1259"/>
    <tableColumn id="2" xr3:uid="{CB73AAAC-EF9D-4925-906C-58B5DD9788C4}" name="Tháng" dataDxfId="1258" dataCellStyle="Comma"/>
    <tableColumn id="15" xr3:uid="{4E548353-44A3-44DF-A1B7-3D2C4835FE97}" name="Add" dataDxfId="1257"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49:P50" totalsRowShown="0" headerRowDxfId="1256" dataDxfId="1255">
  <autoFilter ref="B49:P50" xr:uid="{E0D11160-D408-4F9E-8B62-E6189C384C94}"/>
  <tableColumns count="15">
    <tableColumn id="1" xr3:uid="{16C9D670-EA68-4A8B-8672-EE3107C3457C}" name="Tăng trưởng sản lượng" dataDxfId="1254"/>
    <tableColumn id="4" xr3:uid="{552A8344-0BA7-4A80-9F4F-C60A1502FBBF}" name="Tăng trưởng năm" dataDxfId="1253" dataCellStyle="Percent">
      <calculatedColumnFormula array="1" xml:space="preserve">
(
(+IFERROR(SUM(
_xlfn._xlws.FILTER(Table_Main[Số lượng],
(Table_Main[Mã SKU] = $B50) *
NOT(ISBLANK(Table_Main[Đơn bán]))*
(Table_Main[Loại] = "Xuất")*
(Table_Main[Ngày lên đơn] &gt;= DATE(YEAR(BCQT_KetThuc)-1,1,1))*
(Table_Main[Ngày lên đơn] &lt; DATE(YEAR(BCQT_KetThuc),1,1))
)),0)
-IFERROR(SUM(
_xlfn._xlws.FILTER(Table_Main[Số lượng],
(Table_Main[Mã SKU] = $B50) *
NOT(ISBLANK(Table_Main[Đơn bán]))*
(Table_Main[Loại] = "Nhập")*
(Table_Main[Ngày lên đơn] &gt;= DATE(YEAR(BCQT_KetThuc)-1,1,1))*
(Table_Main[Ngày lên đơn] &lt; DATE(YEAR(BCQT_KetThuc),1,1))
)),0)) /
(+IFERROR(SUM(
_xlfn._xlws.FILTER(Table_Main[Số lượng],
(Table_Main[Mã SKU] = $B50) *
NOT(ISBLANK(Table_Main[Đơn bán]))*
(Table_Main[Loại] = "Xuất")*
(Table_Main[Ngày lên đơn] &gt;= DATE(YEAR(BCQT_BatDau),1,1))*
(Table_Main[Ngày lên đơn] &lt; DATE(YEAR(BCQT_BatDau)+1,1,1))
)),0)
-IFERROR(SUM(
_xlfn._xlws.FILTER(Table_Main[Số lượng],
(Table_Main[Mã SKU] = $B50)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2"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D$1)
)),0)
-IFERROR(SUM(
_xlfn._xlws.FILTER(Table_Main[Số lượng],
(Table_Main[Mã SKU] = $B50) *
NOT(ISBLANK(Table_Main[Đơn bán]))*
(Table_Main[Loại] = "Nhập")*
(Table_Main[Ngày lên đơn] &gt;= BCQT_BatDau)*
(Table_Main[Ngày lên đơn] &lt; BCQT_KetThuc)*
(Table_Main[Tháng lên đơn] = D$1)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0" xr3:uid="{8EF1BEEF-325B-4442-BB24-1F43AC12FFA3}" name="Tháng 2" dataDxfId="1251"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E$1)
)),0)
-IFERROR(SUM(
_xlfn._xlws.FILTER(Table_Main[Số lượng],
(Table_Main[Mã SKU] = $B50) *
NOT(ISBLANK(Table_Main[Đơn bán]))*
(Table_Main[Loại] = "Nhập")*
(Table_Main[Ngày lên đơn] &gt;= BCQT_BatDau)*
(Table_Main[Ngày lên đơn] &lt; BCQT_KetThuc)*
(Table_Main[Tháng lên đơn] = E$1)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1" xr3:uid="{E04AA4CF-F4E3-4DCF-8E7A-D54722B46F67}" name="Tháng 3" dataDxfId="1250"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F$1)
)),0)
-IFERROR(SUM(
_xlfn._xlws.FILTER(Table_Main[Số lượng],
(Table_Main[Mã SKU] = $B50) *
NOT(ISBLANK(Table_Main[Đơn bán]))*
(Table_Main[Loại] = "Nhập")*
(Table_Main[Ngày lên đơn] &gt;= BCQT_BatDau)*
(Table_Main[Ngày lên đơn] &lt; BCQT_KetThuc)*
(Table_Main[Tháng lên đơn] = F$1)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2" xr3:uid="{F63803E2-3B6F-4126-81EA-2C9E579D5991}" name="Tháng 4" dataDxfId="1249"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G$1)
)),0)
-IFERROR(SUM(
_xlfn._xlws.FILTER(Table_Main[Số lượng],
(Table_Main[Mã SKU] = $B50) *
NOT(ISBLANK(Table_Main[Đơn bán]))*
(Table_Main[Loại] = "Nhập")*
(Table_Main[Ngày lên đơn] &gt;= BCQT_BatDau)*
(Table_Main[Ngày lên đơn] &lt; BCQT_KetThuc)*
(Table_Main[Tháng lên đơn] = G$1)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3" xr3:uid="{874CE8E0-0A71-4303-A7B7-5FB1B611EE8C}" name="Tháng 5" dataDxfId="1248"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H$1)
)),0)
-IFERROR(SUM(
_xlfn._xlws.FILTER(Table_Main[Số lượng],
(Table_Main[Mã SKU] = $B50) *
NOT(ISBLANK(Table_Main[Đơn bán]))*
(Table_Main[Loại] = "Nhập")*
(Table_Main[Ngày lên đơn] &gt;= BCQT_BatDau)*
(Table_Main[Ngày lên đơn] &lt; BCQT_KetThuc)*
(Table_Main[Tháng lên đơn] = H$1)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4" xr3:uid="{7CA199D1-3DB8-43FB-8755-3CBCCABF080A}" name="Tháng 6" dataDxfId="1247"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I$1)
)),0)
-IFERROR(SUM(
_xlfn._xlws.FILTER(Table_Main[Số lượng],
(Table_Main[Mã SKU] = $B50) *
NOT(ISBLANK(Table_Main[Đơn bán]))*
(Table_Main[Loại] = "Nhập")*
(Table_Main[Ngày lên đơn] &gt;= BCQT_BatDau)*
(Table_Main[Ngày lên đơn] &lt; BCQT_KetThuc)*
(Table_Main[Tháng lên đơn] = I$1)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5" xr3:uid="{9CC0E82D-F333-4227-8CA5-F1A3CF87188C}" name="Tháng 7" dataDxfId="1246"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J$1)
)),0)
-IFERROR(SUM(
_xlfn._xlws.FILTER(Table_Main[Số lượng],
(Table_Main[Mã SKU] = $B50) *
NOT(ISBLANK(Table_Main[Đơn bán]))*
(Table_Main[Loại] = "Nhập")*
(Table_Main[Ngày lên đơn] &gt;= BCQT_BatDau)*
(Table_Main[Ngày lên đơn] &lt; BCQT_KetThuc)*
(Table_Main[Tháng lên đơn] = J$1)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6" xr3:uid="{59DBBAB6-3012-4CD6-8537-4389AA6F2953}" name="Tháng 8" dataDxfId="1245"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K$1)
)),0)
-IFERROR(SUM(
_xlfn._xlws.FILTER(Table_Main[Số lượng],
(Table_Main[Mã SKU] = $B50) *
NOT(ISBLANK(Table_Main[Đơn bán]))*
(Table_Main[Loại] = "Nhập")*
(Table_Main[Ngày lên đơn] &gt;= BCQT_BatDau)*
(Table_Main[Ngày lên đơn] &lt; BCQT_KetThuc)*
(Table_Main[Tháng lên đơn] = K$1)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7" xr3:uid="{0A3FD45B-7275-443A-8DBC-86E07F136B40}" name="Tháng 9" dataDxfId="1244"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L$1)
)),0)
-IFERROR(SUM(
_xlfn._xlws.FILTER(Table_Main[Số lượng],
(Table_Main[Mã SKU] = $B50) *
NOT(ISBLANK(Table_Main[Đơn bán]))*
(Table_Main[Loại] = "Nhập")*
(Table_Main[Ngày lên đơn] &gt;= BCQT_BatDau)*
(Table_Main[Ngày lên đơn] &lt; BCQT_KetThuc)*
(Table_Main[Tháng lên đơn] = L$1)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8" xr3:uid="{5B266711-53AD-44D7-95ED-1DC134679346}" name="Tháng 10" dataDxfId="1243"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M$1)
)),0)
-IFERROR(SUM(
_xlfn._xlws.FILTER(Table_Main[Số lượng],
(Table_Main[Mã SKU] = $B50) *
NOT(ISBLANK(Table_Main[Đơn bán]))*
(Table_Main[Loại] = "Nhập")*
(Table_Main[Ngày lên đơn] &gt;= BCQT_BatDau)*
(Table_Main[Ngày lên đơn] &lt; BCQT_KetThuc)*
(Table_Main[Tháng lên đơn] = M$1)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9" xr3:uid="{B12019BE-715B-42FF-A5FC-C2FE7364C4B5}" name="Tháng 11" dataDxfId="1242"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N$1)
)),0)
-IFERROR(SUM(
_xlfn._xlws.FILTER(Table_Main[Số lượng],
(Table_Main[Mã SKU] = $B50) *
NOT(ISBLANK(Table_Main[Đơn bán]))*
(Table_Main[Loại] = "Nhập")*
(Table_Main[Ngày lên đơn] &gt;= BCQT_BatDau)*
(Table_Main[Ngày lên đơn] &lt; BCQT_KetThuc)*
(Table_Main[Tháng lên đơn] = N$1)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40" xr3:uid="{05232CF4-48AB-496F-830A-FCD5F7BB338B}" name="Tháng 12" dataDxfId="1241" dataCellStyle="Percent">
      <calculatedColumnFormula array="1" xml:space="preserve">
(+IFERROR(SUM(
_xlfn._xlws.FILTER(Table_Main[Số lượng],
(Table_Main[Mã SKU] = $B50) *
NOT(ISBLANK(Table_Main[Đơn bán]))*
(Table_Main[Loại] = "Xuất")*
(Table_Main[Ngày lên đơn] &gt;= BCQT_BatDau)*
(Table_Main[Ngày lên đơn] &lt; BCQT_KetThuc)*
(Table_Main[Tháng lên đơn] = O$1)
)),0)
-IFERROR(SUM(
_xlfn._xlws.FILTER(Table_Main[Số lượng],
(Table_Main[Mã SKU] = $B50) *
NOT(ISBLANK(Table_Main[Đơn bán]))*
(Table_Main[Loại] = "Nhập")*
(Table_Main[Ngày lên đơn] &gt;= BCQT_BatDau)*
(Table_Main[Ngày lên đơn] &lt; BCQT_KetThuc)*
(Table_Main[Tháng lên đơn] = O$1)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calculatedColumnFormula>
    </tableColumn>
    <tableColumn id="3" xr3:uid="{5E31E96A-638F-4B28-9985-F643B89D342A}" name="Add" dataDxfId="1240"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8:P200" totalsRowCount="1" headerRowDxfId="1239" dataDxfId="1237" headerRowBorderDxfId="1238" tableBorderDxfId="1236">
  <autoFilter ref="B198:P199" xr:uid="{808A2169-8554-4C17-96AC-814597A28FCD}"/>
  <tableColumns count="15">
    <tableColumn id="1" xr3:uid="{49D0F695-8A6B-4F93-8F8B-468B99DE390C}" name="Kế hoạch cổ tức" totalsRowLabel="      Total      " dataDxfId="1235" totalsRowDxfId="1234"/>
    <tableColumn id="2" xr3:uid="{DD60580E-24DA-42B0-B365-15B56EFBD16B}" name="Tỷ lệ lợi ích" totalsRowFunction="sum" dataDxfId="1233" totalsRowDxfId="1232"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1" totalsRowDxfId="1230" dataCellStyle="Comma" totalsRowCellStyle="Comma">
      <calculatedColumnFormula>Table_KeHoach_CoTuc[[#This Row],[Tỷ lệ lợi ích]]*D$45</calculatedColumnFormula>
    </tableColumn>
    <tableColumn id="4" xr3:uid="{1E3DF815-1A4A-43CB-9723-2E250B7B2039}" name="Tháng 2" totalsRowFunction="sum" dataDxfId="1229" totalsRowDxfId="1228" dataCellStyle="Comma" totalsRowCellStyle="Comma">
      <calculatedColumnFormula>Table_KeHoach_CoTuc[[#This Row],[Tỷ lệ lợi ích]]*E$45</calculatedColumnFormula>
    </tableColumn>
    <tableColumn id="5" xr3:uid="{798EBA13-5C1C-4B3B-886D-7B42854CD1DE}" name="Tháng 3" totalsRowFunction="sum" dataDxfId="1227" totalsRowDxfId="1226" dataCellStyle="Comma" totalsRowCellStyle="Comma">
      <calculatedColumnFormula>Table_KeHoach_CoTuc[[#This Row],[Tỷ lệ lợi ích]]*F$45</calculatedColumnFormula>
    </tableColumn>
    <tableColumn id="6" xr3:uid="{8830216C-BA41-42D5-876B-AE721F398DED}" name="Tháng 4" totalsRowFunction="sum" dataDxfId="1225" totalsRowDxfId="1224" dataCellStyle="Comma" totalsRowCellStyle="Comma">
      <calculatedColumnFormula>Table_KeHoach_CoTuc[[#This Row],[Tỷ lệ lợi ích]]*G$45</calculatedColumnFormula>
    </tableColumn>
    <tableColumn id="7" xr3:uid="{CFBE895E-3AF4-435F-A0A6-AD782E142082}" name="Tháng 5" totalsRowFunction="sum" dataDxfId="1223" totalsRowDxfId="1222" dataCellStyle="Comma" totalsRowCellStyle="Comma">
      <calculatedColumnFormula>Table_KeHoach_CoTuc[[#This Row],[Tỷ lệ lợi ích]]*H$45</calculatedColumnFormula>
    </tableColumn>
    <tableColumn id="8" xr3:uid="{6AF681AF-ADB8-4ED1-A741-AB1B95CE411B}" name="Tháng 6" totalsRowFunction="sum" dataDxfId="1221" totalsRowDxfId="1220" dataCellStyle="Comma" totalsRowCellStyle="Comma">
      <calculatedColumnFormula>Table_KeHoach_CoTuc[[#This Row],[Tỷ lệ lợi ích]]*I$45</calculatedColumnFormula>
    </tableColumn>
    <tableColumn id="9" xr3:uid="{2859DA0C-AB7B-4D95-A27B-C0F30E1235A6}" name="Tháng 7" totalsRowFunction="sum" dataDxfId="1219" totalsRowDxfId="1218" dataCellStyle="Comma" totalsRowCellStyle="Comma">
      <calculatedColumnFormula>Table_KeHoach_CoTuc[[#This Row],[Tỷ lệ lợi ích]]*J$45</calculatedColumnFormula>
    </tableColumn>
    <tableColumn id="10" xr3:uid="{276E9A06-AFA5-4E42-BF42-CD0D2D891F37}" name="Tháng 8" totalsRowFunction="sum" dataDxfId="1217" totalsRowDxfId="1216" dataCellStyle="Comma" totalsRowCellStyle="Comma">
      <calculatedColumnFormula>Table_KeHoach_CoTuc[[#This Row],[Tỷ lệ lợi ích]]*K$45</calculatedColumnFormula>
    </tableColumn>
    <tableColumn id="11" xr3:uid="{E6C25EAF-8AD9-4321-9B36-672D987AE47D}" name="Tháng 9" totalsRowFunction="sum" dataDxfId="1215" totalsRowDxfId="1214" dataCellStyle="Comma" totalsRowCellStyle="Comma">
      <calculatedColumnFormula>Table_KeHoach_CoTuc[[#This Row],[Tỷ lệ lợi ích]]*L$45</calculatedColumnFormula>
    </tableColumn>
    <tableColumn id="12" xr3:uid="{A4509611-8DC1-4631-AD16-64AAC808B76D}" name="Tháng 10" totalsRowFunction="sum" dataDxfId="1213" totalsRowDxfId="1212" dataCellStyle="Comma" totalsRowCellStyle="Comma">
      <calculatedColumnFormula>Table_KeHoach_CoTuc[[#This Row],[Tỷ lệ lợi ích]]*M$45</calculatedColumnFormula>
    </tableColumn>
    <tableColumn id="13" xr3:uid="{94D4291B-9242-43C1-90C3-C2A12092243B}" name="Tháng 11" totalsRowFunction="sum" dataDxfId="1211" totalsRowDxfId="1210" dataCellStyle="Comma" totalsRowCellStyle="Comma">
      <calculatedColumnFormula>Table_KeHoach_CoTuc[[#This Row],[Tỷ lệ lợi ích]]*N$45</calculatedColumnFormula>
    </tableColumn>
    <tableColumn id="14" xr3:uid="{F3EBB3AF-1773-483A-8741-1AFC969F4F19}" name="Tháng 12" totalsRowFunction="sum" dataDxfId="1209" totalsRowDxfId="1208" dataCellStyle="Comma" totalsRowCellStyle="Comma">
      <calculatedColumnFormula>Table_KeHoach_CoTuc[[#This Row],[Tỷ lệ lợi ích]]*O$45</calculatedColumnFormula>
    </tableColumn>
    <tableColumn id="15" xr3:uid="{159C58E5-FDDC-4E10-860D-44AABDEC39DA}" name="Add" dataDxfId="1207" totalsRowDxfId="1206"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7:P161" totalsRowCount="1" headerRowDxfId="1205" dataDxfId="1204" totalsRowDxfId="1203" headerRowCellStyle="Comma" dataCellStyle="Comma" totalsRowCellStyle="Comma">
  <autoFilter ref="B157:P160" xr:uid="{B855090E-2521-4891-8B9A-A1744590F8D1}"/>
  <tableColumns count="15">
    <tableColumn id="1" xr3:uid="{1C669D90-1C61-45F6-B2D9-662BB6E142BA}" name="Thuế phí nộp NS" totalsRowLabel="Total" dataDxfId="1202" totalsRowDxfId="1201" dataCellStyle="Comma" totalsRowCellStyle="Comma"/>
    <tableColumn id="2" xr3:uid="{0161CD46-CFD7-4FAF-9630-C9C251B16E06}" name="Thuế suất TNDN" dataDxfId="1200" totalsRowDxfId="1199" dataCellStyle="Comma" totalsRowCellStyle="Comma"/>
    <tableColumn id="3" xr3:uid="{6AD8D76E-230B-4402-B8A3-95A761F4C0C9}" name="Tháng 1" totalsRowFunction="sum" dataDxfId="1198" totalsRowDxfId="1197" dataCellStyle="Comma" totalsRowCellStyle="Comma">
      <calculatedColumnFormula>Table_KeHoach_ThuePhi[[#This Row],[Thuế suất TNDN]]*(D18-SUM(D21:D27)-D29-SUM(D155:D157))</calculatedColumnFormula>
    </tableColumn>
    <tableColumn id="4" xr3:uid="{6A00ACB8-DB84-4FAE-8F4D-AA93D4893A76}" name="Tháng 2" totalsRowFunction="sum" dataDxfId="1196" totalsRowDxfId="1195" dataCellStyle="Comma" totalsRowCellStyle="Comma">
      <calculatedColumnFormula>+SUM(E155:E157)</calculatedColumnFormula>
    </tableColumn>
    <tableColumn id="5" xr3:uid="{3A10EF93-4296-4A0A-B190-3BD658A4F93A}" name="Tháng 3" totalsRowFunction="sum" dataDxfId="1194" totalsRowDxfId="1193" dataCellStyle="Comma" totalsRowCellStyle="Comma">
      <calculatedColumnFormula>+SUM(F155:F157)</calculatedColumnFormula>
    </tableColumn>
    <tableColumn id="6" xr3:uid="{72085BF3-BF3F-45F5-AF9E-4229A7AA17A4}" name="Tháng 4" totalsRowFunction="sum" dataDxfId="1192" totalsRowDxfId="1191" dataCellStyle="Comma" totalsRowCellStyle="Comma">
      <calculatedColumnFormula>+SUM(G155:G157)</calculatedColumnFormula>
    </tableColumn>
    <tableColumn id="7" xr3:uid="{A247F561-DC85-4213-A856-4FE1C288DB94}" name="Tháng 5" totalsRowFunction="sum" dataDxfId="1190" totalsRowDxfId="1189" dataCellStyle="Comma" totalsRowCellStyle="Comma">
      <calculatedColumnFormula>+SUM(H155:H157)</calculatedColumnFormula>
    </tableColumn>
    <tableColumn id="8" xr3:uid="{1BB01988-60CF-439A-92AF-640B37CB5280}" name="Tháng 6" totalsRowFunction="sum" dataDxfId="1188" totalsRowDxfId="1187" dataCellStyle="Comma" totalsRowCellStyle="Comma">
      <calculatedColumnFormula>+SUM(I155:I157)</calculatedColumnFormula>
    </tableColumn>
    <tableColumn id="9" xr3:uid="{7F548FC9-D828-43A1-802C-65E26620DEA1}" name="Tháng 7" totalsRowFunction="sum" dataDxfId="1186" totalsRowDxfId="1185" dataCellStyle="Comma" totalsRowCellStyle="Comma">
      <calculatedColumnFormula>+SUM(J155:J157)</calculatedColumnFormula>
    </tableColumn>
    <tableColumn id="10" xr3:uid="{EC476F7D-459B-484C-B60A-1FF6C6A94E22}" name="Tháng 8" totalsRowFunction="sum" dataDxfId="1184" totalsRowDxfId="1183" dataCellStyle="Comma" totalsRowCellStyle="Comma">
      <calculatedColumnFormula>+SUM(K155:K157)</calculatedColumnFormula>
    </tableColumn>
    <tableColumn id="11" xr3:uid="{46FBED57-1C5A-4431-9FBF-61138B8C88A1}" name="Tháng 9" totalsRowFunction="sum" dataDxfId="1182" totalsRowDxfId="1181" dataCellStyle="Comma" totalsRowCellStyle="Comma">
      <calculatedColumnFormula>+SUM(L155:L157)</calculatedColumnFormula>
    </tableColumn>
    <tableColumn id="12" xr3:uid="{F1E35AD6-1604-4E78-B288-9B8DAC51A335}" name="Tháng 10" totalsRowFunction="sum" dataDxfId="1180" totalsRowDxfId="1179" dataCellStyle="Comma" totalsRowCellStyle="Comma">
      <calculatedColumnFormula>+SUM(M155:M157)</calculatedColumnFormula>
    </tableColumn>
    <tableColumn id="13" xr3:uid="{88A8B4F6-67CE-4FFB-A0A1-256A3F6C0E73}" name="Tháng 11" totalsRowFunction="sum" dataDxfId="1178" totalsRowDxfId="1177" dataCellStyle="Comma" totalsRowCellStyle="Comma">
      <calculatedColumnFormula>+SUM(N155:N157)</calculatedColumnFormula>
    </tableColumn>
    <tableColumn id="14" xr3:uid="{724ED473-D4A4-48C6-882E-83401202C328}" name="Tháng 12" totalsRowFunction="sum" dataDxfId="1176" totalsRowDxfId="1175" dataCellStyle="Comma" totalsRowCellStyle="Comma">
      <calculatedColumnFormula>+SUM(O155:O157)</calculatedColumnFormula>
    </tableColumn>
    <tableColumn id="15" xr3:uid="{B7E74E67-C7ED-4A4A-BC5F-A7AC7C76239B}" name="Add" dataDxfId="1174" totalsRowDxfId="1173"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4:P166" totalsRowCount="1" headerRowDxfId="1172" dataDxfId="1171" totalsRowDxfId="1170" headerRowCellStyle="Comma" dataCellStyle="Comma" totalsRowCellStyle="Comma">
  <autoFilter ref="B164:P165" xr:uid="{56621785-F708-4DF2-B2D6-E0D67E00FAE4}"/>
  <tableColumns count="15">
    <tableColumn id="1" xr3:uid="{EBBD635E-E884-4F0E-92F4-A021EBA8BEFA}" name="Chi phí khác" totalsRowLabel="Total" dataDxfId="1169" totalsRowDxfId="1168" dataCellStyle="Comma" totalsRowCellStyle="Comma"/>
    <tableColumn id="2" xr3:uid="{E1C9EB78-7746-4D66-86B6-0AA7C3DDADFC}" name="Column1" dataDxfId="1167" totalsRowDxfId="1166" dataCellStyle="Comma" totalsRowCellStyle="Comma"/>
    <tableColumn id="3" xr3:uid="{B60B0D41-97F3-4CAB-8E00-5F741EB664DD}" name="Tháng 1" totalsRowFunction="sum" dataDxfId="1165" totalsRowDxfId="1164" dataCellStyle="Comma" totalsRowCellStyle="Comma"/>
    <tableColumn id="4" xr3:uid="{E81EC601-D6CD-40E2-A397-68181A232ACA}" name="Tháng 2" totalsRowFunction="sum" dataDxfId="1163" totalsRowDxfId="1162" dataCellStyle="Comma" totalsRowCellStyle="Comma"/>
    <tableColumn id="5" xr3:uid="{B31C442A-2F65-4366-811E-C986673F274D}" name="Tháng 3" totalsRowFunction="sum" dataDxfId="1161" totalsRowDxfId="1160" dataCellStyle="Comma" totalsRowCellStyle="Comma"/>
    <tableColumn id="6" xr3:uid="{BEFFAF3B-48FA-4F03-BCD2-3B0B27EE59F0}" name="Tháng 4" totalsRowFunction="sum" dataDxfId="1159" totalsRowDxfId="1158" dataCellStyle="Comma" totalsRowCellStyle="Comma"/>
    <tableColumn id="7" xr3:uid="{70BA20C3-2BDA-4CD9-934F-895A8B3D7129}" name="Tháng 5" totalsRowFunction="sum" dataDxfId="1157" totalsRowDxfId="1156" dataCellStyle="Comma" totalsRowCellStyle="Comma"/>
    <tableColumn id="8" xr3:uid="{6B049C1B-B9BF-4F20-8DA2-D9A62E4B7E1F}" name="Tháng 6" totalsRowFunction="sum" dataDxfId="1155" totalsRowDxfId="1154" dataCellStyle="Comma" totalsRowCellStyle="Comma"/>
    <tableColumn id="9" xr3:uid="{D0249CD3-0B5E-418D-9726-3462DD752F39}" name="Tháng 7" totalsRowFunction="sum" dataDxfId="1153" totalsRowDxfId="1152" dataCellStyle="Comma" totalsRowCellStyle="Comma"/>
    <tableColumn id="10" xr3:uid="{719D82C2-64AC-465F-BD79-7E8D7B1E8A2A}" name="Tháng 8" totalsRowFunction="sum" dataDxfId="1151" totalsRowDxfId="1150" dataCellStyle="Comma" totalsRowCellStyle="Comma"/>
    <tableColumn id="11" xr3:uid="{EC5D42B6-FA93-4887-8B0C-8A8154886D38}" name="Tháng 9" totalsRowFunction="sum" dataDxfId="1149" totalsRowDxfId="1148" dataCellStyle="Comma" totalsRowCellStyle="Comma"/>
    <tableColumn id="12" xr3:uid="{3C2AF411-CBAB-4893-9371-442E61652437}" name="Tháng 10" totalsRowFunction="sum" dataDxfId="1147" totalsRowDxfId="1146" dataCellStyle="Comma" totalsRowCellStyle="Comma"/>
    <tableColumn id="13" xr3:uid="{3157C9D9-A809-4298-8AE6-B4B4EC04ADB8}" name="Tháng 11" totalsRowFunction="sum" dataDxfId="1145" totalsRowDxfId="1144" dataCellStyle="Comma" totalsRowCellStyle="Comma"/>
    <tableColumn id="14" xr3:uid="{65E75A25-3AEC-4465-ABFA-28A42E168216}" name="Tháng 12" totalsRowFunction="sum" dataDxfId="1143" totalsRowDxfId="1142" dataCellStyle="Comma" totalsRowCellStyle="Comma"/>
    <tableColumn id="15" xr3:uid="{8B52360E-F978-4306-A59E-F167FC66E192}" name="Add" dataDxfId="1141" totalsRowDxfId="1140"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69:P170" totalsRowShown="0" headerRowDxfId="1139" dataDxfId="1138" dataCellStyle="Percent">
  <autoFilter ref="B169:P170" xr:uid="{4CFE68EC-67C4-41E5-B83D-BBBEA4C57376}"/>
  <tableColumns count="15">
    <tableColumn id="1" xr3:uid="{CE9FFF87-08A1-44D4-BA88-CB5DCC271889}" name="Tỷ lệ nợ trên doanh thu" dataDxfId="1137" dataCellStyle="Percent"/>
    <tableColumn id="2" xr3:uid="{5613D3E9-1531-48B2-A565-00FEA924B0BE}" name="Tham chiếu" dataDxfId="1136"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35" dataCellStyle="Percent"/>
    <tableColumn id="4" xr3:uid="{ED63E65D-F6D7-4A4A-9160-0D8ECF0CD2BD}" name="Tháng 2" dataDxfId="1134" dataCellStyle="Percent"/>
    <tableColumn id="5" xr3:uid="{7D151CF5-C7C6-456C-9565-C45772BC724E}" name="Tháng 3" dataDxfId="1133" dataCellStyle="Percent"/>
    <tableColumn id="6" xr3:uid="{5C9E58AD-6845-4FB4-9DBF-9ED77AE0B200}" name="Tháng 4" dataDxfId="1132" dataCellStyle="Percent"/>
    <tableColumn id="7" xr3:uid="{959B1477-DD31-434A-8492-994145BE49F5}" name="Tháng 5" dataDxfId="1131" dataCellStyle="Percent"/>
    <tableColumn id="8" xr3:uid="{A7CA6A4E-D12F-4A9E-9C5D-3A4BC4DF9BD5}" name="Tháng 6" dataDxfId="1130" dataCellStyle="Percent"/>
    <tableColumn id="9" xr3:uid="{83058071-EC16-4290-BCFE-B2E20FCF94C6}" name="Tháng 7" dataDxfId="1129" dataCellStyle="Percent"/>
    <tableColumn id="10" xr3:uid="{7DC78943-FF93-4ADF-AB00-6903F3871895}" name="Tháng 8" dataDxfId="1128" dataCellStyle="Percent"/>
    <tableColumn id="11" xr3:uid="{E8A70527-5041-4C75-816D-B9CEEC97CAFA}" name="Tháng 9" dataDxfId="1127" dataCellStyle="Percent"/>
    <tableColumn id="12" xr3:uid="{C5634CC9-1014-4371-8556-4898535E5A8B}" name="Tháng 10" dataDxfId="1126" dataCellStyle="Percent"/>
    <tableColumn id="13" xr3:uid="{8A9D1A6D-1DD9-4C24-B9F8-5D45B01042B8}" name="Tháng 11" dataDxfId="1125" dataCellStyle="Percent"/>
    <tableColumn id="14" xr3:uid="{3ED3D8B7-A502-4FC2-9834-66E32DC3616F}" name="Tháng 12" dataDxfId="1124" dataCellStyle="Percent"/>
    <tableColumn id="15" xr3:uid="{B1448B73-FDB2-4959-A66F-6572ABB5EF79}" name="Add" dataDxfId="1123"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3:P175" totalsRowCount="1" headerRowDxfId="1122" dataDxfId="1120" totalsRowDxfId="1118" headerRowBorderDxfId="1121" tableBorderDxfId="1119" headerRowCellStyle="Comma" dataCellStyle="Comma" totalsRowCellStyle="Comma">
  <autoFilter ref="B173:P174" xr:uid="{5E23A49D-9A60-4A25-85FF-03356EF94647}"/>
  <tableColumns count="15">
    <tableColumn id="1" xr3:uid="{5B556787-DDB8-4C7B-9FFB-D58306E173B3}" name="Dòng tiền đầu tư và thanh lý TSCĐ" totalsRowLabel=" Total " dataDxfId="1117" totalsRowDxfId="1116" dataCellStyle="Comma" totalsRowCellStyle="Comma"/>
    <tableColumn id="2" xr3:uid="{8FAA540A-C631-4BB6-94CB-76FCAA6BD399}" name="Column1" totalsRowFunction="sum" dataDxfId="1115" totalsRowDxfId="1114" dataCellStyle="Comma" totalsRowCellStyle="Comma"/>
    <tableColumn id="3" xr3:uid="{AA4C5021-8FB4-4C01-97DC-42C1AD2A0D5C}" name="Tháng 1" totalsRowFunction="sum" dataDxfId="1113" totalsRowDxfId="1112" dataCellStyle="Comma" totalsRowCellStyle="Comma"/>
    <tableColumn id="4" xr3:uid="{E0C84BD6-6CB1-48E9-AE7F-A28345427F91}" name="Tháng 2" totalsRowFunction="sum" dataDxfId="1111" totalsRowDxfId="1110" dataCellStyle="Comma" totalsRowCellStyle="Comma"/>
    <tableColumn id="5" xr3:uid="{67C699D4-0087-475B-AD6C-D853697542CB}" name="Tháng 3" totalsRowFunction="sum" dataDxfId="1109" totalsRowDxfId="1108" dataCellStyle="Comma" totalsRowCellStyle="Comma"/>
    <tableColumn id="6" xr3:uid="{FFC573B0-FBDD-48D5-8D49-ABE5E41F8709}" name="Tháng 4" totalsRowFunction="sum" dataDxfId="1107" totalsRowDxfId="1106" dataCellStyle="Comma" totalsRowCellStyle="Comma"/>
    <tableColumn id="7" xr3:uid="{B1997128-E7B8-45DB-9B00-D7B4F8C7C9DF}" name="Tháng 5" totalsRowFunction="sum" dataDxfId="1105" totalsRowDxfId="1104" dataCellStyle="Comma" totalsRowCellStyle="Comma"/>
    <tableColumn id="8" xr3:uid="{E05A7C11-53B1-4081-8751-AD8CD8D581E3}" name="Tháng 6" totalsRowFunction="sum" dataDxfId="1103" totalsRowDxfId="1102" dataCellStyle="Comma" totalsRowCellStyle="Comma"/>
    <tableColumn id="9" xr3:uid="{77FDB6D4-4EAC-46F1-942B-B6F6A6CD8141}" name="Tháng 7" totalsRowFunction="sum" dataDxfId="1101" totalsRowDxfId="1100" dataCellStyle="Comma" totalsRowCellStyle="Comma"/>
    <tableColumn id="10" xr3:uid="{B700B5FD-7134-43E5-83D7-48B525FB322C}" name="Tháng 8" totalsRowFunction="sum" dataDxfId="1099" totalsRowDxfId="1098" dataCellStyle="Comma" totalsRowCellStyle="Comma"/>
    <tableColumn id="11" xr3:uid="{1DE0F7BD-53A4-4D47-859C-71C704BF4E4D}" name="Tháng 9" totalsRowFunction="sum" dataDxfId="1097" totalsRowDxfId="1096" dataCellStyle="Comma" totalsRowCellStyle="Comma"/>
    <tableColumn id="12" xr3:uid="{1CB5442F-B1FE-4CB0-8986-4DF6BF82319A}" name="Tháng 10" totalsRowFunction="sum" dataDxfId="1095" totalsRowDxfId="1094" dataCellStyle="Comma" totalsRowCellStyle="Comma"/>
    <tableColumn id="13" xr3:uid="{6CD740B1-E47D-4B7E-ACEA-D4E55EED948C}" name="Tháng 11" totalsRowFunction="sum" dataDxfId="1093" totalsRowDxfId="1092" dataCellStyle="Comma" totalsRowCellStyle="Comma"/>
    <tableColumn id="14" xr3:uid="{38C80FDE-BE48-4A49-A3BD-3E3FCF44B99A}" name="Tháng 12" totalsRowFunction="sum" dataDxfId="1091" totalsRowDxfId="1090" dataCellStyle="Comma" totalsRowCellStyle="Comma"/>
    <tableColumn id="15" xr3:uid="{6F209FDF-2121-4623-9551-694DB366F57D}" name="Add" dataDxfId="1089" totalsRowDxfId="1088"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8:P180" totalsRowCount="1" headerRowDxfId="1087" dataDxfId="1085" totalsRowDxfId="1083" headerRowBorderDxfId="1086" tableBorderDxfId="1084" headerRowCellStyle="Comma" dataCellStyle="Comma" totalsRowCellStyle="Comma">
  <autoFilter ref="B178:P179" xr:uid="{A70E9AC5-05D6-49AF-BD9C-A9F0136F6AD1}"/>
  <tableColumns count="15">
    <tableColumn id="1" xr3:uid="{743663A6-A21D-4113-BF54-97494116D48C}" name="Dòng tiền đầu tư tài chính" totalsRowLabel="  Total  " dataDxfId="1082" totalsRowDxfId="1081" dataCellStyle="Comma"/>
    <tableColumn id="2" xr3:uid="{62AD1AA6-0EE5-445D-8E1C-99705DEC2942}" name="Column1" totalsRowFunction="sum" dataDxfId="1080" totalsRowDxfId="1079" dataCellStyle="Comma" totalsRowCellStyle="Comma"/>
    <tableColumn id="3" xr3:uid="{C808BAF5-EF47-4838-9623-9A5EA586BDC5}" name="Tháng 1" totalsRowFunction="sum" dataDxfId="1078" totalsRowDxfId="1077" dataCellStyle="Comma" totalsRowCellStyle="Comma"/>
    <tableColumn id="4" xr3:uid="{70307539-BB05-4D17-849C-6C4B59F40976}" name="Tháng 2" totalsRowFunction="sum" dataDxfId="1076" totalsRowDxfId="1075" dataCellStyle="Comma" totalsRowCellStyle="Comma"/>
    <tableColumn id="5" xr3:uid="{5D90E049-283D-4337-B3F3-7A1E7D577F75}" name="Tháng 3" totalsRowFunction="sum" dataDxfId="1074" totalsRowDxfId="1073" dataCellStyle="Comma" totalsRowCellStyle="Comma"/>
    <tableColumn id="6" xr3:uid="{B630AAD6-0B1F-4C57-BB61-4D73C03B5234}" name="Tháng 4" totalsRowFunction="sum" dataDxfId="1072" totalsRowDxfId="1071" dataCellStyle="Comma" totalsRowCellStyle="Comma"/>
    <tableColumn id="7" xr3:uid="{E1B1713E-4A69-4419-8205-454C038A2136}" name="Tháng 5" totalsRowFunction="sum" dataDxfId="1070" totalsRowDxfId="1069" dataCellStyle="Comma" totalsRowCellStyle="Comma"/>
    <tableColumn id="8" xr3:uid="{55B1D6C7-1C98-45A6-BD7A-A7E8BFFF6DDA}" name="Tháng 6" totalsRowFunction="sum" dataDxfId="1068" totalsRowDxfId="1067" dataCellStyle="Comma" totalsRowCellStyle="Comma"/>
    <tableColumn id="9" xr3:uid="{8809DDCC-5294-4F94-A14C-97B84DE49AB3}" name="Tháng 7" totalsRowFunction="sum" dataDxfId="1066" totalsRowDxfId="1065" dataCellStyle="Comma" totalsRowCellStyle="Comma"/>
    <tableColumn id="10" xr3:uid="{BAAD5B0C-CB4B-45DA-AE98-00CAE9531AE8}" name="Tháng 8" totalsRowFunction="sum" dataDxfId="1064" totalsRowDxfId="1063" dataCellStyle="Comma" totalsRowCellStyle="Comma"/>
    <tableColumn id="11" xr3:uid="{2CC29A1B-324D-4088-9B12-94448C63CAEB}" name="Tháng 9" totalsRowFunction="sum" dataDxfId="1062" totalsRowDxfId="1061" dataCellStyle="Comma" totalsRowCellStyle="Comma"/>
    <tableColumn id="12" xr3:uid="{4E1DF616-5058-468F-854F-B28D9C44F5B6}" name="Tháng 10" totalsRowFunction="sum" dataDxfId="1060" totalsRowDxfId="1059" dataCellStyle="Comma" totalsRowCellStyle="Comma"/>
    <tableColumn id="13" xr3:uid="{FE68F131-2E0A-42F1-8CFC-51446D0DE1F2}" name="Tháng 11" totalsRowFunction="sum" dataDxfId="1058" totalsRowDxfId="1057" dataCellStyle="Comma" totalsRowCellStyle="Comma"/>
    <tableColumn id="14" xr3:uid="{02CB477F-9BCC-4707-96DA-B333C50B5189}" name="Tháng 12" totalsRowFunction="sum" dataDxfId="1056" totalsRowDxfId="1055" dataCellStyle="Comma" totalsRowCellStyle="Comma"/>
    <tableColumn id="15" xr3:uid="{5ECADABE-5DDF-469F-BFB4-7F3205555EBA}" name="Add" dataDxfId="1054" totalsRowDxfId="1053"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3:P185" totalsRowCount="1" headerRowDxfId="1052" dataDxfId="1050" totalsRowDxfId="1048" headerRowBorderDxfId="1051" tableBorderDxfId="1049" headerRowCellStyle="Comma" dataCellStyle="Comma" totalsRowCellStyle="Comma">
  <autoFilter ref="B183:P184" xr:uid="{84A24C82-9F7E-4739-84DB-BDB117A867BD}"/>
  <tableColumns count="15">
    <tableColumn id="1" xr3:uid="{C7090383-FD23-475A-9482-F0E936D13205}" name="Dòng tiền thu hồi từ đầu tư tài chính" totalsRowLabel="   Total   " dataDxfId="1047" totalsRowDxfId="1046" dataCellStyle="Comma"/>
    <tableColumn id="2" xr3:uid="{CEFDBDE7-9DB8-4CC2-816D-98D5C21CA755}" name="Column1" totalsRowFunction="sum" dataDxfId="1045" totalsRowDxfId="1044" dataCellStyle="Comma" totalsRowCellStyle="Comma"/>
    <tableColumn id="3" xr3:uid="{7C515523-07A3-4E4C-990C-5EC8505C6207}" name="Tháng 1" totalsRowFunction="sum" dataDxfId="1043" totalsRowDxfId="1042"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1" totalsRowDxfId="1040"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39" totalsRowDxfId="1038"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37" totalsRowDxfId="1036"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35" totalsRowDxfId="1034"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3" totalsRowDxfId="1032"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1" totalsRowDxfId="1030"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29" totalsRowDxfId="1028"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27" totalsRowDxfId="1026"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25" totalsRowDxfId="1024"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3" totalsRowDxfId="1022"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1" totalsRowDxfId="1020"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19" totalsRowDxfId="1018"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8:P190" totalsRowCount="1" headerRowDxfId="1017" dataDxfId="1015" totalsRowDxfId="1013" headerRowBorderDxfId="1016" tableBorderDxfId="1014" headerRowCellStyle="Comma" dataCellStyle="Comma" totalsRowCellStyle="Comma">
  <autoFilter ref="B188:P189" xr:uid="{1E4EF85A-6F69-4A26-8060-A0A991E9D6CC}"/>
  <tableColumns count="15">
    <tableColumn id="1" xr3:uid="{11253BC2-803C-444B-922F-A7B3738F272C}" name="Dòng tiền huy động vốn vay" totalsRowLabel="    Total    " dataDxfId="1012" totalsRowDxfId="1011" dataCellStyle="Comma"/>
    <tableColumn id="2" xr3:uid="{8CB821AA-2E57-456A-AFC8-F7DDCCA34AC5}" name="Column1" totalsRowFunction="sum" dataDxfId="1010" totalsRowDxfId="1009" dataCellStyle="Comma" totalsRowCellStyle="Comma"/>
    <tableColumn id="3" xr3:uid="{09E24272-E397-4AF4-9AD7-5C98C26065BD}" name="Tháng 1" totalsRowFunction="sum" dataDxfId="1008" totalsRowDxfId="1007" dataCellStyle="Comma" totalsRowCellStyle="Comma"/>
    <tableColumn id="4" xr3:uid="{C6224BD4-A19F-4785-BA4F-787BB17B97E7}" name="Tháng 2" totalsRowFunction="sum" dataDxfId="1006" totalsRowDxfId="1005" dataCellStyle="Comma" totalsRowCellStyle="Comma"/>
    <tableColumn id="5" xr3:uid="{C2AD3AC1-5E4C-44B2-8729-621B9DCBB14E}" name="Tháng 3" totalsRowFunction="sum" dataDxfId="1004" totalsRowDxfId="1003" dataCellStyle="Comma" totalsRowCellStyle="Comma"/>
    <tableColumn id="6" xr3:uid="{ABA179EF-4E32-4FC8-BF4B-F179F244ECF4}" name="Tháng 4" totalsRowFunction="sum" dataDxfId="1002" totalsRowDxfId="1001" dataCellStyle="Comma" totalsRowCellStyle="Comma"/>
    <tableColumn id="7" xr3:uid="{EB80581B-6F8D-4E5E-8BCC-45DC652686D4}" name="Tháng 5" totalsRowFunction="sum" dataDxfId="1000" totalsRowDxfId="999" dataCellStyle="Comma" totalsRowCellStyle="Comma"/>
    <tableColumn id="8" xr3:uid="{76878FB7-AF80-4E1C-A799-93037B9E41CA}" name="Tháng 6" totalsRowFunction="sum" dataDxfId="998" totalsRowDxfId="997" dataCellStyle="Comma" totalsRowCellStyle="Comma"/>
    <tableColumn id="9" xr3:uid="{22C171CC-F8CF-4784-AB1C-C0D94F2DB149}" name="Tháng 7" totalsRowFunction="sum" dataDxfId="996" totalsRowDxfId="995" dataCellStyle="Comma" totalsRowCellStyle="Comma"/>
    <tableColumn id="10" xr3:uid="{AEDD0847-93D7-4000-89EB-623D8D637F3C}" name="Tháng 8" totalsRowFunction="sum" dataDxfId="994" totalsRowDxfId="993" dataCellStyle="Comma" totalsRowCellStyle="Comma"/>
    <tableColumn id="11" xr3:uid="{EFDF075F-7E46-4BD5-84BB-B71EA9EDB8E5}" name="Tháng 9" totalsRowFunction="sum" dataDxfId="992" totalsRowDxfId="991" dataCellStyle="Comma" totalsRowCellStyle="Comma"/>
    <tableColumn id="12" xr3:uid="{3AB540CD-0B32-4404-A892-1DF3CF4F89B3}" name="Tháng 10" totalsRowFunction="sum" dataDxfId="990" totalsRowDxfId="989" dataCellStyle="Comma" totalsRowCellStyle="Comma"/>
    <tableColumn id="13" xr3:uid="{D1332407-7F53-4A39-85B4-B3F14CC8F656}" name="Tháng 11" totalsRowFunction="sum" dataDxfId="988" totalsRowDxfId="987" dataCellStyle="Comma" totalsRowCellStyle="Comma"/>
    <tableColumn id="14" xr3:uid="{27BDE574-689F-4D3A-AF8A-70ABDC9798C2}" name="Tháng 12" totalsRowFunction="sum" dataDxfId="986" totalsRowDxfId="985" dataCellStyle="Comma" totalsRowCellStyle="Comma"/>
    <tableColumn id="15" xr3:uid="{085514C4-5822-4FE8-A2D4-FEC37C1777F5}" name="Add" dataDxfId="984" totalsRowDxfId="983"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3:P195" totalsRowCount="1" headerRowDxfId="982" dataDxfId="980" totalsRowDxfId="978" headerRowBorderDxfId="981" tableBorderDxfId="979" headerRowCellStyle="Comma" dataCellStyle="Comma" totalsRowCellStyle="Comma">
  <autoFilter ref="B193:P194" xr:uid="{41A43669-4E8E-45D3-9748-3A619F74015C}"/>
  <tableColumns count="15">
    <tableColumn id="1" xr3:uid="{139F00D9-97E8-4BAB-9580-B633FDDD1E49}" name="Dòng tiền huy động vốn góp" totalsRowLabel="     Total     " dataDxfId="977" totalsRowDxfId="976" dataCellStyle="Comma"/>
    <tableColumn id="2" xr3:uid="{1B2B24CF-5CCF-43DC-B5F2-8C9782605628}" name="Column1" totalsRowFunction="sum" dataDxfId="975" totalsRowDxfId="974" dataCellStyle="Comma" totalsRowCellStyle="Comma"/>
    <tableColumn id="3" xr3:uid="{1222BB6C-C294-40BE-8480-CEE37E968787}" name="Tháng 1" totalsRowFunction="sum" dataDxfId="973" totalsRowDxfId="972" dataCellStyle="Comma" totalsRowCellStyle="Comma"/>
    <tableColumn id="4" xr3:uid="{E8469CCE-067A-4323-949F-A005F90923B8}" name="Tháng 2" totalsRowFunction="sum" dataDxfId="971" totalsRowDxfId="970" dataCellStyle="Comma" totalsRowCellStyle="Comma"/>
    <tableColumn id="5" xr3:uid="{0EEFEF49-A17D-4F17-A6F0-A7088834F4BA}" name="Tháng 3" totalsRowFunction="sum" dataDxfId="969" totalsRowDxfId="968" dataCellStyle="Comma" totalsRowCellStyle="Comma"/>
    <tableColumn id="6" xr3:uid="{77458E7B-2227-41D5-835C-7043D5ACBEBB}" name="Tháng 4" totalsRowFunction="sum" dataDxfId="967" totalsRowDxfId="966" dataCellStyle="Comma" totalsRowCellStyle="Comma"/>
    <tableColumn id="7" xr3:uid="{405F399C-F1E8-4E6A-B533-C1592B1FB994}" name="Tháng 5" totalsRowFunction="sum" dataDxfId="965" totalsRowDxfId="964" dataCellStyle="Comma" totalsRowCellStyle="Comma"/>
    <tableColumn id="8" xr3:uid="{96940340-C61C-4FB3-8F89-A237A1B65B92}" name="Tháng 6" totalsRowFunction="sum" dataDxfId="963" totalsRowDxfId="962" dataCellStyle="Comma" totalsRowCellStyle="Comma"/>
    <tableColumn id="9" xr3:uid="{4AE55D5F-8945-4F95-910F-CBEA7120D8D6}" name="Tháng 7" totalsRowFunction="sum" dataDxfId="961" totalsRowDxfId="960" dataCellStyle="Comma" totalsRowCellStyle="Comma"/>
    <tableColumn id="10" xr3:uid="{4DAA2BAD-5B47-4A15-B52A-956CF3A3BC52}" name="Tháng 8" totalsRowFunction="sum" dataDxfId="959" totalsRowDxfId="958" dataCellStyle="Comma" totalsRowCellStyle="Comma"/>
    <tableColumn id="11" xr3:uid="{4C13CABA-AAE3-4890-966F-93A51F892B26}" name="Tháng 9" totalsRowFunction="sum" dataDxfId="957" totalsRowDxfId="956" dataCellStyle="Comma" totalsRowCellStyle="Comma"/>
    <tableColumn id="12" xr3:uid="{513DF229-DD74-4B4F-9D1A-7D527DDE5EC0}" name="Tháng 10" totalsRowFunction="sum" dataDxfId="955" totalsRowDxfId="954" dataCellStyle="Comma" totalsRowCellStyle="Comma"/>
    <tableColumn id="13" xr3:uid="{F6103B17-7D4C-4025-81D0-9435B52E4CF9}" name="Tháng 11" totalsRowFunction="sum" dataDxfId="953" totalsRowDxfId="952" dataCellStyle="Comma" totalsRowCellStyle="Comma"/>
    <tableColumn id="14" xr3:uid="{88839EEE-D2B7-42B9-B0FB-C13A6E408F17}" name="Tháng 12" totalsRowFunction="sum" dataDxfId="951" totalsRowDxfId="950" dataCellStyle="Comma" totalsRowCellStyle="Comma"/>
    <tableColumn id="15" xr3:uid="{D039174F-D925-4273-A95D-33FFA7567785}" name="Add" dataDxfId="949" totalsRowDxfId="948"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5" totalsRowShown="0" headerRowDxfId="941" dataDxfId="940">
  <autoFilter ref="B3:P55" xr:uid="{C0143071-339A-48CD-A490-A851FAF2712D}"/>
  <tableColumns count="15">
    <tableColumn id="1" xr3:uid="{DF4C9779-7683-486B-B98C-5697DC43931D}" name="Gtri" dataDxfId="939"/>
    <tableColumn id="4" xr3:uid="{001B0236-26E8-497E-AB55-F8CE3CB6070C}" name="Năm / Đầu năm" dataDxfId="938"/>
    <tableColumn id="2" xr3:uid="{65AEA264-1FDA-48EB-A06F-79E365F8ED55}" name="Tháng 1" dataDxfId="937"/>
    <tableColumn id="3" xr3:uid="{690B5C42-F889-47C2-A394-8413364DEC47}" name="Tháng 2" dataDxfId="936"/>
    <tableColumn id="5" xr3:uid="{71422BDD-D8F9-4CE5-B6B2-03A81C0AB67E}" name="Tháng 3" dataDxfId="935"/>
    <tableColumn id="6" xr3:uid="{5E05F71F-519A-4797-8A4A-68DBD0482622}" name="Tháng 4" dataDxfId="934"/>
    <tableColumn id="7" xr3:uid="{FC76974D-1C96-4895-95E7-828D08EF89B1}" name="Tháng 5" dataDxfId="933"/>
    <tableColumn id="8" xr3:uid="{7B4F54B0-9D91-4C8E-8BCD-90F130CC5258}" name="Tháng 6" dataDxfId="932"/>
    <tableColumn id="9" xr3:uid="{ACF24D8F-5415-4A73-B9FA-8E0FB79C9F3A}" name="Tháng 7" dataDxfId="931"/>
    <tableColumn id="10" xr3:uid="{DFB50755-A898-43AB-931F-E231A2250AD8}" name="Tháng 8" dataDxfId="930"/>
    <tableColumn id="11" xr3:uid="{2BC8D648-592D-4D7A-A745-F7D0D68FAC1F}" name="Tháng 9" dataDxfId="929"/>
    <tableColumn id="12" xr3:uid="{C1E9546B-C094-46C8-9E84-C3457F724243}" name="Tháng 10" dataDxfId="928"/>
    <tableColumn id="13" xr3:uid="{0013CBEC-D74E-4D55-B10D-4546C0695E28}" name="Tháng 11" dataDxfId="927"/>
    <tableColumn id="14" xr3:uid="{E58E8A29-CC2D-452E-BAAD-72B22CDBFFA1}" name="Tháng 12" dataDxfId="926"/>
    <tableColumn id="15" xr3:uid="{E4B75C35-EBB1-45CB-BAF4-0DC0327E617A}" name="Thêm" dataDxfId="925"/>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5" totalsRowShown="0" headerRowDxfId="924" dataDxfId="923">
  <autoFilter ref="R3:S55" xr:uid="{4033F4AE-F76A-434F-A095-873E3D10BAFF}"/>
  <tableColumns count="2">
    <tableColumn id="1" xr3:uid="{D95CFDE2-9C59-48C2-B9D7-6DB4827F56D8}" name="Gtri" dataDxfId="922"/>
    <tableColumn id="15" xr3:uid="{E8806F52-A9C9-4358-A5AE-69E247A0D097}" name="Add" dataDxfId="921">
      <calculatedColumnFormula>INDEX($B$2:$P$55,MATCH(Table_BaoCaoQuanTri_Nam[[#This Row],[Gtri]],$B$2:$B$55,0),MATCH($S$1,$B$2:$P$2,0))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5" totalsRowShown="0" headerRowDxfId="920" dataDxfId="919">
  <autoFilter ref="U3:V55" xr:uid="{0ABFD336-6D7B-4C18-89EB-5F2AB490AF2B}"/>
  <tableColumns count="2">
    <tableColumn id="1" xr3:uid="{A08BE357-095F-44AF-93CE-B5A20A0B7914}" name="Gtri" dataDxfId="918"/>
    <tableColumn id="15" xr3:uid="{B4B0CC08-88FB-4BC6-A5E7-D2273CFF53ED}" name="Add" dataDxfId="917">
      <calculatedColumnFormula>INDEX($B$2:$P$55,MATCH(Table_BaoCaoQuanTri_Thang[[#This Row],[Gtri]],$B$2:$B$55,0),MATCH($V$1,$B$2:$P$2,0))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66" totalsRowShown="0" headerRowDxfId="915" dataDxfId="914">
  <autoFilter ref="B3:F166" xr:uid="{BCF922F8-232A-4346-874D-056C89B5CDBD}"/>
  <tableColumns count="5">
    <tableColumn id="2" xr3:uid="{A1A35B50-DB47-4F40-AECC-91753CFB1D8C}" name="Code" dataDxfId="913"/>
    <tableColumn id="1" xr3:uid="{1BE2295A-9C65-4460-B238-7B8D0920CFE2}" name="Gtri" dataDxfId="912"/>
    <tableColumn id="5" xr3:uid="{39FE1FDD-460F-4F3E-9584-91C8C448D18B}" name="Đầu kỳ" dataDxfId="911"/>
    <tableColumn id="3" xr3:uid="{3F62B03F-B592-42B6-A6D5-0D2D0EDFD493}" name="Năm / Đầu kỳ" dataDxfId="910"/>
    <tableColumn id="4" xr3:uid="{83CBA81E-27C2-402F-BF35-52C0A2ECC2D6}" name="Tháng / Cuối kỳ" dataDxfId="909"/>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66" totalsRowShown="0" headerRowDxfId="908" dataDxfId="907">
  <autoFilter ref="H3:K166" xr:uid="{4A8E04D0-8A9C-45D5-B534-7D81FE1B2481}"/>
  <tableColumns count="4">
    <tableColumn id="2" xr3:uid="{018F9535-ADC0-4DB7-9DD5-C3DA56177B97}" name="Code" dataDxfId="906"/>
    <tableColumn id="1" xr3:uid="{D484DA8D-5931-4608-A960-BD7786D3605C}" name="Gtri" dataDxfId="905"/>
    <tableColumn id="3" xr3:uid="{06DE52A7-4A79-4A8F-AD26-1825B43C59F4}" name="Năm đầu" dataDxfId="904" dataCellStyle="Percent"/>
    <tableColumn id="4" xr3:uid="{414AE415-B87A-404C-BF34-0A23A079DB98}" name="Add" dataDxfId="903">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66" totalsRowShown="0" headerRowDxfId="902" dataDxfId="901">
  <autoFilter ref="M3:P166" xr:uid="{E6260BD5-4943-40D8-881C-33F7E49DA75B}"/>
  <tableColumns count="4">
    <tableColumn id="2" xr3:uid="{284E2913-84A8-416A-AB3C-4C7B54653B33}" name="Code" dataDxfId="900"/>
    <tableColumn id="1" xr3:uid="{2910C0CD-E9ED-4C8D-8957-B10873FCA9E0}" name="Gtri" dataDxfId="899"/>
    <tableColumn id="3" xr3:uid="{2C522951-11DF-4D76-82A0-82E2BE204C87}" name="Tháng đầu" dataDxfId="898" dataCellStyle="Percent"/>
    <tableColumn id="4" xr3:uid="{67F80F2E-2D99-4197-91AB-01983605F037}" name="Add" dataDxfId="897">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892" dataDxfId="891">
  <autoFilter ref="U22:X23" xr:uid="{816E18EB-DD5B-4530-8FB2-641A17DF6321}"/>
  <tableColumns count="4">
    <tableColumn id="1" xr3:uid="{6665C849-493D-497D-BB00-131408145B34}" name="Ngày lên đơn" dataDxfId="890"/>
    <tableColumn id="2" xr3:uid="{417CEACE-3018-4C1D-AB51-9B2FB2C2DAC3}" name="Giá trị nợ" dataDxfId="889" dataCellStyle="Comma">
      <calculatedColumnFormula array="1" xml:space="preserve">
IF(Table_PhaiThu_TuoiNoKH[[#This Row],[Ngày lên đơn]]&gt;NoXau_NgayTheoDoi,0,
MAX(0,
IFERROR(
SUM(_xlfn._xlws.FILTER(Table_DonBan[Phải thu],
(Table_DonBan[Mã Khách] = NoXau_MaKH) *
(ISBLANK(Table_DonBan[Phân bổ từ]))*
(ISBLANK(Table_DonBan[Phân bổ đến]))*
(Table_DonBan[Ngày lập] &lt;= Table_PhaiThu_TuoiNoKH[[#This Row],[Ngày lên đơn]])
)),0)
+IFERROR(
SUMPRODUCT(
_xlfn._xlws.FILTER(Table_DonBan[Phải thu],
(Table_DonBan[Mã Khách] = NoXau_MaKH) *
(Table_DonBan[Phân bổ từ]&lt;= NoXau_NgayTheoDoi)*
(Table_DonBan[Phân bổ đến]&gt;= NoXau_NgayTheoDoi)
),
_xlfn._xlws.FILTER(
ROUND(
(NoXau_NgayTheoDoi - 1 - Table_DonBan[Phân bổ từ]) / (362.25 / 12 ),
0),
(Table_DonBan[Mã Khách] = NoXau_MaKH) *
(Table_DonBan[Phân bổ từ]&lt;= NoXau_NgayTheoDoi)*
(Table_DonBan[Phân bổ đến]&gt;= NoXau_NgayTheoDoi)
),
_xlfn._xlws.FILTER(
1 / ROUND((Table_DonBan[Phân bổ đến] - Table_DonBan[Phân bổ từ]) / (362.25 / 12 ), 0),
(Table_DonBan[Mã Khách] = NoXau_MaKH) *
(Table_DonBan[Phân bổ từ]&lt;= NoXau_NgayTheoDoi)*
(Table_DonBan[Phân bổ đến]&gt;= NoXau_NgayTheoDoi)
)),0)
- NoXau_NhanThanhToan
))</calculatedColumnFormula>
    </tableColumn>
    <tableColumn id="3" xr3:uid="{7AE36EE8-E8C4-4713-A391-0E09E8C1F55C}" name="Tuổi nợ" dataDxfId="888" dataCellStyle="Comma">
      <calculatedColumnFormula>IF(Table_PhaiThu_TuoiNoKH[[#This Row],[Giá trị nợ]] =0, 0, NoXau_NgayTheoDoi-Table_PhaiThu_TuoiNoKH[[#This Row],[Ngày lên đơn]])</calculatedColumnFormula>
    </tableColumn>
    <tableColumn id="4" xr3:uid="{5C272BD0-06B4-441B-8B16-4582ED1537D3}" name="Add" dataDxfId="887"/>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86" dataDxfId="885">
  <autoFilter ref="M22:Q23" xr:uid="{7A27FC43-910A-457B-805C-D46DCCD5E66C}"/>
  <tableColumns count="5">
    <tableColumn id="6" xr3:uid="{0EE4CA27-15CF-4AE5-9AFD-0DBACDB7AC4D}" name="Tuổi nợ min" dataDxfId="884" dataCellStyle="Comma"/>
    <tableColumn id="1" xr3:uid="{5EBDDF4C-7F69-4DEA-92AA-912BB746F731}" name="Tuổi nợ max" dataDxfId="883" dataCellStyle="Comma"/>
    <tableColumn id="2" xr3:uid="{28C4EA9F-A79D-442E-A06D-4A07A80FFC40}" name="Tỷ lệ dự phòng" dataDxfId="882" dataCellStyle="Percent"/>
    <tableColumn id="3" xr3:uid="{21C05676-D8D6-4426-91D8-FCF3582641C4}" name="Giá trị dự phòng" dataDxfId="881"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0"/>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79" dataDxfId="878">
  <autoFilter ref="AG22:AL28" xr:uid="{F34E1FD4-2D19-4D23-B4A7-1AA3B8DAD6B1}"/>
  <tableColumns count="6">
    <tableColumn id="1" xr3:uid="{7037269D-0955-488E-AB4D-E864778EA0EF}" name="Kỳ" dataDxfId="877">
      <calculatedColumnFormula>IFERROR(
IF(ISBLANK(Table_DuPhong[[#This Row],[Tháng]]),
DATE(Table_DuPhong[[#This Row],[Năm]],12,1),
DATE(Table_DuPhong[[#This Row],[Năm]],Table_DuPhong[[#This Row],[Tháng]],1)),0)</calculatedColumnFormula>
    </tableColumn>
    <tableColumn id="8" xr3:uid="{0FB441F7-BC43-4903-A829-33BA43736A2E}" name="Năm" dataDxfId="876"/>
    <tableColumn id="7" xr3:uid="{04E52C42-4304-461D-BACD-99F768E3B4D2}" name="Tháng" dataDxfId="875"/>
    <tableColumn id="2" xr3:uid="{4D0A059D-BE97-475F-969C-DF6CEB206B2D}" name="Mã đối tác" dataDxfId="874"/>
    <tableColumn id="3" xr3:uid="{464D14DA-2C8B-4736-B46F-63E7EAFD2FA0}" name="Dự phòng lũy kế" dataDxfId="873" dataCellStyle="Comma"/>
    <tableColumn id="4" xr3:uid="{0EEF9F15-57BF-4AC3-8869-6E69E24C3520}" name="Add" dataDxfId="872"/>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71" dataDxfId="870">
  <autoFilter ref="AB22:AE23" xr:uid="{6AE860EF-9B6B-4E31-A045-5AEAAE5ACE87}"/>
  <tableColumns count="4">
    <tableColumn id="1" xr3:uid="{8498CEDF-05BB-4CFA-908A-0AC4EF92CDFE}" name="Ngày thanh toán" dataDxfId="869"/>
    <tableColumn id="2" xr3:uid="{E5AF40C1-CCF7-4911-BA9D-DFE882B7A6D4}" name="Giá trị nợ" dataDxfId="868"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67"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66"/>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63" dataDxfId="862">
  <autoFilter ref="C23:H26" xr:uid="{E6260BD5-4943-40D8-881C-33F7E49DA75B}"/>
  <tableColumns count="6">
    <tableColumn id="2" xr3:uid="{275F30D4-F07E-452A-9E6B-C838301D871F}" name="Đối tác" dataDxfId="861"/>
    <tableColumn id="1" xr3:uid="{F4F0303E-DEDD-4D3F-982F-6F2FE19DDB1D}" name="Dư đầu kỳ" dataDxfId="860" dataCellStyle="Comma"/>
    <tableColumn id="3" xr3:uid="{6328C6BD-75ED-4081-94E9-F09738494942}" name="03-2025" dataDxfId="859"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58"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57"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56" dataCellStyle="Comma">
      <calculatedColumnFormula array="1"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52" dataDxfId="851">
  <autoFilter ref="B27:H30" xr:uid="{E6260BD5-4943-40D8-881C-33F7E49DA75B}"/>
  <tableColumns count="7">
    <tableColumn id="30" xr3:uid="{BA2D4C76-CA0F-4869-9A62-DC14CDEF420F}" name="Nhóm đối tác" dataDxfId="850"/>
    <tableColumn id="2" xr3:uid="{78EF47C2-46B0-40DE-9ADA-C3D3AA9A9C12}" name="Đối tác" dataDxfId="849" dataCellStyle="Comma"/>
    <tableColumn id="1" xr3:uid="{2B1D3624-701D-49A3-B369-2F23DA73BB73}" name="Dư đầu kỳ" dataDxfId="848" dataCellStyle="Comma"/>
    <tableColumn id="3" xr3:uid="{E43A4A10-5077-4F2B-8F36-351808E97105}" name="03-2025" dataDxfId="847"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46"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45"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44" dataCellStyle="Comma">
      <calculatedColumnFormula array="1">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41" dataDxfId="840">
  <autoFilter ref="F23:Q26" xr:uid="{41302B2E-E512-424D-BCE6-0E1D488E9735}"/>
  <tableColumns count="12">
    <tableColumn id="1" xr3:uid="{F59CB08C-5328-43EF-A2C6-5040207B19D1}" name="Mã hàng" dataDxfId="839"/>
    <tableColumn id="7" xr3:uid="{8DD841B9-0227-476F-9C70-64D13EAECD70}" name="Tồn tối thiểu" dataDxfId="838" dataCellStyle="Comma">
      <calculatedColumnFormula>Table_DiemDatHang[[#This Row],[Tiêu thụ / ngày]]*(1+Table_DiemDatHang[[#This Row],[Tăng trưởng tiêu thụ]])*NgayLuuKho_Min</calculatedColumnFormula>
    </tableColumn>
    <tableColumn id="9" xr3:uid="{85EAFD39-40B5-4921-A48B-58722366EEE3}" name="Tồn tối đa" dataDxfId="837" dataCellStyle="Comma">
      <calculatedColumnFormula>Table_DiemDatHang[[#This Row],[Tiêu thụ / ngày]]*(1+Table_DiemDatHang[[#This Row],[Tăng trưởng tiêu thụ]])*NgayLuuKho_Max</calculatedColumnFormula>
    </tableColumn>
    <tableColumn id="2" xr3:uid="{A6F0E9AD-D7D3-4CB4-893A-CEDB0F6554DF}" name="Tồn đầu ngày" dataDxfId="836"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35"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34" dataCellStyle="Percent"/>
    <tableColumn id="5" xr3:uid="{6EB410F5-2A26-47F7-8343-417C2322AD8A}" name="Ngày tồn kho" dataDxfId="833" dataCellStyle="Comma">
      <calculatedColumnFormula xml:space="preserve">
IFERROR(
ROUNDUP(I24/(J24*(1+K24)),0),0)</calculatedColumnFormula>
    </tableColumn>
    <tableColumn id="6" xr3:uid="{8696BBB3-62B4-475B-AE47-68ED60378C95}" name="Ngày giao / sản xuất" dataDxfId="832"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31">
      <calculatedColumnFormula>DatHang_NgayTheoDoi+L24-M24-NgayLuuKho_Min</calculatedColumnFormula>
    </tableColumn>
    <tableColumn id="11" xr3:uid="{D57B6699-100A-4922-9CAE-78E9714A49FC}" name="SL cần đặt" dataDxfId="830"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29"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28"/>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798" dataDxfId="797">
  <autoFilter ref="AP21:AV24" xr:uid="{2308743C-B8BB-4E3D-9258-E86DB16343BA}"/>
  <tableColumns count="7">
    <tableColumn id="3" xr3:uid="{E248A5C9-13F8-44F2-9D11-11A8E16781D1}" name="Kỳ" dataDxfId="796">
      <calculatedColumnFormula>IFERROR(DATE(Table_HieuQuaSX[[#This Row],[Năm]],Table_HieuQuaSX[[#This Row],[Tháng]],1),0)</calculatedColumnFormula>
    </tableColumn>
    <tableColumn id="1" xr3:uid="{859B4E31-3F18-4E23-BBE8-2A42AF6D43DC}" name="Năm" dataDxfId="795"/>
    <tableColumn id="2" xr3:uid="{C4B7F1AC-25FF-4D27-AF90-2F33C5F3CCAD}" name="Tháng" dataDxfId="794"/>
    <tableColumn id="4" xr3:uid="{0C124BC5-96B7-41A1-8833-30554276E502}" name="Giá vốn mục tiêu" dataDxfId="793" dataCellStyle="Comma"/>
    <tableColumn id="5" xr3:uid="{03CDDCA1-4C20-43D5-992C-F0F60DC9373B}" name="Giá vốn thực tế" dataDxfId="792"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calculatedColumnFormula>
    </tableColumn>
    <tableColumn id="6" xr3:uid="{2A8BBE22-2F1B-4EAC-B681-BB12D2E2A9B3}" name="Hiệu quả" dataDxfId="791" dataCellStyle="Percent">
      <calculatedColumnFormula>1-(Table_HieuQuaSX[[#This Row],[Giá vốn thực tế]]/Table_HieuQuaSX[[#This Row],[Giá vốn mục tiêu]])</calculatedColumnFormula>
    </tableColumn>
    <tableColumn id="7" xr3:uid="{53DCF830-F199-44E4-BAA1-FFEF270EA53D}" name="Add" dataDxfId="790"/>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89" dataDxfId="788">
  <autoFilter ref="AG21:AN25" xr:uid="{2CB9985B-580F-4533-8553-105C1F83175C}"/>
  <tableColumns count="8">
    <tableColumn id="1" xr3:uid="{2AC39E01-0898-4986-A633-EB40316BE2AF}" name="Nguyên liệu" dataDxfId="787"/>
    <tableColumn id="13" xr3:uid="{9910BF70-4DB1-4086-981D-5AB13EF1F52C}" name="Tiện ích sản xuất" dataDxfId="786"/>
    <tableColumn id="11" xr3:uid="{F30C72E6-2854-4319-A09B-68CBE4DDE414}" name="Đơn vị" dataDxfId="785">
      <calculatedColumnFormula>IFERROR(VLOOKUP(Table_HieuQuaSX_KHTieuThu[[#This Row],[Nguyên liệu]],Table_NguyenLieu[[Mã Nguyên liệu]:[Đơn vị]],Sheet_NguyenLieu!$F$1,0),0)</calculatedColumnFormula>
    </tableColumn>
    <tableColumn id="6" xr3:uid="{C03BFF9B-EE62-4A6A-8850-16FC59C96C3E}" name="Đơn giá" dataDxfId="784"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83"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82"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81" dataCellStyle="Comma">
      <calculatedColumnFormula>Table_HieuQuaSX_KHTieuThu[[#This Row],[Số lượng cần đặt]]*Table_HieuQuaSX_KHTieuThu[[#This Row],[Đơn giá]]</calculatedColumnFormula>
    </tableColumn>
    <tableColumn id="4" xr3:uid="{486BE4A2-0D73-4F0E-BBAB-F35FE74826DA}" name="Add" dataDxfId="780"/>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79" dataDxfId="778">
  <autoFilter ref="R21:AE27" xr:uid="{E2B89D3B-48CA-4CE8-A8B9-44C82BC42579}"/>
  <tableColumns count="14">
    <tableColumn id="14" xr3:uid="{2BE1E6BF-9521-43CB-A9C8-20DEF9B19E09}" name="SKU" dataDxfId="777" dataCellStyle="Comma"/>
    <tableColumn id="15" xr3:uid="{D336907F-FD0C-40A6-AEC4-64703C405B5C}" name="Đơn vị SKU" dataDxfId="776"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75" dataCellStyle="Comma"/>
    <tableColumn id="1" xr3:uid="{DBB8C871-CA1D-4B5F-822B-137896894C81}" name="Nguyên liệu" dataDxfId="774"/>
    <tableColumn id="13" xr3:uid="{8E08A0A8-5379-4B24-BB29-632FA5EEA474}" name="Tiện ích sản xuất" dataDxfId="773"/>
    <tableColumn id="2" xr3:uid="{5BEB72BC-83F1-4CD1-A81D-AB90EEBA3DEC}" name="Đầu vào" dataDxfId="772">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71">
      <calculatedColumnFormula>IFERROR(VLOOKUP(Table_HieuQuaSX_DinhMuc[[#This Row],[Nguyên liệu]],Table_NguyenLieu[[Mã Nguyên liệu]:[Đơn vị]],Sheet_NguyenLieu!$F$1,0),0)</calculatedColumnFormula>
    </tableColumn>
    <tableColumn id="3" xr3:uid="{18E190CD-C7BB-4A38-AC85-E6E3C74D1019}" name="Định mức" dataDxfId="770" dataCellStyle="Comma"/>
    <tableColumn id="7" xr3:uid="{A64953C4-7213-447C-B77A-05048D52D936}" name="Hao hụt" dataDxfId="769" dataCellStyle="Percent"/>
    <tableColumn id="5" xr3:uid="{541D0A47-BA27-4827-AD18-65CEA35851AA}" name="Số lượng tiêu thụ" dataDxfId="768"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67"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66" dataCellStyle="Comma">
      <calculatedColumnFormula>Table_HieuQuaSX_DinhMuc[[#This Row],[Đơn giá]]*Table_HieuQuaSX_DinhMuc[[#This Row],[Số lượng tiêu thụ]]</calculatedColumnFormula>
    </tableColumn>
    <tableColumn id="10" xr3:uid="{0D15E8B2-E0F0-42F3-8809-FCA7C3B33CC5}" name="Giá vốn bình quân" dataDxfId="765" dataCellStyle="Comma">
      <calculatedColumnFormula>Table_HieuQuaSX_DinhMuc[[#This Row],[Giá trị tiêu thụ]]/Table_HieuQuaSX_DinhMuc[[#This Row],[Sản lượng kế hoạch]]</calculatedColumnFormula>
    </tableColumn>
    <tableColumn id="4" xr3:uid="{F1B938A7-A9E3-4831-ABAF-92F02F4B25BA}" name="Add" dataDxfId="764"/>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34" dataDxfId="733">
  <autoFilter ref="AH9:AP13" xr:uid="{221693EC-C290-40DB-A5B6-97CFC8B84CF1}"/>
  <tableColumns count="9">
    <tableColumn id="1" xr3:uid="{39596401-F3EE-44DD-9F93-88D8FBF11AE6}" name="SKU" dataDxfId="732"/>
    <tableColumn id="2" xr3:uid="{08A96AA3-9424-424E-8E5A-6C2FBD23F84F}" name="Nguyên liệu" dataDxfId="731"/>
    <tableColumn id="3" xr3:uid="{80A74394-04C5-496D-BBCE-D081AD6746BB}" name="Đối tượng" dataDxfId="730">
      <calculatedColumnFormula>IF(ISBLANK(Table_NguonHang[[#This Row],[SKU]]),Table_NguonHang[[#This Row],[Nguyên liệu]],Table_NguonHang[[#This Row],[SKU]])</calculatedColumnFormula>
    </tableColumn>
    <tableColumn id="4" xr3:uid="{D93A7B29-7074-4B67-8110-B7D139B24D37}" name="Nhà cung cấp" dataDxfId="729"/>
    <tableColumn id="5" xr3:uid="{F9C6EB4F-FDEF-4323-AF8B-16C502A21F73}" name="Giá trung bình" dataDxfId="728"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27"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26" dataCellStyle="Comma"/>
    <tableColumn id="8" xr3:uid="{07AAE5C6-ABA8-4AAD-B7E9-439B79F9FC8B}" name="Giá trị" dataDxfId="725" dataCellStyle="Comma">
      <calculatedColumnFormula>Table_NguonHang[[#This Row],[Lượng đặt]]*Table_NguonHang[[#This Row],[Giá trung bình]]</calculatedColumnFormula>
    </tableColumn>
    <tableColumn id="9" xr3:uid="{01A3A42B-BEAF-49E6-BC91-99564681CCAE}" name="Add" dataDxfId="724"/>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0" dataDxfId="719">
  <autoFilter ref="M21:Q22" xr:uid="{4CE940BA-FBC4-478A-A5EC-B0AA10F408B4}"/>
  <tableColumns count="5">
    <tableColumn id="1" xr3:uid="{EE31E204-1CA2-48CE-87B1-0A010AF8FA7D}" name="Ngày tồn min" dataDxfId="718" dataCellStyle="Comma"/>
    <tableColumn id="5" xr3:uid="{79A1BFE7-E35A-42B8-84F6-E720BBF328FD}" name="Ngày tồn max" dataDxfId="717" dataCellStyle="Comma"/>
    <tableColumn id="2" xr3:uid="{1F2DF910-0F9C-41EC-BA58-D72770AD58F0}" name="Tỷ lệ dự phòng" dataDxfId="716" totalsRowDxfId="715"/>
    <tableColumn id="4" xr3:uid="{7AADE14C-25F1-4A5C-85EC-95984C62BB87}" name="Giá trị dự phòng" dataDxfId="714"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13"/>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12" dataDxfId="711">
  <autoFilter ref="U21:X22" xr:uid="{F55A8AE4-219A-496F-ADCF-E36D3FB29D4A}"/>
  <tableColumns count="4">
    <tableColumn id="1" xr3:uid="{CBBB4261-387A-4FEE-8E2B-D325524B4494}" name="Ngày nhập" dataDxfId="710"/>
    <tableColumn id="10" xr3:uid="{5EAB9BC7-C5DF-42E4-A540-C723ED7B3495}" name="Giá trị tồn" dataDxfId="709"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08" dataCellStyle="Comma">
      <calculatedColumnFormula>IF(Table_TonKho_TuoiKho[[#This Row],[Giá trị tồn]] = 0,0,
TonKho_NgayTheoDoi -Table_TonKho_TuoiKho[[#This Row],[Ngày nhập]])</calculatedColumnFormula>
    </tableColumn>
    <tableColumn id="2" xr3:uid="{3A59231C-AA89-4256-8BB3-1A785E9D46E7}" name="Add" dataDxfId="707"/>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03" dataDxfId="702">
  <autoFilter ref="AU21:BS36" xr:uid="{5023EBA5-753D-43FE-9F71-91D3FB478261}"/>
  <tableColumns count="25">
    <tableColumn id="2" xr3:uid="{8E5CBC54-8A31-4EF5-A0C3-074000F41621}" name="Kỳ" dataDxfId="701">
      <calculatedColumnFormula>IFERROR(
IF(ISBLANK(AW22),
DATE(AV22,12,1),
DATE(AV22,AW22,1)),0)</calculatedColumnFormula>
    </tableColumn>
    <tableColumn id="1" xr3:uid="{F61A9320-5B75-4010-9773-8E8C089A7753}" name="Năm" dataDxfId="700"/>
    <tableColumn id="19" xr3:uid="{C1F54C3B-79A5-42C9-BA85-70CE48310B4A}" name="Tháng" dataDxfId="699"/>
    <tableColumn id="3" xr3:uid="{6152064A-A7DE-4879-87FC-7DDEA1ED6238}" name="SKU" dataDxfId="698"/>
    <tableColumn id="4" xr3:uid="{587CFBAD-E5B3-49F9-B0D7-F94A8D5566B7}" name="Nguyên liệu" dataDxfId="697"/>
    <tableColumn id="16" xr3:uid="{28BCF377-2E5C-4763-8053-BC6F362C9F57}" name="Chức năng" dataDxfId="696">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695">
      <calculatedColumnFormula>IF(ISBLANK(Table_TonKho[[#This Row],[SKU]]),Table_TonKho[[#This Row],[Nguyên liệu]],Table_TonKho[[#This Row],[SKU]])</calculatedColumnFormula>
    </tableColumn>
    <tableColumn id="21" xr3:uid="{907E3A8A-3948-43C3-8505-3E5A43B517C3}" name="Kho" dataDxfId="694"/>
    <tableColumn id="5" xr3:uid="{AEB31195-8B0D-4F17-9B9C-5045B59C9FFB}" name="SL Đầu kỳ" dataDxfId="693"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692"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691"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0"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89" dataCellStyle="Comma"/>
    <tableColumn id="11" xr3:uid="{C54C790E-E836-41A0-8B9E-814E17353CCE}" name="Chênh lệch" dataDxfId="688" dataCellStyle="Comma">
      <calculatedColumnFormula>Table_TonKho[[#This Row],[KQ kiểm kê]]-Table_TonKho[[#This Row],[SL Cuối kỳ]]</calculatedColumnFormula>
    </tableColumn>
    <tableColumn id="12" xr3:uid="{D248C8E0-953C-40B3-863D-B83F98AE7609}" name="Sản xuất" dataDxfId="687"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86"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85"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84"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83"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82" dataCellStyle="Comma">
      <calculatedColumnFormula>Table_TonKho[[#This Row],[Giá trị cuối kỳ]]-Table_TonKho[[#This Row],[Tồn kho cuối kỳ]]</calculatedColumnFormula>
    </tableColumn>
    <tableColumn id="9" xr3:uid="{AAAAF956-7C36-4185-92F7-6BBF3AA466B6}" name="Giá trị cuối kỳ" dataDxfId="681"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0"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79"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78" dataCellStyle="Comma"/>
    <tableColumn id="17" xr3:uid="{CEDA79FF-A7D1-45F5-B4A8-1E5FC6FAA3B4}" name="Add" dataDxfId="677"/>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74" dataDxfId="673">
  <autoFilter ref="B4:AD5" xr:uid="{294AD96D-0920-41EA-B450-443D36503C0F}"/>
  <tableColumns count="29">
    <tableColumn id="1" xr3:uid="{E9F33EAA-342C-4943-A26C-AE8DFC8ABFAC}" name="STT" dataDxfId="672">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71">
      <calculatedColumnFormula>CONCATENATE(
"CP-",I5,"-",
MOD(E5,100)*100+F5,
"-",B5)</calculatedColumnFormula>
    </tableColumn>
    <tableColumn id="4" xr3:uid="{E21D6851-EFFE-4BD5-A67A-650AEF0F3499}" name="Kỳ" dataDxfId="670">
      <calculatedColumnFormula>IFERROR(
IF(ISBLANK(F5),
DATE(E5,12,1),
DATE(E5,F5,1)),0)</calculatedColumnFormula>
    </tableColumn>
    <tableColumn id="3" xr3:uid="{B7B57384-659E-4D19-BF64-F183B8616345}" name="Năm" dataDxfId="669"/>
    <tableColumn id="10" xr3:uid="{EBBF7EAF-37D3-4CAE-8B21-0F2C1D936CAA}" name="Tháng" dataDxfId="668"/>
    <tableColumn id="25" xr3:uid="{682E1FD0-1227-42AD-B9E8-CE41169B9C33}" name="Phân bổ từ" dataDxfId="667"/>
    <tableColumn id="26" xr3:uid="{FA2C2B50-0419-4CF2-83BB-ECF7732F0BEA}" name="Phân bổ đến" dataDxfId="666"/>
    <tableColumn id="6" xr3:uid="{883A56C4-ABE3-4EA9-B271-FCF4C1EB2798}" name="Nhân viên" dataDxfId="665"/>
    <tableColumn id="30" xr3:uid="{0CA733D2-44FB-44A3-8F2C-8530D5AA32ED}" name="Chức năng" dataDxfId="664">
      <calculatedColumnFormula xml:space="preserve">
IFERROR(
VLOOKUP(I5,Table_NhanVien[],COUNTA(Table_NhanVien[[#Headers],[Mã NV]:[Chức năng]]),0),0)</calculatedColumnFormula>
    </tableColumn>
    <tableColumn id="29" xr3:uid="{7A67EBDD-67E8-4B0C-BE6D-713068461E5A}" name="Phụ thuộc" dataDxfId="663" dataCellStyle="Comma">
      <calculatedColumnFormula xml:space="preserve">
IFERROR(
VLOOKUP(I5,Table_NhanVien[],COUNTA(Table_NhanVien[[#Headers],[Mã NV]:[Người phụ thuộc]]),0),0)</calculatedColumnFormula>
    </tableColumn>
    <tableColumn id="5" xr3:uid="{66C17047-5F6E-4666-AEBB-B34FD6C909B8}" name="Lương hợp đồng" dataDxfId="662" dataCellStyle="Comma">
      <calculatedColumnFormula xml:space="preserve">
IFERROR(
VLOOKUP(I5,Table_NhanVien[],COUNTA(Table_NhanVien[[#Headers],[Mã NV]:[Lương gross]]),0),0)</calculatedColumnFormula>
    </tableColumn>
    <tableColumn id="23" xr3:uid="{5F4EFB16-5BDF-4E82-B0A3-7BDF86E9029B}" name="Ngày nghỉ phép" dataDxfId="661" dataCellStyle="Comma"/>
    <tableColumn id="17" xr3:uid="{5C955F70-195E-4C91-8FFB-AF0A099E25DB}" name="Lương thực tế" dataDxfId="660" dataCellStyle="Comma">
      <calculatedColumnFormula>ChamCong_LuongTT</calculatedColumnFormula>
    </tableColumn>
    <tableColumn id="11" xr3:uid="{0662C0F6-4BCA-4F1B-BD32-D9826F17C148}" name="Hoa hồng" dataDxfId="659"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58"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57" dataCellStyle="Comma"/>
    <tableColumn id="28" xr3:uid="{05E8E7AE-85A8-4FAE-941E-29BB80B34E7B}" name="Chịu thuế phân bổ khác" dataDxfId="656" dataCellStyle="Comma"/>
    <tableColumn id="18" xr3:uid="{B8C8DBEA-F276-4269-A6D5-5EF91FC55932}" name="Chịu thuế chưa phân bổ khác" dataDxfId="655" dataCellStyle="Comma"/>
    <tableColumn id="20" xr3:uid="{6548F218-B73E-4D30-9F6C-CAF8F7FC6FE4}" name="Trợ cấp miễn thuế" dataDxfId="654" dataCellStyle="Comma"/>
    <tableColumn id="27" xr3:uid="{FE6BE8E4-408E-478B-8686-7CFD9B7616A6}" name="Miễn thuế tăng ca" dataDxfId="653" dataCellStyle="Comma">
      <calculatedColumnFormula>ChamCong_MienThueOT</calculatedColumnFormula>
    </tableColumn>
    <tableColumn id="13" xr3:uid="{74C225D2-0889-440E-9F64-0CA711A9BCAE}" name="Thu nhập chịu thuế" dataDxfId="652"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51"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0"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49"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48" dataCellStyle="Comma">
      <calculatedColumnFormula xml:space="preserve">
IF(ISBLANK(F5),0,
IF(N5+O5+P5+Q5+R5+S5+T5-W5&lt;0,0,
N5+O5+P5+Q5+R5+S5+T5-W5))</calculatedColumnFormula>
    </tableColumn>
    <tableColumn id="9" xr3:uid="{BBEECC58-D2D0-4267-A2F0-4240BF383B1E}" name="Tổng chi phí" dataDxfId="647" dataCellStyle="Comma">
      <calculatedColumnFormula xml:space="preserve">
IF(ISBLANK(F5),N5,N5+O5+P5+R5+X5+T5)</calculatedColumnFormula>
    </tableColumn>
    <tableColumn id="8" xr3:uid="{87DA2217-E67B-4F03-9454-D224C4C8F075}" name="Chi phí tính thuế" dataDxfId="646" dataCellStyle="Comma">
      <calculatedColumnFormula>AA5</calculatedColumnFormula>
    </tableColumn>
    <tableColumn id="12" xr3:uid="{6E5262A3-A886-40FD-98DA-0BED7B55A34C}" name="Add" dataDxfId="645"/>
    <tableColumn id="7" xr3:uid="{7F39433B-DC39-4976-A414-56C28A84159C}" name="Còn lại" dataDxfId="644">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42" dataDxfId="641">
  <autoFilter ref="E4:H9" xr:uid="{550F5245-E1EE-48BB-BA97-D53103E2B2FC}"/>
  <tableColumns count="4">
    <tableColumn id="1" xr3:uid="{62F57CB7-BD30-4CE3-AD5A-9EF6C021EAA8}" name="Giá trị" dataDxfId="640"/>
    <tableColumn id="2" xr3:uid="{801C3C2D-2DDD-4915-AC1A-DCD2A6F5566F}" name="BHXH" dataDxfId="639"/>
    <tableColumn id="3" xr3:uid="{59E7F34B-C57D-4E9B-9404-7B7D4142484B}" name="BHYT" dataDxfId="638"/>
    <tableColumn id="4" xr3:uid="{457FBBE8-3A9F-42FF-BDBA-AF1891425452}" name="BHTN" dataDxfId="637"/>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36" dataDxfId="635">
  <autoFilter ref="B4:C8" xr:uid="{B138438F-4B40-44C6-8281-F50AC510196F}"/>
  <tableColumns count="2">
    <tableColumn id="1" xr3:uid="{292AA1A7-C753-482E-94E9-088666BFB0BF}" name="Vùng" dataDxfId="634"/>
    <tableColumn id="2" xr3:uid="{F3B5F18E-1A2D-431F-9B40-2E7779B7ABA8}" name="Lương tối thiểu" dataDxfId="633"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32" dataDxfId="631">
  <autoFilter ref="O4:T11" xr:uid="{078AA6C2-B37A-44C8-9A66-799E81312864}"/>
  <tableColumns count="6">
    <tableColumn id="3" xr3:uid="{F5508474-EC5D-439A-8E93-CDD6AB2B131F}" name="Thuế suất" dataDxfId="630"/>
    <tableColumn id="1" xr3:uid="{CA2D4145-A7E0-4FFF-8284-433A4132CF97}" name="Thu nhập tối thiểu" dataDxfId="629"/>
    <tableColumn id="2" xr3:uid="{A6D996EA-5AE9-433A-91F2-46B352BEEA31}" name="Thu nhập tối đa" dataDxfId="628"/>
    <tableColumn id="4" xr3:uid="{3EFB4C5C-8B20-467E-A5AA-DBFF74729D36}" name="Thuế tối đa" dataDxfId="627">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26">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25"/>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24" dataDxfId="623">
  <autoFilter ref="J4:M13" xr:uid="{1B309752-0D63-4923-9376-1BD4C4E71FD9}"/>
  <tableColumns count="4">
    <tableColumn id="1" xr3:uid="{76ABAB96-134A-4B93-A7C2-97BD4320930C}" name="Ngày" dataDxfId="622"/>
    <tableColumn id="2" xr3:uid="{91F3741B-8C80-45EB-8295-286C033070FC}" name="Giờ min" dataDxfId="621"/>
    <tableColumn id="3" xr3:uid="{AEE0EA62-A316-445B-862E-FFF5B2C4B89E}" name="Giờ max" dataDxfId="620"/>
    <tableColumn id="4" xr3:uid="{437B4F63-EC96-4774-89E5-C76DD82E5D5A}" name="Tỷ lệ" dataDxfId="619"/>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18" dataDxfId="617">
  <autoFilter ref="V8:AA11" xr:uid="{4D4ED97C-84DF-4E9E-B6CD-EA405CFD15E8}"/>
  <tableColumns count="6">
    <tableColumn id="1" xr3:uid="{06930772-A5E6-4FEA-8CAF-FE3FD3978895}" name="Ca" dataDxfId="616"/>
    <tableColumn id="2" xr3:uid="{753A739A-0E94-45D1-B3C8-EB2EDABEA806}" name="Bắt đầu" dataDxfId="615"/>
    <tableColumn id="3" xr3:uid="{A837C844-A844-4A2E-8FF0-7675770C0856}" name="Kết thúc" dataDxfId="614"/>
    <tableColumn id="4" xr3:uid="{BEB9C2FA-DC05-4867-95F3-10ACCF9B98CC}" name="Bắt đầu nghỉ" dataDxfId="613"/>
    <tableColumn id="5" xr3:uid="{630AB563-C317-4C5E-B4AF-C417FEE7FA7F}" name="Kết thúc nghỉ" dataDxfId="612"/>
    <tableColumn id="6" xr3:uid="{7BBB4EEE-79BC-4D0D-ACCA-6287A8DB0DA4}" name="Add" dataDxfId="611"/>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0" dataDxfId="609">
  <autoFilter ref="BI8:BN9" xr:uid="{C03752B9-6441-44CC-9F83-B8ADA8647E1D}"/>
  <tableColumns count="6">
    <tableColumn id="1" xr3:uid="{0D3E401B-B875-45CB-BEBE-89FD7B825B13}" name="Loại" dataDxfId="608"/>
    <tableColumn id="2" xr3:uid="{8D0AAFE9-FD63-4F86-9B4D-E77AD4DDF4B8}" name="Mã Nhân viên" dataDxfId="607"/>
    <tableColumn id="3" xr3:uid="{F930BECB-6125-493C-922B-048549C0882C}" name="Thời điểm" dataDxfId="606"/>
    <tableColumn id="4" xr3:uid="{36B04F39-A935-4B83-B2DC-05AE3893B680}" name="Ngày" dataDxfId="605">
      <calculatedColumnFormula>INT(Table_ChiPhiNV_ChamCong[[#This Row],[Thời điểm]])</calculatedColumnFormula>
    </tableColumn>
    <tableColumn id="5" xr3:uid="{3D1FC5E7-A715-479D-BAF5-DEFA48B735AA}" name="Giờ" dataDxfId="604">
      <calculatedColumnFormula>Table_ChiPhiNV_ChamCong[[#This Row],[Thời điểm]]-Table_ChiPhiNV_ChamCong[[#This Row],[Ngày]]</calculatedColumnFormula>
    </tableColumn>
    <tableColumn id="6" xr3:uid="{F6734E0D-32C8-45CD-8BFE-6B18CF211B0F}" name="Add" dataDxfId="603"/>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01" dataDxfId="600">
  <autoFilter ref="I4:R5" xr:uid="{25B92B70-A65A-4BB4-AFAF-17CD34038C01}"/>
  <tableColumns count="10">
    <tableColumn id="4" xr3:uid="{831F5562-6DF2-4C26-AF42-9E500D5C2BBA}" name="Kỳ" dataDxfId="599">
      <calculatedColumnFormula>IFERROR(
IF(ISBLANK(Table_KPI[[#This Row],[Tháng]]),
DATE(Table_KPI[[#This Row],[Năm]],12,1),
DATE(Table_KPI[[#This Row],[Năm]],Table_KPI[[#This Row],[Tháng]],1)),0)</calculatedColumnFormula>
    </tableColumn>
    <tableColumn id="3" xr3:uid="{2808BE42-D5DC-4AC5-9DF6-CB1FFC344678}" name="Năm" dataDxfId="598"/>
    <tableColumn id="9" xr3:uid="{6FBBBEE4-1479-4737-A4B7-428567D70F40}" name="Tháng" dataDxfId="597"/>
    <tableColumn id="1" xr3:uid="{BC1162C5-DCE7-4D84-9630-A787E918F57C}" name="Nhân viên" dataDxfId="596"/>
    <tableColumn id="2" xr3:uid="{5ABB2918-90ED-4247-B51E-231B14F7DE9E}" name="Kênh" dataDxfId="595"/>
    <tableColumn id="5" xr3:uid="{DED0AA08-5E3A-499C-9E4F-A67A626A20AE}" name="Doanh thu KPI" dataDxfId="594" dataCellStyle="Comma"/>
    <tableColumn id="6" xr3:uid="{E4446FF1-0070-4E03-B157-8F9425FA327E}" name="Doanh thu thực tế" dataDxfId="593"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592">
      <calculatedColumnFormula>IFERROR(Table_KPI[[#This Row],[Doanh thu thực tế]]/Table_KPI[[#This Row],[Doanh thu KPI]],0)</calculatedColumnFormula>
    </tableColumn>
    <tableColumn id="8" xr3:uid="{7159B510-A5A6-4011-8850-B711CAF79CD1}" name="Thưởng KPI" dataDxfId="591"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0"/>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89" dataDxfId="588">
  <autoFilter ref="B4:G5" xr:uid="{2A700966-B946-4558-BE22-99AF6B5C1F14}"/>
  <tableColumns count="6">
    <tableColumn id="1" xr3:uid="{372298CB-1FC0-44F9-9A44-07D557C3001F}" name="Đối tượng áp dụng" dataDxfId="587"/>
    <tableColumn id="2" xr3:uid="{3EF02C4B-8043-4158-84AE-E39B6E150981}" name="Loại KPI" dataDxfId="586"/>
    <tableColumn id="3" xr3:uid="{5F10DCD2-E481-44D2-91BF-149730CD7F5A}" name="Tỷ lệ KPI min" dataDxfId="585" dataCellStyle="Percent"/>
    <tableColumn id="6" xr3:uid="{5E21FD03-D69C-4215-925E-44A1D4F69061}" name="Tỷ lệ KPI max" dataDxfId="584" dataCellStyle="Percent"/>
    <tableColumn id="4" xr3:uid="{98E3AD66-020E-40A9-A6A3-48CA0E959609}" name="Mức thưởng" dataDxfId="583" dataCellStyle="Comma"/>
    <tableColumn id="5" xr3:uid="{A0E8F173-903B-4296-8701-508E9E5EE235}" name="Add" dataDxfId="582"/>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0" dataDxfId="579">
  <autoFilter ref="I20:Q53" xr:uid="{6905FFE6-DD04-489C-AD09-289D17B2B7B7}"/>
  <tableColumns count="9">
    <tableColumn id="1" xr3:uid="{CF77CA6B-7F51-408D-A6D8-2230BBD9B50E}" name="Kỳ" dataDxfId="578">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77"/>
    <tableColumn id="3" xr3:uid="{286D597C-B3D6-4957-9F67-8DE9ED9415FC}" name="Tháng" dataDxfId="576"/>
    <tableColumn id="5" xr3:uid="{10132119-7E6F-4E94-A296-34C544489582}" name="Khấu hao" dataDxfId="575">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74"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73"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72"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71">
      <calculatedColumnFormula>L21</calculatedColumnFormula>
    </tableColumn>
    <tableColumn id="8" xr3:uid="{39E39F52-CC76-47A9-BFB7-8ACE3E440D52}" name="Add" dataDxfId="570"/>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66" dataDxfId="565">
  <autoFilter ref="B12:K13" xr:uid="{C76B63EA-291E-48DC-AA08-50BF5281E5B9}"/>
  <sortState xmlns:xlrd2="http://schemas.microsoft.com/office/spreadsheetml/2017/richdata2" ref="B13:K13">
    <sortCondition ref="B12:B13"/>
  </sortState>
  <tableColumns count="10">
    <tableColumn id="1" xr3:uid="{CD6E6134-920A-4C8D-9AA1-99D5524D7BBC}" name="Kỳ" dataDxfId="564">
      <calculatedColumnFormula>IFERROR(
DATE(C13,D13,1),0)</calculatedColumnFormula>
    </tableColumn>
    <tableColumn id="3" xr3:uid="{95E30154-133D-4F61-AFB8-DA2570DCB075}" name="Năm" dataDxfId="563"/>
    <tableColumn id="2" xr3:uid="{74B1B8EC-1809-4D5C-80AC-93D30ED042E5}" name="Tháng" dataDxfId="562"/>
    <tableColumn id="12" xr3:uid="{2C39D079-FCEC-4397-85CA-F1F4F3BFEB0B}" name="Ngân sách" dataDxfId="561"/>
    <tableColumn id="14" xr3:uid="{FC515957-0AB2-428C-A6E5-6339BC653791}" name="Giá trị phải nộp" dataDxfId="560"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59" dataCellStyle="Comma">
      <calculatedColumnFormula array="1" xml:space="preserve">
IF(Table_NopNS[[#This Row],[Ngân sách]]= "Thuế TNDN",
IFERROR(
SUM(_xlfn._xlws.FILTER(Table_DonBan[Doanh thu ròng],
(ISBLANK(Table_DonBan[Phân bổ từ]))*
(ISBLANK(Table_DonBan[Phân bổ đến]))*
(YEAR(Table_DonBan[Ngày lập]) = Table_NopNS[[#This Row],[Năm]])*
(MONTH(Table_DonBan[Ngày lập]) = Table_NopNS[[#This Row],[Tháng]])
)),0)
+IFERROR(
SUMPRODUCT(
_xlfn._xlws.FILTER(Table_DonBan[Doanh thu ròng],
(NOT(ISBLANK(Table_DonBan[Phân bổ từ])))*
(NOT(ISBLANK(Table_DonBan[Phân bổ đến])))*
(Table_DonBan[Phân bổ từ] &lt;= DATE(Table_NopNS[[#This Row],[Kỳ]],Table_NopNS[[#This Row],[Kỳ]]+1,1))*
(Table_DonBan[Phân bổ đến] &gt; Table_NopNS[[#This Row],[Kỳ]])
),
1/_xlfn._xlws.FILTER(
ROUND((Table_DonBan[Phân bổ đến]-Table_DonBan[Phân bổ từ])/(365.25/12),0),
(NOT(ISBLANK(Table_DonBan[Phân bổ từ])))*
(NOT(ISBLANK(Table_DonBan[Phân bổ đến])))*
(Table_DonBan[Phân bổ từ] &lt;= DATE(Table_NopNS[[#This Row],[Kỳ]],Table_NopNS[[#This Row],[Kỳ]]+1,1))*
(Table_DonBan[Phân bổ đến] &gt; Table_NopNS[[#This Row],[Kỳ]])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58"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57" dataCellStyle="Percent"/>
    <tableColumn id="20" xr3:uid="{6C3B8DCD-C3D5-4964-8C3A-A9FCCC4F0237}" name="Còn lại" dataDxfId="556"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55"/>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54" dataDxfId="552" headerRowBorderDxfId="553" tableBorderDxfId="551" totalsRowBorderDxfId="550">
  <autoFilter ref="E3:F10" xr:uid="{3BBFAFDA-0432-4F25-AB1A-114DABFC5F95}"/>
  <tableColumns count="2">
    <tableColumn id="1" xr3:uid="{73ABBD31-51F1-4BCF-81D6-AA74F4BF2253}" name="Loại thuế" dataDxfId="549"/>
    <tableColumn id="2" xr3:uid="{198674E0-3320-4801-A417-78B0B34847D8}" name="Tên Đối tác" dataDxfId="548"/>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45" dataDxfId="544">
  <autoFilter ref="J21:AA34" xr:uid="{35766FBF-6C41-4A6D-80F2-CCD99F5DBD5E}"/>
  <tableColumns count="18">
    <tableColumn id="2" xr3:uid="{17A4BF9C-4541-424B-9FBE-87CC97661C47}" name="Kỳ" dataDxfId="543">
      <calculatedColumnFormula>IFERROR(
IF(ISBLANK(L22),
DATE(K22,12,1),
DATE(K22,L22,1)),0)</calculatedColumnFormula>
    </tableColumn>
    <tableColumn id="1" xr3:uid="{4FF45AAE-99CE-4510-B5FD-1ECE78FEA668}" name="Năm" dataDxfId="542"/>
    <tableColumn id="4" xr3:uid="{26A6D510-F423-4836-8842-BCDCAEEE6893}" name="Tháng" dataDxfId="541"/>
    <tableColumn id="3" xr3:uid="{D3A150E2-FCBA-4979-AE2B-2367E3717F18}" name="Khoản vay" dataDxfId="540"/>
    <tableColumn id="18" xr3:uid="{94BE6EC4-3CA8-4A2C-8B70-45E17B7622DE}" name="Tần suất" dataDxfId="539">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38">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37">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36">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35"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34"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33"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32"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31"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0" dataCellStyle="Comma">
      <calculatedColumnFormula>Table_VayNo_LichTra[[#This Row],[Lãi vay]]+Table_VayNo_LichTra[[#This Row],[Trả gốc trong kỳ]]</calculatedColumnFormula>
    </tableColumn>
    <tableColumn id="13" xr3:uid="{11492E98-D9E5-4318-A11A-0C84DD7E8ABF}" name="Chi phí tính thuế" dataDxfId="529" dataCellStyle="Comma">
      <calculatedColumnFormula>Table_VayNo_LichTra[[#This Row],[Phân bổ lãi tháng]]</calculatedColumnFormula>
    </tableColumn>
    <tableColumn id="15" xr3:uid="{A05B5372-9400-46BA-AAE0-076C26EBAFF5}" name="Ngày phải trả" dataDxfId="528"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27"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26"/>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24" dataDxfId="523">
  <autoFilter ref="B3:K4" xr:uid="{35766FBF-6C41-4A6D-80F2-CCD99F5DBD5E}"/>
  <tableColumns count="10">
    <tableColumn id="2" xr3:uid="{70E94E7A-B01C-448C-A615-62344294FB2D}" name="Kỳ" dataDxfId="522">
      <calculatedColumnFormula>IFERROR(
IF(ISBLANK(D4),
DATE(C4,12,1),
DATE(C4,D4,1)),0)</calculatedColumnFormula>
    </tableColumn>
    <tableColumn id="1" xr3:uid="{39F651A3-9FD0-406A-96D9-9086E6DDE484}" name="Năm" dataDxfId="521"/>
    <tableColumn id="3" xr3:uid="{99F8DDB3-C203-4609-B4DC-DE56F45F1D2F}" name="Tháng" dataDxfId="520"/>
    <tableColumn id="6" xr3:uid="{FCBFACE5-6421-49AF-A9B4-E954F44052F5}" name="Tài sản đầu tư" dataDxfId="519"/>
    <tableColumn id="7" xr3:uid="{657CEDEC-B0BB-424F-B241-083CF95D7F51}" name="Nhận gốc" dataDxfId="518"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17"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16" dataCellStyle="Comma">
      <calculatedColumnFormula>+Table_DauTu_LichThu[[#This Row],[Nhận lãi]]+Table_DauTu_LichThu[[#This Row],[Nhận gốc]]</calculatedColumnFormula>
    </tableColumn>
    <tableColumn id="9" xr3:uid="{372DC5B0-C810-4F4A-83AA-30839D495F1E}" name="Thu nhập tính thuế" dataDxfId="515" dataCellStyle="Comma">
      <calculatedColumnFormula>+Table_DauTu_LichThu[[#This Row],[Nhận lãi]]</calculatedColumnFormula>
    </tableColumn>
    <tableColumn id="4" xr3:uid="{9FB0F2B4-B742-40FD-9EAA-E9A9009CBB3F}" name="Add" dataDxfId="514"/>
    <tableColumn id="10" xr3:uid="{9F1C8EFB-12FE-496F-A867-198262ECD2FA}" name="Còn lại" dataDxfId="513">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V81" totalsRowShown="0" headerRowDxfId="507" dataDxfId="506">
  <autoFilter ref="B4:AV81" xr:uid="{7EE1FBC0-CA11-44D8-84E1-E68C320835D5}"/>
  <sortState xmlns:xlrd2="http://schemas.microsoft.com/office/spreadsheetml/2017/richdata2" ref="B5:AV81">
    <sortCondition descending="1" ref="K4:K81"/>
  </sortState>
  <tableColumns count="47">
    <tableColumn id="19" xr3:uid="{24D5294F-794C-47D4-B19B-4784BEEF58CD}" name="Mã SKU" dataDxfId="505"/>
    <tableColumn id="1" xr3:uid="{18961AB9-4F59-4CDA-9625-CBEB24FFC7F7}" name="Mã Nguyên liệu" dataDxfId="504"/>
    <tableColumn id="3" xr3:uid="{053A4FB5-02D1-4874-AA7F-F73A691AE0B6}" name="Đối tượng" dataDxfId="503" dataCellStyle="Comma">
      <calculatedColumnFormula>IF(ISBLANK(Table_Main[[#This Row],[Mã SKU]]),Table_Main[[#This Row],[Mã Nguyên liệu]],Table_Main[[#This Row],[Mã SKU]])</calculatedColumnFormula>
    </tableColumn>
    <tableColumn id="22" xr3:uid="{28EC1C91-1B42-49B4-B9A1-38D6FCBF4C1A}" name="Tồn kho đầu ngày" dataDxfId="502"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0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0"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49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498" dataCellStyle="Comma">
      <calculatedColumnFormula>IFERROR(Table_Main[[#This Row],[Giá trị tồn đầu ngày]]/Table_Main[[#This Row],[Tồn kho đầu ngày]],0)</calculatedColumnFormula>
    </tableColumn>
    <tableColumn id="28" xr3:uid="{1D7F2A09-B40C-47EF-BBF4-3D173B4856DD}" name="Giá trị bình quân cuối ngày" dataDxfId="497" dataCellStyle="Comma">
      <calculatedColumnFormula>IFERROR(Table_Main[[#This Row],[Giá trị tồn cuối ngày]]/Table_Main[[#This Row],[Tồn kho cuối ngày]],0)</calculatedColumnFormula>
    </tableColumn>
    <tableColumn id="38" xr3:uid="{9BB57A10-EF8B-4168-9D57-6AB152E3EAE6}" name="Ngày xuất nhập" dataDxfId="496"/>
    <tableColumn id="2" xr3:uid="{10DA1A7A-0C4B-4307-86AF-52B679F6F5C3}" name="Ngày lên đơn" dataDxfId="495">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494">
      <calculatedColumnFormula>IFERROR(MONTH(Table_Main[[#This Row],[Ngày lên đơn]]),0)</calculatedColumnFormula>
    </tableColumn>
    <tableColumn id="10" xr3:uid="{B7676641-15AA-4C16-947A-6248C8B67BD4}" name="Ngày ship mua" dataDxfId="493">
      <calculatedColumnFormula>IF(Table_Main[[#This Row],[Ngày lên đơn]]=0,"",Table_Main[[#This Row],[Ngày xuất nhập]]-Table_Main[[#This Row],[Ngày lên đơn]])</calculatedColumnFormula>
    </tableColumn>
    <tableColumn id="6" xr3:uid="{38735BED-DFF8-4F08-BB6C-BDA9A4923D2C}" name="Loại" dataDxfId="492"/>
    <tableColumn id="11" xr3:uid="{EB6998ED-BA0B-44B1-845A-BF43DC68BE22}" name="Kho" dataDxfId="491"/>
    <tableColumn id="5" xr3:uid="{EAB2F578-A8BB-4FAB-A929-B66E906EBF6E}" name="Số lượng" dataDxfId="490" dataCellStyle="Comma"/>
    <tableColumn id="21" xr3:uid="{7F71F8EC-8777-467E-9161-9B28AC8A46D4}" name="Đơn Mua" dataDxfId="489"/>
    <tableColumn id="9" xr3:uid="{E8C99E10-20DB-401A-8813-3D36BB052B76}" name="Nhà cung cấp" dataDxfId="488">
      <calculatedColumnFormula>IFERROR(VLOOKUP(Table_Main[[#This Row],[Đơn Mua]],Table_DonMua[[Mã Đơn mua]:[Add]],COUNTA(Table_DonMua[[#Headers],[Mã Đơn mua]:[Mã Đối tác]]),0),0)</calculatedColumnFormula>
    </tableColumn>
    <tableColumn id="29" xr3:uid="{80A773D5-6191-467C-8839-401F9EB003EF}" name="Giá nhập" dataDxfId="487" dataCellStyle="Comma"/>
    <tableColumn id="20" xr3:uid="{09E96BB3-B616-4831-B3CE-D5733239938A}" name="Giá trị hàng nhập" dataDxfId="486"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85">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84"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83"/>
    <tableColumn id="50" xr3:uid="{7B00697E-F170-4DCC-9865-BA4F05A89039}" name="Khách hàng" dataDxfId="482">
      <calculatedColumnFormula>IFERROR(VLOOKUP(Table_Main[[#This Row],[Đơn bán]],Table_DonBan[[Mã Đơn bán]:[Add]],COUNTA(Table_DonBan[[#Headers],[Mã Đơn bán]:[Mã Khách]]),0),0)</calculatedColumnFormula>
    </tableColumn>
    <tableColumn id="4" xr3:uid="{11B0C473-5911-4971-926A-B6CE6070C5F5}" name="Giá bán niêm yết" dataDxfId="481"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0"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79"/>
    <tableColumn id="17" xr3:uid="{9A8AEB02-9AFD-4EF8-9D1D-F40A983CEADC}" name="Tỷ lệ CK" dataDxfId="478">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77"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76"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7" xr3:uid="{319542D0-B88D-410A-B0F9-73AA2A6FBF8B}" name="Tỷ suất VAT" dataDxfId="475" dataCellStyle="Comma">
      <calculatedColumnFormula>IFERROR(
VLOOKUP(Table_Main[[#This Row],[Mã SKU]],Table_SKU[[Mã SKU]:[Tỷ suất VAT]],COUNTA(Table_SKU[[#Headers],[Mã SKU]:[Tỷ suất VAT]]),0),0)</calculatedColumnFormula>
    </tableColumn>
    <tableColumn id="18" xr3:uid="{337136D8-748B-4A8F-9751-905B9FDD86E3}" name="VAT" dataDxfId="474" dataCellStyle="Comma">
      <calculatedColumnFormula xml:space="preserve">
IF(Table_Main[[#This Row],[Đơn bán]]="", 0,Table_Main[[#This Row],[Tỷ suất VAT]]*Table_Main[[#This Row],[Giá trị bán trước VAT]])</calculatedColumnFormula>
    </tableColumn>
    <tableColumn id="45" xr3:uid="{408BECD2-0311-4DC1-99AD-0CA1E44D1094}" name="NV Bán hàng" dataDxfId="473">
      <calculatedColumnFormula>IFERROR(VLOOKUP(Table_Main[[#This Row],[Đơn bán]],Table_DonBan[[Mã Đơn bán]:[Add]],COUNTA(Table_DonBan[[#Headers],[Mã Đơn bán]:[Mã NV]]),0),0)</calculatedColumnFormula>
    </tableColumn>
    <tableColumn id="31" xr3:uid="{ADF1050F-6890-4850-B0E7-F61B55C14631}" name="Tỷ lệ hoa hồng" dataDxfId="47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71" dataCellStyle="Comma">
      <calculatedColumnFormula>IFERROR(Table_Main[[#This Row],[Giá trị bán trước VAT]]*Table_Main[[#This Row],[Tỷ lệ hoa hồng]],"")</calculatedColumnFormula>
    </tableColumn>
    <tableColumn id="33" xr3:uid="{734B6FF8-8B1D-4B8F-8584-0A27FBBAE093}" name="Kênh" dataDxfId="47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6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68" dataCellStyle="Comma">
      <calculatedColumnFormula>IFERROR(Table_Main[[#This Row],[Giá trị bán trước VAT]]*Table_Main[[#This Row],[Tỷ lệ CK kênh]],"")</calculatedColumnFormula>
    </tableColumn>
    <tableColumn id="8" xr3:uid="{3A189888-CEF8-494F-B6EE-A0DA166B7135}" name="Vận đơn bán" dataDxfId="467"/>
    <tableColumn id="12" xr3:uid="{215B916C-8D38-4F8A-8D8C-FF98A1A9D845}" name="Add" dataDxfId="466"/>
    <tableColumn id="37" xr3:uid="{6B139724-15D7-4CB1-98CA-006B024CFB89}" name="Tổng hợp ĐK" dataDxfId="46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6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6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6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6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6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5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54" dataDxfId="453">
  <autoFilter ref="B17:J28" xr:uid="{DBED1CC1-1C45-4818-9CB7-4038B855E9D6}"/>
  <tableColumns count="9">
    <tableColumn id="1" xr3:uid="{2C9952DD-CC28-41B9-B415-AE854E2F0A08}" name="STT" dataDxfId="452">
      <calculatedColumnFormula>IF(Table_FormDonMua_SKU[[#This Row],[Mã hàng]]&lt;&gt;"",COUNTIF($C$18:C28,"&lt;&gt;"""),"")</calculatedColumnFormula>
    </tableColumn>
    <tableColumn id="2" xr3:uid="{D37AF75D-5956-4C86-97BC-D52584A55EFC}" name="Mã hàng" dataDxfId="451"/>
    <tableColumn id="5" xr3:uid="{7B65724E-8B05-48D2-B0E4-F9815819CD7A}" name="Mã nguyên liệu" dataDxfId="450"/>
    <tableColumn id="3" xr3:uid="{C40437C2-C418-46F2-9E3E-92F84A5A713B}" name="Mô tả" dataDxfId="44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48" dataCellStyle="Comma"/>
    <tableColumn id="4" xr3:uid="{0E4BAE6A-1764-4E24-BD1E-96756661821D}" name="Giá sau VAT" dataDxfId="447" dataCellStyle="Comma"/>
    <tableColumn id="6" xr3:uid="{A66CD959-22C8-4FB4-B7C5-03F718F22576}" name="Thành tiền" dataDxfId="44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4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4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43" dataDxfId="441" headerRowBorderDxfId="442" tableBorderDxfId="440" totalsRowBorderDxfId="439">
  <autoFilter ref="L45:Y65" xr:uid="{0B870FEF-3DBE-475F-A1FE-1FC523A25296}"/>
  <tableColumns count="14">
    <tableColumn id="11" xr3:uid="{638AD539-B0BB-462E-89A8-EDC9D4FB5873}" name="TT" dataDxfId="438"/>
    <tableColumn id="1" xr3:uid="{59B0103D-19F0-4461-8A87-082563C765CF}" name="Mã Đơn mua" dataDxfId="43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36"/>
    <tableColumn id="3" xr3:uid="{DF34DFD7-60AA-4D3C-90E1-58592244383C}" name="Mã Đối tác" dataDxfId="435">
      <calculatedColumnFormula>CONCATENATE("NCC",RANDBETWEEN(1,3))</calculatedColumnFormula>
    </tableColumn>
    <tableColumn id="12" xr3:uid="{30051F39-7D49-4015-88E4-C41155678CF6}" name="Kho Nhập" dataDxfId="434"/>
    <tableColumn id="4" xr3:uid="{D3D7C82A-8B68-4033-A222-8D32886EC3D8}" name="Tiền hàng" dataDxfId="433" dataCellStyle="Comma">
      <calculatedColumnFormula>IFERROR(
SUM(_xlfn._xlws.FILTER(Table_Main[Giá trị hàng nhập],
(Table_Main[Đơn Mua] = Table_DonMua[[#This Row],[Mã Đơn mua]])
)),0)</calculatedColumnFormula>
    </tableColumn>
    <tableColumn id="10" xr3:uid="{A125D517-A42E-4AD5-B6E8-419DB469C039}" name="VAT hàng" dataDxfId="432" dataCellStyle="Comma">
      <calculatedColumnFormula>IFERROR(
SUM(_xlfn._xlws.FILTER(Table_Main[VAT khấu trừ],
(Table_Main[Đơn Mua] = Table_DonMua[[#This Row],[Mã Đơn mua]])
)),0)</calculatedColumnFormula>
    </tableColumn>
    <tableColumn id="6" xr3:uid="{500A5879-C4E7-41EE-A473-0F20C072C4F6}" name="Phụ phí" dataDxfId="431" dataCellStyle="Comma"/>
    <tableColumn id="8" xr3:uid="{E50DCE10-D55E-44FE-BCD0-3ACCBF858D00}" name="Khuyến mãi" dataDxfId="430" dataCellStyle="Comma"/>
    <tableColumn id="13" xr3:uid="{5BDC3693-4285-4D79-8F8C-5239E26D4E9F}" name="Tổng VAT khấu trừ" dataDxfId="42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28" dataCellStyle="Comma">
      <calculatedColumnFormula>Table_DonMua[[#This Row],[Phải trả]]-Table_DonMua[[#This Row],[Tổng VAT khấu trừ]]</calculatedColumnFormula>
    </tableColumn>
    <tableColumn id="7" xr3:uid="{E695AD01-ABAB-4962-AF8F-5078D8B81069}" name="Phải trả" dataDxfId="42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26"/>
    <tableColumn id="5" xr3:uid="{677875BF-7A28-4E7A-AD2F-414D47E8A43D}" name="Còn lại" dataDxfId="42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15" dataDxfId="414">
  <autoFilter ref="B16:R28" xr:uid="{0E4A18C3-08C8-4F92-A15E-37D3A3D28DD6}"/>
  <tableColumns count="17">
    <tableColumn id="1" xr3:uid="{F6D4F9CD-363C-42CB-B719-A498CAD3DD5F}" name="STT" dataDxfId="413">
      <calculatedColumnFormula>IF(Table_FormDonBan[[#This Row],[SKU]]&lt;&gt;"",COUNTIF(C$17:C17,"&lt;&gt;"""),"")</calculatedColumnFormula>
    </tableColumn>
    <tableColumn id="2" xr3:uid="{47A3EA58-2E28-4A2A-ABC9-FEADAF8B2D21}" name="SKU" dataDxfId="412"/>
    <tableColumn id="3" xr3:uid="{1DD58239-71F7-47D5-92BC-62B23F25A556}" name="Mô tả" dataDxfId="411">
      <calculatedColumnFormula xml:space="preserve">
IFERROR(VLOOKUP(Table_FormDonBan[[#This Row],[SKU]],Table_SKU[[Mã SKU]:[Mô tả]],Sheet_SKU!$H$1,0),"")</calculatedColumnFormula>
    </tableColumn>
    <tableColumn id="7" xr3:uid="{B15309D8-3F8D-4BDA-9B4B-4C9A71025C9D}" name="Số lượng" dataDxfId="410" dataCellStyle="Comma"/>
    <tableColumn id="4" xr3:uid="{89C72E61-4108-4130-89AF-544FAA165211}" name="Giá trước VAT" dataDxfId="409" dataCellStyle="Comma">
      <calculatedColumnFormula>IFERROR(VLOOKUP(Table_FormDonBan[[#This Row],[SKU]],Table_SKU[[Mã SKU]:[Giá bán]],Sheet_SKU!$J$1,0),"")</calculatedColumnFormula>
    </tableColumn>
    <tableColumn id="5" xr3:uid="{DBDB65F6-9AFF-401B-B416-34A8BFED3E76}" name="Chương trình" dataDxfId="408"/>
    <tableColumn id="18" xr3:uid="{704CD4AA-DD20-44B9-B44A-798544982186}" name="Tổng hợp ĐK" dataDxfId="407">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06">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05">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04">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03">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02"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01"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00"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399"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398" dataCellStyle="Percent">
      <calculatedColumnFormula>IFERROR(
VLOOKUP(Table_FormDonBan[[#This Row],[SKU]],Table_SKU[[Mã SKU]:[Tỷ suất VAT]],Sheet_SKU!$K$1,0),"")</calculatedColumnFormula>
    </tableColumn>
    <tableColumn id="9" xr3:uid="{9AEFA9BF-3D85-4AA5-B427-A3AF13390970}" name="VAT" dataDxfId="397"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Y71" totalsRowShown="0" headerRowDxfId="396">
  <autoFilter ref="T47:AY71" xr:uid="{4166925E-1F0B-42C7-A01A-835B42134064}"/>
  <tableColumns count="32">
    <tableColumn id="11" xr3:uid="{16A40DA8-3662-4F98-9040-ECD4BB05C953}" name="TT" dataDxfId="395"/>
    <tableColumn id="1" xr3:uid="{2527FACB-581B-447F-8E83-3B67509B0CD9}" name="Mã Đơn bán" dataDxfId="394">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393"/>
    <tableColumn id="31" xr3:uid="{1EBD41AE-A80B-4C3C-9A28-489BFFA054EC}" name="Phân bổ từ" dataDxfId="392"/>
    <tableColumn id="32" xr3:uid="{8E301FC7-8713-4D64-BA82-4486C62492F7}" name="Phân bổ đến" dataDxfId="391"/>
    <tableColumn id="3" xr3:uid="{6CC99533-F213-42B8-9FC6-28AA1681FB82}" name="Mã Khách" dataDxfId="390"/>
    <tableColumn id="15" xr3:uid="{1F7A1852-3D39-4901-A0D5-DAD713C5C5F9}" name="Mã NV" dataDxfId="389"/>
    <tableColumn id="16" xr3:uid="{818A9779-FBC2-448F-820D-00D6B112FFD2}" name="Kênh" dataDxfId="388"/>
    <tableColumn id="14" xr3:uid="{5A12C553-7096-4EA2-B631-2E452214EBF1}" name="Tiền hàng" dataDxfId="387"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86" dataCellStyle="Comma">
      <calculatedColumnFormula>IFERROR(SUM(_xlfn._xlws.FILTER(Table_Main[VAT],
(Table_Main[Đơn bán]=Table_DonBan[[#This Row],[Mã Đơn bán]]),
)),0)</calculatedColumnFormula>
    </tableColumn>
    <tableColumn id="23" xr3:uid="{D45B265F-A18C-463C-AC41-949E390656FD}" name="Điểm khả dụng" dataDxfId="38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84" dataCellStyle="Comma"/>
    <tableColumn id="12" xr3:uid="{B79F9811-FAAE-4953-9855-495F7E366925}" name="Chương trình" dataDxfId="383"/>
    <tableColumn id="19" xr3:uid="{054694A7-08F5-45EC-BD7C-F7F901758015}" name="Tỷ lệ CK" dataDxfId="382">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81" dataCellStyle="Comma">
      <calculatedColumnFormula>(AB48/ABS(AB48))
*IFERROR(
IF(
ISBLANK(
VLOOKUP(
AF48,
Table_ChuongTrinh[],
COUNTA(Table_ChuongTrinh[[#Headers],[Mã Chương trình]:[Tỷ lệ CK]]),
0)
),
VLOOKUP(
AF48,
Table_ChuongTrinh[],
COUNTA(Table_ChuongTrinh[[#Headers],[Mã Chương trình]:[Giá trị CK]]),
0),
VLOOKUP(
AF48,
Table_ChuongTrinh[],
COUNTA(Table_ChuongTrinh[[#Headers],[Mã Chương trình]:[Tỷ lệ CK]]),
0)*ABS(AB48)
),
0)+AE48</calculatedColumnFormula>
    </tableColumn>
    <tableColumn id="4" xr3:uid="{7ED63616-6E51-4141-8D7C-8DFD0707FC7C}" name="Tổng VAT" dataDxfId="380"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79" dataCellStyle="Comma">
      <calculatedColumnFormula>+Table_DonBan[[#This Row],[Tiền hàng]]-Table_DonBan[[#This Row],[Giá trị CK]]</calculatedColumnFormula>
    </tableColumn>
    <tableColumn id="8" xr3:uid="{DE2AB38C-7AC8-4171-9826-E4D8C517C9C4}" name="Tính thuế" dataDxfId="378" dataCellStyle="Comma">
      <calculatedColumnFormula>Table_DonBan[[#This Row],[Doanh thu ròng]]</calculatedColumnFormula>
    </tableColumn>
    <tableColumn id="7" xr3:uid="{70C7A5C8-F567-42CE-9CD1-192E338B2F99}" name="Phải thu" dataDxfId="377" dataCellStyle="Comma">
      <calculatedColumnFormula>Table_DonBan[[#This Row],[Tiền hàng]]+Table_DonBan[[#This Row],[Tổng VAT]]-Table_DonBan[[#This Row],[Giá trị CK]]</calculatedColumnFormula>
    </tableColumn>
    <tableColumn id="28" xr3:uid="{AE6838DA-AC35-4783-B4DB-89253B85A232}" name="Doanh thu tính điểm" dataDxfId="376"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75"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74" dataCellStyle="Comma">
      <calculatedColumnFormula xml:space="preserve">
Table_DonBan[[#This Row],[Tỷ lệ tính điểm]]*Table_DonBan[[#This Row],[Doanh thu ròng]]</calculatedColumnFormula>
    </tableColumn>
    <tableColumn id="6" xr3:uid="{B20068D5-36E3-4955-B116-79E972814859}" name="STT đơn của khách" dataDxfId="373">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72"/>
    <tableColumn id="9" xr3:uid="{AE3D96E6-2D5E-42ED-82BB-5E04A954236F}" name="Tổng hợp ĐK" dataDxfId="371">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70">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69">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68">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67">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66">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65">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64">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59">
  <autoFilter ref="M45:AA46" xr:uid="{7EE1FBC0-CA11-44D8-84E1-E68C320835D5}"/>
  <tableColumns count="15">
    <tableColumn id="13" xr3:uid="{D020F9F1-56E1-4EFD-ACAE-A034A2EF6F29}" name="STT" dataDxfId="358"/>
    <tableColumn id="1" xr3:uid="{47D87E04-812B-4F27-A7ED-D51F3CFF31D2}" name="Mã Vận đơn" dataDxfId="357">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56"/>
    <tableColumn id="3" xr3:uid="{5FDEBD9C-B8FD-493A-8A69-D4907DEC93EF}" name="Ngày hoàn tất" dataDxfId="355"/>
    <tableColumn id="4" xr3:uid="{0EC6DF3F-3156-41AB-8283-EEDDEF5F175D}" name="Đơn vị vận tải" dataDxfId="354"/>
    <tableColumn id="11" xr3:uid="{60EABEF1-C548-4DC8-869A-F875DCF8227D}" name="Khách hàng" dataDxfId="353"/>
    <tableColumn id="7" xr3:uid="{BA31FDC3-4731-4843-BA58-AC6A8086EF6C}" name="Kho đối tác" dataDxfId="352">
      <calculatedColumnFormula xml:space="preserve">
IFERROR(
VLOOKUP(Table_VanDon[[#This Row],[Khách hàng]],Table_KhachHang[],COUNTA(Table_KhachHang[[#Headers],[Mã KH]:[Địa chỉ]]),0),"")</calculatedColumnFormula>
    </tableColumn>
    <tableColumn id="8" xr3:uid="{5BF38569-A5F9-4B02-A78A-736101AADA30}" name="Phí ship" dataDxfId="351" dataCellStyle="Comma"/>
    <tableColumn id="9" xr3:uid="{7A2F61A9-732F-47DD-AE4E-0929A9506A7E}" name="Bên chịu phí" dataDxfId="350"/>
    <tableColumn id="14" xr3:uid="{0F7009E9-A661-4B83-A79F-DC45BB15636E}" name="Tỷ suất VAT" dataDxfId="349" dataCellStyle="Percent"/>
    <tableColumn id="16" xr3:uid="{591A1862-E955-4303-AB77-7B95B1C2C73E}" name="VAT khấu trừ" dataDxfId="348"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47" dataCellStyle="Comma">
      <calculatedColumnFormula>Table_VanDon[[#This Row],[Phải trả ship]]-Table_VanDon[[#This Row],[VAT khấu trừ]]</calculatedColumnFormula>
    </tableColumn>
    <tableColumn id="6" xr3:uid="{3F583072-563A-4D58-A602-65255FF72650}" name="Phải trả ship" dataDxfId="346" dataCellStyle="Comma">
      <calculatedColumnFormula>IF(Table_VanDon[[#This Row],[Bên chịu phí]] = "Bên bán",Table_VanDon[[#This Row],[Phí ship]],0)</calculatedColumnFormula>
    </tableColumn>
    <tableColumn id="12" xr3:uid="{AC15A925-0B65-47D5-910C-D995B98EE8C8}" name="Add" dataDxfId="345"/>
    <tableColumn id="10" xr3:uid="{F1204514-D69D-44B5-98DD-F2A3F4668EE0}" name="Còn lại" dataDxfId="344">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43" dataDxfId="342">
  <autoFilter ref="B17:J29" xr:uid="{437FEB67-8942-4F2C-8C6B-5164C1E58BF5}"/>
  <tableColumns count="9">
    <tableColumn id="1" xr3:uid="{CF9FD2DE-3FFB-4B51-A89E-7241347A2ECF}" name="STT" dataDxfId="341">
      <calculatedColumnFormula>IF(Table_PhieuGiao[[#This Row],[SKU]]&lt;&gt;"",COUNTIF(D$18:D18,"&lt;&gt;"""),"")</calculatedColumnFormula>
    </tableColumn>
    <tableColumn id="5" xr3:uid="{7AF7F8DF-62C4-4D7E-BDD9-A4793DB112B6}" name="Đơn bán" dataDxfId="340"/>
    <tableColumn id="2" xr3:uid="{78FB16B5-C042-4270-BFDD-257F18968692}" name="SKU" dataDxfId="339"/>
    <tableColumn id="3" xr3:uid="{2A78210F-A234-4CDA-A076-E413F772BCA5}" name="Mô tả" dataDxfId="338">
      <calculatedColumnFormula xml:space="preserve">
IFERROR(VLOOKUP(Table_PhieuGiao[[#This Row],[SKU]],Table_SKU[[Mã SKU]:[Mô tả]],Sheet_SKU!$H$1,0),"")</calculatedColumnFormula>
    </tableColumn>
    <tableColumn id="7" xr3:uid="{47BF1A26-E475-4961-AEFC-1172FAD98AAA}" name="Số lượng đặt" dataDxfId="337"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36" dataCellStyle="Comma"/>
    <tableColumn id="8" xr3:uid="{0E9C344A-03E5-4E66-9A57-E537C6A35F0C}" name="Thành tiền đặt" dataDxfId="335"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34"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33"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30" dataDxfId="329">
  <autoFilter ref="B4:P5" xr:uid="{2A27BF1C-8CD6-431B-8FCB-E3087A269402}"/>
  <tableColumns count="15">
    <tableColumn id="2" xr3:uid="{32912DBC-3256-4130-96F7-3E069F9569CE}" name="Kỳ" dataDxfId="328">
      <calculatedColumnFormula>IFERROR(
IF(ISBLANK(Table_LaiKhac[[#This Row],[Tháng]]),
DATE(Table_LaiKhac[[#This Row],[Năm]],12,1),
DATE(Table_LaiKhac[[#This Row],[Năm]],Table_LaiKhac[[#This Row],[Tháng]],1)),0)</calculatedColumnFormula>
    </tableColumn>
    <tableColumn id="1" xr3:uid="{9ED1705C-3CC2-4F20-94F7-FE27FFA50EA2}" name="Năm" dataDxfId="327"/>
    <tableColumn id="7" xr3:uid="{7011CE3A-4170-4F34-8A45-3C14EF584624}" name="Tháng" dataDxfId="326"/>
    <tableColumn id="13" xr3:uid="{17DBD87B-D607-4F10-9204-36EA96A70492}" name="Phân bổ từ" dataDxfId="325"/>
    <tableColumn id="14" xr3:uid="{B9685FB0-3596-4744-973F-F04B788D5C88}" name="Phân bổ đến" dataDxfId="324"/>
    <tableColumn id="3" xr3:uid="{A4B96B9D-F8B8-42EB-9824-FF28F81F7230}" name="Phân loại" dataDxfId="323"/>
    <tableColumn id="4" xr3:uid="{AFC8E105-3BFF-423F-8C41-314B2A03EB74}" name="Nội dung" dataDxfId="322"/>
    <tableColumn id="15" xr3:uid="{63DD0B39-75F3-4F54-934E-E9D0B6C25ED8}" name="Nhóm đối tác" dataDxfId="321"/>
    <tableColumn id="6" xr3:uid="{C5900F8A-787C-496B-A516-DB99B8B937AF}" name="Đối tác" dataDxfId="320"/>
    <tableColumn id="5" xr3:uid="{7D008247-88BA-4F37-AFEA-7683692A08F0}" name="Giá trị" dataDxfId="319"/>
    <tableColumn id="9" xr3:uid="{36F10CCD-CD36-4314-9238-24A84B56395C}" name="Tỷ suất VAT" dataDxfId="318" dataCellStyle="Percent"/>
    <tableColumn id="10" xr3:uid="{E80C2A67-F2A3-4D2D-BF9B-202BD5E412EA}" name="Giá trị VAT" dataDxfId="317"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16"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15"/>
    <tableColumn id="11" xr3:uid="{DB25EBA2-EAF5-4D85-89BC-088940F2D607}" name="Còn lại" dataDxfId="314">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09" dataDxfId="308">
  <autoFilter ref="B28:N46" xr:uid="{A6B1C031-348A-44B9-8D33-5EE5EC82DEAF}"/>
  <sortState xmlns:xlrd2="http://schemas.microsoft.com/office/spreadsheetml/2017/richdata2" ref="B29:N46">
    <sortCondition ref="D28:D46"/>
  </sortState>
  <tableColumns count="13">
    <tableColumn id="4" xr3:uid="{C7435740-0E30-4F59-870A-C7042BDA6B68}" name="STT" dataDxfId="307"/>
    <tableColumn id="1" xr3:uid="{3D886268-D42B-4EDF-9DDD-8B07A3BB1ADB}" name="Mã phiếu thu chi" dataDxfId="306">
      <calculatedColumnFormula>CONCATENATE(E29,"-",H29,"-",MOD(YEAR(D29),100)*10000+MONTH(D29)*100+DAY(D29),"-",B29)</calculatedColumnFormula>
    </tableColumn>
    <tableColumn id="2" xr3:uid="{491FCAFA-B1AD-46FB-8647-AA401FFD2AAA}" name="Ngày GD" dataDxfId="305"/>
    <tableColumn id="3" xr3:uid="{B9BD7AA2-C1D5-4E64-8D16-409D287CC48C}" name="Loại GD" dataDxfId="304"/>
    <tableColumn id="12" xr3:uid="{3A7EF55C-3E4D-4ADC-A987-EE3819E551D7}" name="Nội dung GD" dataDxfId="303"/>
    <tableColumn id="13" xr3:uid="{48204029-EABB-4AAE-9C1D-051B6312696D}" name="Nhóm đối tác" dataDxfId="302"/>
    <tableColumn id="5" xr3:uid="{49A47456-4C51-4447-84B0-C657FFDF4DD6}" name="Đối tác" dataDxfId="301"/>
    <tableColumn id="6" xr3:uid="{0CDCC0A6-47DE-4B3C-A651-2B10AE2D54EE}" name="TK GD" dataDxfId="300"/>
    <tableColumn id="7" xr3:uid="{4E5E42A3-26F6-4DBE-8D74-7F5305C9516A}" name="Giá trị GD" dataDxfId="299" dataCellStyle="Comma"/>
    <tableColumn id="10" xr3:uid="{A4473CA9-1AA1-40AA-B166-CA4639D6D21D}" name="Phí suất GD" dataDxfId="298">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297" dataCellStyle="Comma">
      <calculatedColumnFormula>J29*K29</calculatedColumnFormula>
    </tableColumn>
    <tableColumn id="11" xr3:uid="{A664AE69-C2DC-4436-BDB2-AEFE89079C62}" name="Giá trị sau phí" dataDxfId="296" dataCellStyle="Comma">
      <calculatedColumnFormula>Table_ThuChiKD[[#This Row],[Giá trị GD]]-Table_ThuChiKD[[#This Row],[Phí GD]]</calculatedColumnFormula>
    </tableColumn>
    <tableColumn id="8" xr3:uid="{82EB006A-DD38-4126-823B-D7856CE71E6B}" name="Add" dataDxfId="295"/>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294" dataDxfId="293">
  <autoFilter ref="E3:F12" xr:uid="{D10BD9CF-04EA-4A06-A52D-50A7CE300F60}"/>
  <tableColumns count="2">
    <tableColumn id="2" xr3:uid="{40512225-2330-428E-AB71-937372499A1F}" name="STT" dataDxfId="292">
      <calculatedColumnFormula>IFERROR(+E3+1,1)</calculatedColumnFormula>
    </tableColumn>
    <tableColumn id="1" xr3:uid="{3A75AD2B-488A-42AD-80B3-1BB5E573CF50}" name="Nội dung GD" dataDxfId="291"/>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287" dataDxfId="286">
  <autoFilter ref="B16:L17" xr:uid="{A6B1C031-348A-44B9-8D33-5EE5EC82DEAF}"/>
  <sortState xmlns:xlrd2="http://schemas.microsoft.com/office/spreadsheetml/2017/richdata2" ref="B17:L17">
    <sortCondition ref="D16:D17"/>
  </sortState>
  <tableColumns count="11">
    <tableColumn id="4" xr3:uid="{F803AFF6-797E-4542-A408-654C11CA19E2}" name="STT" dataDxfId="285"/>
    <tableColumn id="1" xr3:uid="{45742FAA-80A9-4C34-988A-130A5FA27BBE}" name="Mã phiếu thu chi" dataDxfId="284">
      <calculatedColumnFormula>CONCATENATE(E17,"-",H17,"-",MOD(YEAR(D17),100)*10000+MONTH(D17)*100+DAY(D17),"-",B17)</calculatedColumnFormula>
    </tableColumn>
    <tableColumn id="2" xr3:uid="{1F07107C-BEAF-4595-9D97-3CA40A6E5C13}" name="Ngày GD" dataDxfId="283"/>
    <tableColumn id="3" xr3:uid="{AD4ECA87-A6F4-41AD-85ED-A453FDAEF2A3}" name="Loại GD" dataDxfId="282"/>
    <tableColumn id="12" xr3:uid="{269689F3-A1F2-4FF9-896E-1F077776B351}" name="Nội dung GD" dataDxfId="281"/>
    <tableColumn id="10" xr3:uid="{0A32DAC3-670F-44F4-8435-A9DF6980C954}" name="Nhóm đối tác" dataDxfId="280"/>
    <tableColumn id="5" xr3:uid="{FA4A4CC0-A12B-4EA7-9660-3F36083E3F33}" name="Đối tác" dataDxfId="279"/>
    <tableColumn id="6" xr3:uid="{6E6D9ED9-7C73-4BEA-8509-DA3B5B025931}" name="TK GD" dataDxfId="278"/>
    <tableColumn id="7" xr3:uid="{B32B184A-91D5-47BD-AF78-AAC7293CCA62}" name="Giá trị GD" dataDxfId="277" dataCellStyle="Comma"/>
    <tableColumn id="9" xr3:uid="{175C7478-C2C1-4F15-846F-5B33016C4AA2}" name="Ngày đáo hạn" dataDxfId="276">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75"/>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74" dataDxfId="273">
  <autoFilter ref="E3:F13" xr:uid="{D10BD9CF-04EA-4A06-A52D-50A7CE300F60}"/>
  <tableColumns count="2">
    <tableColumn id="2" xr3:uid="{1B498D18-30F5-4944-9156-0E4A00896955}" name="STT" dataDxfId="272">
      <calculatedColumnFormula>IFERROR(E3+1,1)</calculatedColumnFormula>
    </tableColumn>
    <tableColumn id="1" xr3:uid="{768EC5AA-4BC6-4314-8EB2-C60AA81000E0}" name="Các hạng mục giao dịch" dataDxfId="271"/>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68" dataDxfId="267">
  <autoFilter ref="B4:G5" xr:uid="{7981BC7E-C06D-4928-91D7-60ED2FF9E0B2}"/>
  <tableColumns count="6">
    <tableColumn id="5" xr3:uid="{110B2137-B0AB-411B-AE82-F8D4A7958DC7}" name="Mã Tài khoản" dataDxfId="266"/>
    <tableColumn id="1" xr3:uid="{6BCAD684-B6EA-41EB-91E4-5267F4AA263E}" name="Loại tài khoản" dataDxfId="265"/>
    <tableColumn id="2" xr3:uid="{603DB923-4BC5-4423-A274-A17C876CE4A2}" name="Số Tài khoản" dataDxfId="264"/>
    <tableColumn id="4" xr3:uid="{C4306A62-2891-4731-A717-CC6F7910F169}" name="Phí Thanh toán" dataDxfId="263" dataCellStyle="Percent"/>
    <tableColumn id="3" xr3:uid="{4E886D6E-8A90-4289-A5D3-7DE9B8C36862}" name="Số dư ban đầu" dataDxfId="262" dataCellStyle="Comma"/>
    <tableColumn id="6" xr3:uid="{8C5B89A2-9332-4B66-BC31-5DFDAE28C026}" name="Add" dataDxfId="261"/>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59" dataDxfId="258">
  <autoFilter ref="B4:J5" xr:uid="{33BA97D5-806B-467F-8072-874973E61A4E}"/>
  <tableColumns count="9">
    <tableColumn id="1" xr3:uid="{13417069-BFE5-4A56-98E1-E251A793602E}" name="Mã khoản đầu tư" dataDxfId="257"/>
    <tableColumn id="2" xr3:uid="{7D0B06DC-AD10-4C17-8CA5-5D5883186557}" name="Tài sản đầu tư" dataDxfId="256"/>
    <tableColumn id="3" xr3:uid="{D33CF87D-21E8-4D3A-8E01-4F1161353E26}" name="Giá trị đầu tư" dataDxfId="255" dataCellStyle="Comma"/>
    <tableColumn id="4" xr3:uid="{EFB06D4B-4971-468B-9A1B-D04F8830D305}" name="Thời hạn (tháng)" dataDxfId="254" dataCellStyle="Comma"/>
    <tableColumn id="8" xr3:uid="{65743D85-4109-4D92-B664-2BCBF0420CA1}" name="Lãi suất (năm)" dataDxfId="253" dataCellStyle="Percent"/>
    <tableColumn id="9" xr3:uid="{846A9515-722D-44B8-90F2-8D8E0F05BA3D}" name="Kỳ đầu tư" dataDxfId="252"/>
    <tableColumn id="6" xr3:uid="{4C00745A-B1FE-45B1-9B3E-38A95580281F}" name="Kỳ đáo hạn" dataDxfId="251">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50" dataCellStyle="Comma">
      <calculatedColumnFormula>IF(ISBLANK(Table_DauTu[[#This Row],[Lãi suất (năm)]]),0,Table_DauTu[[#This Row],[Giá trị đầu tư]]* Table_DauTu[[#This Row],[Lãi suất (năm)]]/12)</calculatedColumnFormula>
    </tableColumn>
    <tableColumn id="10" xr3:uid="{DD51B405-73CD-400C-ADF6-CF820E5F4616}" name="Add" dataDxfId="249"/>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45" dataDxfId="244">
  <autoFilter ref="B4:M8" xr:uid="{33BA97D5-806B-467F-8072-874973E61A4E}"/>
  <tableColumns count="12">
    <tableColumn id="1" xr3:uid="{4A93644F-8224-447B-9E36-259792E6E138}" name="Mã khoản vay" dataDxfId="243"/>
    <tableColumn id="2" xr3:uid="{A89F2CB3-3FD7-456C-B7F4-0E3DBE246171}" name="Bên cho vay" dataDxfId="242"/>
    <tableColumn id="3" xr3:uid="{0346E20E-CC57-4F1B-B612-52C1688C2B55}" name="Giá trị vay" dataDxfId="241" dataCellStyle="Comma"/>
    <tableColumn id="12" xr3:uid="{B3E707F2-4568-4E1A-A294-7D6F30EC02BD}" name="Tần suất trả nợ" dataDxfId="240" dataCellStyle="Comma"/>
    <tableColumn id="11" xr3:uid="{AA3EB2D4-0F79-41E8-BF8E-F9B87967230F}" name="Thời hạn (năm)" dataDxfId="239" dataCellStyle="Comma"/>
    <tableColumn id="4" xr3:uid="{57419588-C918-4A04-A1A6-318776271252}" name="Thời hạn (tháng)" dataDxfId="238" dataCellStyle="Comma"/>
    <tableColumn id="8" xr3:uid="{ADE26E08-469E-496D-8DD9-6D7A2F0B7494}" name="Lãi suất (năm)" dataDxfId="237" dataCellStyle="Percent"/>
    <tableColumn id="9" xr3:uid="{BE0A26C0-FBBB-45BA-804C-0B8E64CC81D3}" name="Ngày vay" dataDxfId="236"/>
    <tableColumn id="5" xr3:uid="{77AF3B82-48AE-4D87-A5EB-64C9E37C071D}" name="Bắt đầu trả gốc" dataDxfId="235"/>
    <tableColumn id="6" xr3:uid="{585AAE9C-F2FC-4DF5-9A78-D2638745E9B1}" name="Kết thúc trả gốc" dataDxfId="234">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33"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32"/>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29" dataDxfId="228">
  <autoFilter ref="B4:K5" xr:uid="{1C709573-89B6-4517-AED2-CA532A54D3DD}"/>
  <tableColumns count="10">
    <tableColumn id="1" xr3:uid="{11E1E3A6-FE95-4E0C-BEA8-076729333970}" name="Mã Cổ đông" dataDxfId="227"/>
    <tableColumn id="2" xr3:uid="{65209269-4DB8-4391-A298-4C64CE3A340D}" name="Tên Cổ đông" dataDxfId="226"/>
    <tableColumn id="3" xr3:uid="{C0AAD33A-81E5-48B1-BB5B-03749E6409F0}" name="Vốn góp ban đầu" dataDxfId="225" dataCellStyle="Comma"/>
    <tableColumn id="4" xr3:uid="{0167E8D1-6899-412F-9852-A8F5405AB4C3}" name="Vốn góp hiện tại" dataDxfId="224"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23" dataCellStyle="Percent">
      <calculatedColumnFormula>IFERROR(Table_CoDong[[#This Row],[Vốn góp hiện tại]]/SUM(Table_CoDong[Vốn góp hiện tại]),0)</calculatedColumnFormula>
    </tableColumn>
    <tableColumn id="6" xr3:uid="{0788CB80-297F-4206-91C9-CF1E0FC99640}" name="Tỷ lệ chia lợi nhuận" dataDxfId="222" dataCellStyle="Percent">
      <calculatedColumnFormula>Table_CoDong[[#This Row],[Tỷ lệ sở hữu]]</calculatedColumnFormula>
    </tableColumn>
    <tableColumn id="7" xr3:uid="{CF2A8E55-DDBD-4A97-B224-28CD96F9E7D5}" name="MST / CCCD" dataDxfId="221"/>
    <tableColumn id="8" xr3:uid="{E7AC8E04-EB64-406A-BE0D-7081826BA7F9}" name="Địa chỉ" dataDxfId="220"/>
    <tableColumn id="9" xr3:uid="{F171E66A-5F9D-4092-B19D-F0B4D3C1A7D4}" name="SĐT" dataDxfId="219"/>
    <tableColumn id="10" xr3:uid="{157EEF0C-DA61-4F78-B69B-396759529D02}" name="Add" dataDxfId="218"/>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B19:T20" totalsRowShown="0" headerRowDxfId="215" dataDxfId="214">
  <autoFilter ref="B19:T20" xr:uid="{5F991E17-DE02-4747-B5A3-0BC9073CB224}"/>
  <tableColumns count="19">
    <tableColumn id="1" xr3:uid="{8EB76FFF-4298-4FA9-8AEF-A1BCE446D786}" name="STT" dataDxfId="213"/>
    <tableColumn id="2" xr3:uid="{BD174AD5-E97E-477B-BC4F-E91FD9C428FE}" name="Mã chi phí" dataDxfId="212">
      <calculatedColumnFormula>CONCATENATE("CP-",Table_ChiPhiKD[[#This Row],[Vendor]],"-",MOD(Table_ChiPhiKD[[#This Row],[Năm]],100)*100+Table_ChiPhiKD[[#This Row],[Tháng]],"-",Table_ChiPhiKD[[#This Row],[STT]])</calculatedColumnFormula>
    </tableColumn>
    <tableColumn id="4" xr3:uid="{E44E3A1C-E824-4C08-B3CB-09598F123B88}" name="Kỳ" dataDxfId="211">
      <calculatedColumnFormula>IFERROR(
IF(ISBLANK(Table_ChiPhiKD[[#This Row],[Tháng]]),
DATE(Table_ChiPhiKD[[#This Row],[Năm]],12,1),
DATE(Table_ChiPhiKD[[#This Row],[Năm]],Table_ChiPhiKD[[#This Row],[Tháng]],1)),0)</calculatedColumnFormula>
    </tableColumn>
    <tableColumn id="3" xr3:uid="{951F499D-E058-410C-B58A-2B55796DF745}" name="Năm" dataDxfId="210" dataCellStyle="Comma"/>
    <tableColumn id="10" xr3:uid="{B1FB9B04-80B2-4715-A31B-B948274CB86B}" name="Tháng" dataDxfId="209" dataCellStyle="Comma"/>
    <tableColumn id="16" xr3:uid="{AA4DD464-AA58-4FC8-AA01-05E1E24161BC}" name="Phân bổ từ" dataDxfId="208"/>
    <tableColumn id="17" xr3:uid="{3D1DA3BA-92E3-490C-B457-D14473A7D91A}" name="Phân bổ đến" dataDxfId="207"/>
    <tableColumn id="5" xr3:uid="{C39693CD-AB60-4CF1-A1B9-5926B9B0DCC1}" name="Nhóm chi phí" dataDxfId="206"/>
    <tableColumn id="15" xr3:uid="{D484D441-3E9A-4FB5-870D-8565F8778970}" name="Nhóm vendor" dataDxfId="205"/>
    <tableColumn id="6" xr3:uid="{D224774D-C286-440F-9995-EADC42C63DDB}" name="Vendor" dataDxfId="204"/>
    <tableColumn id="8" xr3:uid="{784EA8E4-5DA1-413C-B845-3AC745F511D2}" name="Nội dung" dataDxfId="203"/>
    <tableColumn id="9" xr3:uid="{9CFBD63A-3004-4019-B4C0-8BC6155C769E}" name="Giá trị" dataDxfId="202" dataCellStyle="Comma"/>
    <tableColumn id="18" xr3:uid="{42ABD383-EB1B-4899-850E-374A9A28D191}" name="Tỷ lệ sản xuất" dataDxfId="201" dataCellStyle="Percent"/>
    <tableColumn id="19" xr3:uid="{7A8A9ABF-72A7-48DA-8A79-22E155680628}" name="Phân bổ sản xuất" dataDxfId="200" dataCellStyle="Comma">
      <calculatedColumnFormula>Table_ChiPhiKD[[#This Row],[Tỷ lệ sản xuất]]*Table_ChiPhiKD[[#This Row],[Giá trị]]</calculatedColumnFormula>
    </tableColumn>
    <tableColumn id="11" xr3:uid="{F137258A-D68A-4907-82AC-D5F9125EDBEF}" name="Tỷ suất VAT kháu trừ" dataDxfId="199" dataCellStyle="Percent"/>
    <tableColumn id="13" xr3:uid="{61812D02-8B46-4BA6-871B-7AE02B78CA8A}" name="VAT khấu trừ" dataDxfId="198" dataCellStyle="Comma">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197" dataCellStyle="Comma">
      <calculatedColumnFormula>Table_ChiPhiKD[[#This Row],[Giá trị]]-Table_ChiPhiKD[[#This Row],[VAT khấu trừ]]</calculatedColumnFormula>
    </tableColumn>
    <tableColumn id="12" xr3:uid="{B64FA33D-F32F-4150-89F0-5E5629BF018D}" name="Add" dataDxfId="196"/>
    <tableColumn id="7" xr3:uid="{925DFFB3-F75E-4803-8AB1-5A25D839F13D}" name="Còn lại" dataDxfId="195">
      <calculatedColumnFormula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I3:J16" totalsRowShown="0" headerRowDxfId="194" dataDxfId="193">
  <autoFilter ref="I3:J16" xr:uid="{A3BF0C5B-FC17-4D9C-B315-53375E480D6F}"/>
  <tableColumns count="2">
    <tableColumn id="1" xr3:uid="{5A01712E-882C-4D38-85D0-54B58A2EB9BA}" name="Nhóm chi phí" dataDxfId="192"/>
    <tableColumn id="3" xr3:uid="{995D1958-CA48-46CF-BFF8-F6D8301B03B8}" name="Chức năng" dataDxfId="191"/>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25" totalsRowShown="0" headerRowDxfId="183" dataDxfId="181" headerRowBorderDxfId="182" tableBorderDxfId="180" totalsRowBorderDxfId="179">
  <autoFilter ref="B14:J25" xr:uid="{F9CDC939-2E96-4476-86E6-B56E18A675E8}"/>
  <tableColumns count="9">
    <tableColumn id="1" xr3:uid="{7721CE83-F664-4762-9716-4889305A9FE2}" name="Mã Đối tác" dataDxfId="178"/>
    <tableColumn id="2" xr3:uid="{41D3F0CF-E150-49FF-8B01-450666B3CC4E}" name="Tên Đối tác" dataDxfId="177"/>
    <tableColumn id="8" xr3:uid="{CF26196B-69EB-46EC-B556-EA7E356900A5}" name="Loại đối tác" dataDxfId="176"/>
    <tableColumn id="3" xr3:uid="{B91B8895-5250-4079-BB0D-F4FE31F381D7}" name="Mã số thuế" dataDxfId="175"/>
    <tableColumn id="4" xr3:uid="{81E3C711-500A-4593-942E-FEAB04058687}" name="SĐT" dataDxfId="174"/>
    <tableColumn id="5" xr3:uid="{BB737E9B-C3C7-42A0-AE4B-C771A4B94B46}" name="Địa điểm" dataDxfId="173"/>
    <tableColumn id="6" xr3:uid="{ABBC3333-2DA9-426E-B6D7-895106AB9BC7}" name="Tài khoản" dataDxfId="172"/>
    <tableColumn id="9" xr3:uid="{AB1EED42-5145-44D2-B0AC-5FA7A87C5A4B}" name="Dư nợ" dataDxfId="171" dataCellStyle="Comma">
      <calculatedColumnFormula>IFERROR(VLOOKUP(Table_NhaCungCap[[#This Row],[Mã Đối tác]],Table_PhaiTra[[Đối tác]:[Add]],COUNTA(Table_PhaiTra[[#Headers],[Đối tác]:[Add]])-1,0),0)</calculatedColumnFormula>
    </tableColumn>
    <tableColumn id="7" xr3:uid="{33848DA7-3319-42F8-95F5-D04554228C07}" name="Add" dataDxfId="170"/>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7" dataDxfId="166">
  <autoFilter ref="T9:AC10" xr:uid="{D36C50C2-9F50-44F9-851E-AF3CE876FBFE}"/>
  <tableColumns count="10">
    <tableColumn id="1" xr3:uid="{4A3FCD0C-E17B-4120-9BE4-7374A2C75088}" name="Mã NV" dataDxfId="165"/>
    <tableColumn id="2" xr3:uid="{3FF44A59-1049-4D92-87E1-AE653BB3E15F}" name="Tên NV" dataDxfId="164"/>
    <tableColumn id="8" xr3:uid="{99A1AB96-F8C1-4D21-9FC4-EF4072A4DE00}" name="Bộ phận" dataDxfId="163"/>
    <tableColumn id="5" xr3:uid="{BEAC1714-C1E8-49D6-9AC3-1AF3087A84E0}" name="Phòng" dataDxfId="162">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1">
      <calculatedColumnFormula>IFERROR(
VLOOKUP(Table_NhanVien[[#This Row],[Phòng]],Table_CauTruc_PhongBan[],COUNTA(Table_CauTruc_PhongBan[[#Headers],[Tên phòng ban]:[Chức năng]]),0),0)</calculatedColumnFormula>
    </tableColumn>
    <tableColumn id="6" xr3:uid="{7B5CEAB6-BD30-4D2D-943C-5EC7D3E12B9D}" name="Vị trí" dataDxfId="160"/>
    <tableColumn id="7" xr3:uid="{8B9A2DC1-6892-4BE3-8A30-44D5EB94ABC1}" name="Lương gross" dataDxfId="159" dataCellStyle="Comma"/>
    <tableColumn id="12" xr3:uid="{E89F53C3-90D6-460E-8E47-F1E06E1BC555}" name="Người phụ thuộc" dataDxfId="158" dataCellStyle="Comma"/>
    <tableColumn id="9" xr3:uid="{DA7672C3-D179-41D7-B233-EF01246FF73A}" name="Nghỉ phép năm" dataDxfId="157" dataCellStyle="Comma"/>
    <tableColumn id="3" xr3:uid="{0997A14D-6FB9-4585-89CD-7360C6B38981}" name="Add" dataDxfId="156"/>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5" dataDxfId="154">
  <autoFilter ref="B9:E10" xr:uid="{874024D3-C0F6-4B78-91DE-183D234B7E0A}"/>
  <tableColumns count="4">
    <tableColumn id="2" xr3:uid="{4955A630-83A9-465E-8E2B-CCAF528A483F}" name="Tên phòng ban" dataDxfId="153"/>
    <tableColumn id="3" xr3:uid="{BB289D1A-97DE-4CC3-9BC0-D73268339B89}" name="Chức năng" dataDxfId="152"/>
    <tableColumn id="4" xr3:uid="{BD3DB428-9E80-4CCB-859B-3280E06AA362}" name="Trưởng phòng" dataDxfId="151"/>
    <tableColumn id="5" xr3:uid="{196D9394-A077-432C-A305-7C9FA44F664A}" name="Add" dataDxfId="150"/>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49" dataDxfId="148">
  <autoFilter ref="G9:J10" xr:uid="{63F1D030-35D8-461C-A2E4-DECEBB912102}"/>
  <tableColumns count="4">
    <tableColumn id="2" xr3:uid="{17A0FDD1-EA20-464F-B4AF-395480699CFD}" name="Tên bộ phận" dataDxfId="147"/>
    <tableColumn id="3" xr3:uid="{C35AC608-7B82-4B64-A7A0-64477DE43413}" name="Phòng trực thuộc" dataDxfId="146"/>
    <tableColumn id="4" xr3:uid="{509D9E98-94F9-4818-A87B-FC2F4C2B8217}" name="Trưởng bộ phận" dataDxfId="145"/>
    <tableColumn id="5" xr3:uid="{BA1EEDDC-46C1-425D-ABD9-403CE33F6A1A}" name="Add" dataDxfId="144"/>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3" dataDxfId="142">
  <autoFilter ref="L9:Q10" xr:uid="{BCDFD35B-AF46-4CAA-8C17-32B8AF8F3C2E}"/>
  <tableColumns count="6">
    <tableColumn id="1" xr3:uid="{CB2DDD6C-91E3-4F80-827C-B2E595D107A9}" name="Vị trí" dataDxfId="141"/>
    <tableColumn id="2" xr3:uid="{095AE0D0-0F39-4AEF-8276-39235A16F179}" name="Bộ phận" dataDxfId="140"/>
    <tableColumn id="3" xr3:uid="{535346B0-31A3-47B7-BD2E-E27629B35699}" name="Lương gross tiêu chuẩn" dataDxfId="139"/>
    <tableColumn id="4" xr3:uid="{8DC987E5-7EDA-444E-8653-BC208CE9DA98}" name="Số lượng mục tiêu" dataDxfId="138"/>
    <tableColumn id="5" xr3:uid="{0DE7B6C0-6272-4C44-A820-47B109AAF2DD}" name="Số lượng hiện tại" dataDxfId="137">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6"/>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2" dataDxfId="131">
  <autoFilter ref="H23:AD29" xr:uid="{40AFBD15-C3DB-4B1A-A7ED-68DC4F48A342}"/>
  <tableColumns count="23">
    <tableColumn id="1" xr3:uid="{A47B5657-C017-4789-8658-5878F1E279FC}" name="Mã Tài sản" dataDxfId="130"/>
    <tableColumn id="12" xr3:uid="{6EEF3686-9329-4F08-B3CD-EA296F7F9C7B}" name="Tên tài sản" dataDxfId="129"/>
    <tableColumn id="2" xr3:uid="{4F42ED11-12D7-40D8-B475-C321101CBE70}" name="Chức năng" dataDxfId="128"/>
    <tableColumn id="18" xr3:uid="{7C7701C7-1751-4E95-9C28-B86A2A873F7A}" name="Phân loại" dataDxfId="127"/>
    <tableColumn id="16" xr3:uid="{1E1E7B91-780E-48E4-A150-E80FD4EECDAF}" name="Công suất" dataDxfId="126" dataCellStyle="Comma"/>
    <tableColumn id="17" xr3:uid="{CF466C8E-B41D-429E-BDA5-A572C444FD7B}" name="Đơn vị công suất" dataDxfId="125"/>
    <tableColumn id="7" xr3:uid="{EB0326DA-5004-47BD-903B-08B8745AEC52}" name="Giá trị sổ sách" dataDxfId="124" dataCellStyle="Comma"/>
    <tableColumn id="9" xr3:uid="{F17E30ED-4447-4BC1-AC59-9DECB27CE82F}" name="Ngày mua" dataDxfId="123"/>
    <tableColumn id="3" xr3:uid="{367D1F63-7B9D-4BD0-908B-ED95605B8762}" name="Năm khấu hao" dataDxfId="122" dataCellStyle="Comma"/>
    <tableColumn id="4" xr3:uid="{DAEEE6C4-A0AA-484E-B5B8-9797AC6DD237}" name="Tháng khấu hao" dataDxfId="121" dataCellStyle="Comma">
      <calculatedColumnFormula>Table_TSCD[[#This Row],[Năm khấu hao]]*12</calculatedColumnFormula>
    </tableColumn>
    <tableColumn id="5" xr3:uid="{07F00AC5-E602-4A83-B7F0-0D26923028DF}" name="Ngày vận hành" dataDxfId="120"/>
    <tableColumn id="10" xr3:uid="{0433B6A4-1457-4046-8C56-89725B66D191}" name="Ngày thanh lý" dataDxfId="119"/>
    <tableColumn id="6" xr3:uid="{16F64D22-997F-4AD6-BAD5-FC61B6F5356C}" name="Ngày kết thúc" dataDxfId="118">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7" dataCellStyle="Comma">
      <calculatedColumnFormula>IFERROR(
Table_TSCD[[#This Row],[Giá trị sổ sách]]/Table_TSCD[[#This Row],[Tháng khấu hao]],
0)</calculatedColumnFormula>
    </tableColumn>
    <tableColumn id="15" xr3:uid="{D7FCA084-26D7-43E9-AB01-6C08A1C39460}" name="Tình trạng VAT" dataDxfId="116"/>
    <tableColumn id="13" xr3:uid="{7E34F990-ADFE-456A-A4D5-00D9D0FBED1F}" name="Tỷ suất VAT" dataDxfId="115" dataCellStyle="Percent"/>
    <tableColumn id="14" xr3:uid="{596FA92E-DD2A-48BD-B8C1-3CEAB720BF6D}" name="VAT khấu trừ" dataDxfId="114"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3"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2"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1" dataCellStyle="Percent">
      <calculatedColumnFormula>Table_TSCD[[#This Row],[Khấu hao lũy kế theo ngày]]/Table_TSCD[[#This Row],[Giá trị sổ sách]]</calculatedColumnFormula>
    </tableColumn>
    <tableColumn id="22" xr3:uid="{5B2AFBB9-6F62-4288-9CC5-CFDFEB00724B}" name="Giá trị còn lại" dataDxfId="110" dataCellStyle="Comma">
      <calculatedColumnFormula>Table_TSCD[[#This Row],[Giá trị sổ sách]]-Table_TSCD[[#This Row],[Khấu hao lũy kế theo ngày]]</calculatedColumnFormula>
    </tableColumn>
    <tableColumn id="23" xr3:uid="{B68CD42B-E757-4940-B628-028C623B9FF4}" name="Số ngày còn lại" dataDxfId="109"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8"/>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1" dataDxfId="99" headerRowBorderDxfId="100" tableBorderDxfId="98" totalsRowBorderDxfId="97">
  <autoFilter ref="C8:J10" xr:uid="{F9CDC939-2E96-4476-86E6-B56E18A675E8}"/>
  <tableColumns count="8">
    <tableColumn id="1" xr3:uid="{1B67AE99-FDAD-4835-9D4E-34EA44144EE0}" name="Mã Nguyên liệu" dataDxfId="96"/>
    <tableColumn id="2" xr3:uid="{3C30776B-A6FB-47C4-8E72-61682F243AD3}" name="Tên Nguyên liệu" dataDxfId="95"/>
    <tableColumn id="3" xr3:uid="{87313DE0-6E80-44F2-914E-50F319B39506}" name="Chức năng" dataDxfId="94"/>
    <tableColumn id="4" xr3:uid="{915AAD01-0CDD-4393-9B34-72D2B09711C7}" name="Đơn vị" dataDxfId="93"/>
    <tableColumn id="5" xr3:uid="{43F9A0B6-22CC-4BE8-94BC-83710307A141}" name="Tỷ suất VAT" dataDxfId="92"/>
    <tableColumn id="8" xr3:uid="{1E207E09-C9FA-4E1E-BBA2-DE7826E06361}" name="Hạn sử dụng" dataDxfId="91"/>
    <tableColumn id="6" xr3:uid="{CD709ECA-DA11-4A56-A7D0-4462FFBF48DD}" name="Tồn kho" dataDxfId="90"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8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7" dataDxfId="86">
  <autoFilter ref="B5:N6" xr:uid="{89D4D2D8-07A6-4019-B2DE-FD28C29C2B5F}"/>
  <tableColumns count="13">
    <tableColumn id="1" xr3:uid="{C07B4D49-6C55-4384-8622-8E12E3545080}" name="Mã Chương trình" dataDxfId="85"/>
    <tableColumn id="10" xr3:uid="{C922E9CA-E240-489B-BF96-87E46297C0A4}" name="Đối tượng CK" dataDxfId="84"/>
    <tableColumn id="2" xr3:uid="{60DDFE69-7F8F-4970-9DF7-BBE4159ACE63}" name="Nội dung Chương trình" dataDxfId="83"/>
    <tableColumn id="3" xr3:uid="{6AD3BBB5-4931-4482-A0C5-69CCB2D21437}" name="Bắt đầu" dataDxfId="82"/>
    <tableColumn id="4" xr3:uid="{D841A234-B8B9-421B-BC2F-26B35AA9284D}" name="Kết thúc" dataDxfId="81"/>
    <tableColumn id="5" xr3:uid="{18734680-1290-4A36-81B4-E137009CFECE}" name="Tỷ lệ CK" dataDxfId="80"/>
    <tableColumn id="6" xr3:uid="{A4897EC7-31DE-4F08-8716-1B71CB19BB9C}" name="Giá trị CK" dataDxfId="79" dataCellStyle="Comma"/>
    <tableColumn id="8" xr3:uid="{A678DB58-0A2F-46DD-ADD2-53C6F78C9D5D}" name="Số lượng" dataDxfId="78" dataCellStyle="Comma"/>
    <tableColumn id="9" xr3:uid="{0B14159A-8061-4F3D-9C98-CC9169AF2819}" name="Giá trị tối thiểu" dataDxfId="77" dataCellStyle="Comma"/>
    <tableColumn id="14" xr3:uid="{02C28D48-ADA4-42D2-B1D6-6B3ECF7B9637}" name="Sinh nhật" dataDxfId="76" dataCellStyle="Comma"/>
    <tableColumn id="15" xr3:uid="{E08C58CE-C14D-4155-BD98-3405A6557F2C}" name="Ngày mua cuối" dataDxfId="75" dataCellStyle="Comma"/>
    <tableColumn id="7" xr3:uid="{2C3E4CBC-B39B-4DE4-8CC7-9D656A80807F}" name="Chi phí" dataDxfId="74" dataCellStyle="Comma"/>
    <tableColumn id="11" xr3:uid="{9F97954A-5E09-49C4-BF7A-3D47ED5D6855}" name="Add" dataDxfId="73"/>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1" dataDxfId="70">
  <autoFilter ref="B4:G5" xr:uid="{BFD265DA-C428-4BBF-9997-524EA24EACF2}"/>
  <tableColumns count="6">
    <tableColumn id="1" xr3:uid="{A976ACD2-663C-42B5-A29A-3F119C4BFAF8}" name="SKU" dataDxfId="69"/>
    <tableColumn id="2" xr3:uid="{7B693058-09CD-4FC7-82F6-C9C42132806D}" name="Đối tượng" dataDxfId="68"/>
    <tableColumn id="3" xr3:uid="{EA765741-F5DC-4846-BA61-71C5CC0C8E9D}" name="Mã Nhân viên" dataDxfId="67"/>
    <tableColumn id="4" xr3:uid="{6C52C6DF-D30B-490B-AE76-9A46BD269A4B}" name="Mã Kênh" dataDxfId="66"/>
    <tableColumn id="5" xr3:uid="{8CACF372-1843-432A-91FD-C2D566B04294}" name="Tỷ lệ" dataDxfId="65" dataCellStyle="Percent"/>
    <tableColumn id="6" xr3:uid="{7BF68F79-ABD2-4029-8EC0-27A97CFFE79A}" name="Add" dataDxfId="6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2" dataDxfId="61">
  <autoFilter ref="B5:E6" xr:uid="{2C190213-2920-4301-9BD2-35D456F6F833}"/>
  <tableColumns count="4">
    <tableColumn id="1" xr3:uid="{48D2CC13-06FE-4B51-8CAD-C4F4EF85420A}" name="Mã Kênh" dataDxfId="60"/>
    <tableColumn id="2" xr3:uid="{FF2BFB4A-9E52-473D-B444-382777BA80E7}" name="Tên Kênh" dataDxfId="59"/>
    <tableColumn id="5" xr3:uid="{D22ACC48-099B-4D66-B1CD-75FB257CD025}" name="Nhóm Kênh" dataDxfId="58"/>
    <tableColumn id="4" xr3:uid="{1A6D0473-8727-4A96-823F-B0D1727EF43F}" name="Add" dataDxfId="57"/>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5" dataDxfId="54">
  <autoFilter ref="B4:H10" xr:uid="{2A700966-B946-4558-BE22-99AF6B5C1F14}"/>
  <tableColumns count="7">
    <tableColumn id="1" xr3:uid="{6540178E-6A74-4E52-9659-A4417E2EEE4E}" name="Cấp khách hàng" dataDxfId="53"/>
    <tableColumn id="2" xr3:uid="{09519A03-DE47-49D1-A93A-D7D1B0D21CA7}" name="Doanh thu tối thiểu" dataDxfId="52" dataCellStyle="Comma"/>
    <tableColumn id="3" xr3:uid="{3D6F47F4-0B0E-46DC-994D-47D05A146FEB}" name="Doanh thu tối đa" dataDxfId="51" dataCellStyle="Comma"/>
    <tableColumn id="6" xr3:uid="{80CA5847-269C-4A48-832B-FA8EE738B896}" name="Tỷ lệ điểm thưởng" dataDxfId="50" dataCellStyle="Percent"/>
    <tableColumn id="4" xr3:uid="{ACB3DB24-CDD2-4384-8CDA-D6179B576C5B}" name="Điểm thưởng tối đa" dataDxfId="49"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8"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7"/>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K8" totalsRowShown="0" headerRowDxfId="44" dataDxfId="43">
  <autoFilter ref="B5:K8" xr:uid="{2EBADAAF-4973-4630-9BDB-5AF1B00AEAF7}"/>
  <tableColumns count="10">
    <tableColumn id="1" xr3:uid="{D1EE74C4-8BF8-4369-81F8-60D04CDD26D7}" name="Mã KH" dataDxfId="42"/>
    <tableColumn id="3" xr3:uid="{4E5DA2CF-550B-4BCB-8C7D-5456FFB6D93D}" name="Tên KH" dataDxfId="41"/>
    <tableColumn id="7" xr3:uid="{9AE8DD08-A2D5-4075-A123-CC5A43E448DA}" name="Phân khúc" dataDxfId="40"/>
    <tableColumn id="5" xr3:uid="{FD3B42F2-01B0-43C5-B7E1-FAE3A48CDD5B}" name="Mã số thuế" dataDxfId="39"/>
    <tableColumn id="4" xr3:uid="{0FDCF1F2-5A53-41D3-9656-BA5781D47D38}" name="SĐT" dataDxfId="38"/>
    <tableColumn id="2" xr3:uid="{71DC607F-1DB8-4928-BFA3-B3A477A5C8EB}" name="Địa chỉ"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table" Target="../tables/table104.xml"/><Relationship Id="rId3" Type="http://schemas.openxmlformats.org/officeDocument/2006/relationships/vmlDrawing" Target="../drawings/vmlDrawing35.v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 Type="http://schemas.openxmlformats.org/officeDocument/2006/relationships/drawing" Target="../drawings/drawing38.xml"/><Relationship Id="rId16" Type="http://schemas.openxmlformats.org/officeDocument/2006/relationships/ctrlProp" Target="../ctrlProps/ctrlProp480.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5" Type="http://schemas.openxmlformats.org/officeDocument/2006/relationships/ctrlProp" Target="../ctrlProps/ctrlProp469.xml"/><Relationship Id="rId15" Type="http://schemas.openxmlformats.org/officeDocument/2006/relationships/ctrlProp" Target="../ctrlProps/ctrlProp479.xml"/><Relationship Id="rId10" Type="http://schemas.openxmlformats.org/officeDocument/2006/relationships/ctrlProp" Target="../ctrlProps/ctrlProp474.xml"/><Relationship Id="rId19" Type="http://schemas.openxmlformats.org/officeDocument/2006/relationships/table" Target="../tables/table105.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85.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4.xml"/><Relationship Id="rId5" Type="http://schemas.openxmlformats.org/officeDocument/2006/relationships/ctrlProp" Target="../ctrlProps/ctrlProp483.xml"/><Relationship Id="rId4" Type="http://schemas.openxmlformats.org/officeDocument/2006/relationships/ctrlProp" Target="../ctrlProps/ctrlProp482.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1.xml"/><Relationship Id="rId13" Type="http://schemas.openxmlformats.org/officeDocument/2006/relationships/ctrlProp" Target="../ctrlProps/ctrlProp496.xml"/><Relationship Id="rId3" Type="http://schemas.openxmlformats.org/officeDocument/2006/relationships/ctrlProp" Target="../ctrlProps/ctrlProp486.xml"/><Relationship Id="rId7" Type="http://schemas.openxmlformats.org/officeDocument/2006/relationships/ctrlProp" Target="../ctrlProps/ctrlProp490.xml"/><Relationship Id="rId12" Type="http://schemas.openxmlformats.org/officeDocument/2006/relationships/ctrlProp" Target="../ctrlProps/ctrlProp495.xml"/><Relationship Id="rId2" Type="http://schemas.openxmlformats.org/officeDocument/2006/relationships/vmlDrawing" Target="../drawings/vmlDrawing37.vml"/><Relationship Id="rId16" Type="http://schemas.openxmlformats.org/officeDocument/2006/relationships/table" Target="../tables/table106.xml"/><Relationship Id="rId1" Type="http://schemas.openxmlformats.org/officeDocument/2006/relationships/drawing" Target="../drawings/drawing40.xml"/><Relationship Id="rId6" Type="http://schemas.openxmlformats.org/officeDocument/2006/relationships/ctrlProp" Target="../ctrlProps/ctrlProp489.xml"/><Relationship Id="rId11" Type="http://schemas.openxmlformats.org/officeDocument/2006/relationships/ctrlProp" Target="../ctrlProps/ctrlProp494.xml"/><Relationship Id="rId5" Type="http://schemas.openxmlformats.org/officeDocument/2006/relationships/ctrlProp" Target="../ctrlProps/ctrlProp488.xml"/><Relationship Id="rId15" Type="http://schemas.openxmlformats.org/officeDocument/2006/relationships/ctrlProp" Target="../ctrlProps/ctrlProp498.xml"/><Relationship Id="rId10" Type="http://schemas.openxmlformats.org/officeDocument/2006/relationships/ctrlProp" Target="../ctrlProps/ctrlProp493.xml"/><Relationship Id="rId4" Type="http://schemas.openxmlformats.org/officeDocument/2006/relationships/ctrlProp" Target="../ctrlProps/ctrlProp487.xml"/><Relationship Id="rId9" Type="http://schemas.openxmlformats.org/officeDocument/2006/relationships/ctrlProp" Target="../ctrlProps/ctrlProp492.xml"/><Relationship Id="rId14" Type="http://schemas.openxmlformats.org/officeDocument/2006/relationships/ctrlProp" Target="../ctrlProps/ctrlProp497.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4.xml"/><Relationship Id="rId13" Type="http://schemas.openxmlformats.org/officeDocument/2006/relationships/ctrlProp" Target="../ctrlProps/ctrlProp509.xml"/><Relationship Id="rId18" Type="http://schemas.openxmlformats.org/officeDocument/2006/relationships/ctrlProp" Target="../ctrlProps/ctrlProp514.xml"/><Relationship Id="rId26" Type="http://schemas.openxmlformats.org/officeDocument/2006/relationships/ctrlProp" Target="../ctrlProps/ctrlProp522.xml"/><Relationship Id="rId3" Type="http://schemas.openxmlformats.org/officeDocument/2006/relationships/ctrlProp" Target="../ctrlProps/ctrlProp499.xml"/><Relationship Id="rId21" Type="http://schemas.openxmlformats.org/officeDocument/2006/relationships/ctrlProp" Target="../ctrlProps/ctrlProp517.xml"/><Relationship Id="rId7" Type="http://schemas.openxmlformats.org/officeDocument/2006/relationships/ctrlProp" Target="../ctrlProps/ctrlProp503.xml"/><Relationship Id="rId12" Type="http://schemas.openxmlformats.org/officeDocument/2006/relationships/ctrlProp" Target="../ctrlProps/ctrlProp508.xml"/><Relationship Id="rId17" Type="http://schemas.openxmlformats.org/officeDocument/2006/relationships/ctrlProp" Target="../ctrlProps/ctrlProp513.xml"/><Relationship Id="rId25" Type="http://schemas.openxmlformats.org/officeDocument/2006/relationships/ctrlProp" Target="../ctrlProps/ctrlProp521.xml"/><Relationship Id="rId2" Type="http://schemas.openxmlformats.org/officeDocument/2006/relationships/vmlDrawing" Target="../drawings/vmlDrawing38.vml"/><Relationship Id="rId16" Type="http://schemas.openxmlformats.org/officeDocument/2006/relationships/ctrlProp" Target="../ctrlProps/ctrlProp512.xml"/><Relationship Id="rId20" Type="http://schemas.openxmlformats.org/officeDocument/2006/relationships/ctrlProp" Target="../ctrlProps/ctrlProp516.xml"/><Relationship Id="rId29" Type="http://schemas.openxmlformats.org/officeDocument/2006/relationships/table" Target="../tables/table108.xml"/><Relationship Id="rId1" Type="http://schemas.openxmlformats.org/officeDocument/2006/relationships/drawing" Target="../drawings/drawing41.xml"/><Relationship Id="rId6" Type="http://schemas.openxmlformats.org/officeDocument/2006/relationships/ctrlProp" Target="../ctrlProps/ctrlProp502.xml"/><Relationship Id="rId11" Type="http://schemas.openxmlformats.org/officeDocument/2006/relationships/ctrlProp" Target="../ctrlProps/ctrlProp507.xml"/><Relationship Id="rId24" Type="http://schemas.openxmlformats.org/officeDocument/2006/relationships/ctrlProp" Target="../ctrlProps/ctrlProp520.xml"/><Relationship Id="rId5" Type="http://schemas.openxmlformats.org/officeDocument/2006/relationships/ctrlProp" Target="../ctrlProps/ctrlProp501.xml"/><Relationship Id="rId15" Type="http://schemas.openxmlformats.org/officeDocument/2006/relationships/ctrlProp" Target="../ctrlProps/ctrlProp511.xml"/><Relationship Id="rId23" Type="http://schemas.openxmlformats.org/officeDocument/2006/relationships/ctrlProp" Target="../ctrlProps/ctrlProp519.xml"/><Relationship Id="rId28" Type="http://schemas.openxmlformats.org/officeDocument/2006/relationships/table" Target="../tables/table107.xml"/><Relationship Id="rId10" Type="http://schemas.openxmlformats.org/officeDocument/2006/relationships/ctrlProp" Target="../ctrlProps/ctrlProp506.xml"/><Relationship Id="rId19" Type="http://schemas.openxmlformats.org/officeDocument/2006/relationships/ctrlProp" Target="../ctrlProps/ctrlProp515.xml"/><Relationship Id="rId31" Type="http://schemas.openxmlformats.org/officeDocument/2006/relationships/table" Target="../tables/table110.xml"/><Relationship Id="rId4" Type="http://schemas.openxmlformats.org/officeDocument/2006/relationships/ctrlProp" Target="../ctrlProps/ctrlProp500.xml"/><Relationship Id="rId9" Type="http://schemas.openxmlformats.org/officeDocument/2006/relationships/ctrlProp" Target="../ctrlProps/ctrlProp505.xml"/><Relationship Id="rId14" Type="http://schemas.openxmlformats.org/officeDocument/2006/relationships/ctrlProp" Target="../ctrlProps/ctrlProp510.xml"/><Relationship Id="rId22" Type="http://schemas.openxmlformats.org/officeDocument/2006/relationships/ctrlProp" Target="../ctrlProps/ctrlProp518.xml"/><Relationship Id="rId27" Type="http://schemas.openxmlformats.org/officeDocument/2006/relationships/ctrlProp" Target="../ctrlProps/ctrlProp523.xml"/><Relationship Id="rId30" Type="http://schemas.openxmlformats.org/officeDocument/2006/relationships/table" Target="../tables/table109.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28.xml"/><Relationship Id="rId13" Type="http://schemas.openxmlformats.org/officeDocument/2006/relationships/ctrlProp" Target="../ctrlProps/ctrlProp533.xml"/><Relationship Id="rId18" Type="http://schemas.openxmlformats.org/officeDocument/2006/relationships/table" Target="../tables/table111.xml"/><Relationship Id="rId3" Type="http://schemas.openxmlformats.org/officeDocument/2006/relationships/vmlDrawing" Target="../drawings/vmlDrawing39.vml"/><Relationship Id="rId7" Type="http://schemas.openxmlformats.org/officeDocument/2006/relationships/ctrlProp" Target="../ctrlProps/ctrlProp527.xml"/><Relationship Id="rId12" Type="http://schemas.openxmlformats.org/officeDocument/2006/relationships/ctrlProp" Target="../ctrlProps/ctrlProp532.xml"/><Relationship Id="rId17" Type="http://schemas.openxmlformats.org/officeDocument/2006/relationships/ctrlProp" Target="../ctrlProps/ctrlProp537.xml"/><Relationship Id="rId2" Type="http://schemas.openxmlformats.org/officeDocument/2006/relationships/drawing" Target="../drawings/drawing42.xml"/><Relationship Id="rId16" Type="http://schemas.openxmlformats.org/officeDocument/2006/relationships/ctrlProp" Target="../ctrlProps/ctrlProp536.xml"/><Relationship Id="rId1" Type="http://schemas.openxmlformats.org/officeDocument/2006/relationships/pivotTable" Target="../pivotTables/pivotTable25.xml"/><Relationship Id="rId6" Type="http://schemas.openxmlformats.org/officeDocument/2006/relationships/ctrlProp" Target="../ctrlProps/ctrlProp526.xml"/><Relationship Id="rId11" Type="http://schemas.openxmlformats.org/officeDocument/2006/relationships/ctrlProp" Target="../ctrlProps/ctrlProp531.xml"/><Relationship Id="rId5" Type="http://schemas.openxmlformats.org/officeDocument/2006/relationships/ctrlProp" Target="../ctrlProps/ctrlProp525.xml"/><Relationship Id="rId15" Type="http://schemas.openxmlformats.org/officeDocument/2006/relationships/ctrlProp" Target="../ctrlProps/ctrlProp535.xml"/><Relationship Id="rId10" Type="http://schemas.openxmlformats.org/officeDocument/2006/relationships/ctrlProp" Target="../ctrlProps/ctrlProp530.xml"/><Relationship Id="rId4" Type="http://schemas.openxmlformats.org/officeDocument/2006/relationships/ctrlProp" Target="../ctrlProps/ctrlProp524.xml"/><Relationship Id="rId9" Type="http://schemas.openxmlformats.org/officeDocument/2006/relationships/ctrlProp" Target="../ctrlProps/ctrlProp529.xml"/><Relationship Id="rId14" Type="http://schemas.openxmlformats.org/officeDocument/2006/relationships/ctrlProp" Target="../ctrlProps/ctrlProp534.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3.xml"/><Relationship Id="rId13" Type="http://schemas.openxmlformats.org/officeDocument/2006/relationships/ctrlProp" Target="../ctrlProps/ctrlProp548.xml"/><Relationship Id="rId3" Type="http://schemas.openxmlformats.org/officeDocument/2006/relationships/ctrlProp" Target="../ctrlProps/ctrlProp538.xml"/><Relationship Id="rId7" Type="http://schemas.openxmlformats.org/officeDocument/2006/relationships/ctrlProp" Target="../ctrlProps/ctrlProp542.xml"/><Relationship Id="rId12" Type="http://schemas.openxmlformats.org/officeDocument/2006/relationships/ctrlProp" Target="../ctrlProps/ctrlProp547.xml"/><Relationship Id="rId2" Type="http://schemas.openxmlformats.org/officeDocument/2006/relationships/vmlDrawing" Target="../drawings/vmlDrawing40.vml"/><Relationship Id="rId16" Type="http://schemas.openxmlformats.org/officeDocument/2006/relationships/table" Target="../tables/table112.xml"/><Relationship Id="rId1" Type="http://schemas.openxmlformats.org/officeDocument/2006/relationships/drawing" Target="../drawings/drawing43.xml"/><Relationship Id="rId6" Type="http://schemas.openxmlformats.org/officeDocument/2006/relationships/ctrlProp" Target="../ctrlProps/ctrlProp541.xml"/><Relationship Id="rId11" Type="http://schemas.openxmlformats.org/officeDocument/2006/relationships/ctrlProp" Target="../ctrlProps/ctrlProp546.xml"/><Relationship Id="rId5" Type="http://schemas.openxmlformats.org/officeDocument/2006/relationships/ctrlProp" Target="../ctrlProps/ctrlProp540.xml"/><Relationship Id="rId15" Type="http://schemas.openxmlformats.org/officeDocument/2006/relationships/ctrlProp" Target="../ctrlProps/ctrlProp550.xml"/><Relationship Id="rId10" Type="http://schemas.openxmlformats.org/officeDocument/2006/relationships/ctrlProp" Target="../ctrlProps/ctrlProp545.xml"/><Relationship Id="rId4" Type="http://schemas.openxmlformats.org/officeDocument/2006/relationships/ctrlProp" Target="../ctrlProps/ctrlProp539.xml"/><Relationship Id="rId9" Type="http://schemas.openxmlformats.org/officeDocument/2006/relationships/ctrlProp" Target="../ctrlProps/ctrlProp544.xml"/><Relationship Id="rId14" Type="http://schemas.openxmlformats.org/officeDocument/2006/relationships/ctrlProp" Target="../ctrlProps/ctrlProp549.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56.xml"/><Relationship Id="rId13" Type="http://schemas.openxmlformats.org/officeDocument/2006/relationships/ctrlProp" Target="../ctrlProps/ctrlProp561.xml"/><Relationship Id="rId3" Type="http://schemas.openxmlformats.org/officeDocument/2006/relationships/ctrlProp" Target="../ctrlProps/ctrlProp551.xml"/><Relationship Id="rId7" Type="http://schemas.openxmlformats.org/officeDocument/2006/relationships/ctrlProp" Target="../ctrlProps/ctrlProp555.xml"/><Relationship Id="rId12" Type="http://schemas.openxmlformats.org/officeDocument/2006/relationships/ctrlProp" Target="../ctrlProps/ctrlProp560.xml"/><Relationship Id="rId2" Type="http://schemas.openxmlformats.org/officeDocument/2006/relationships/vmlDrawing" Target="../drawings/vmlDrawing41.vml"/><Relationship Id="rId16" Type="http://schemas.openxmlformats.org/officeDocument/2006/relationships/table" Target="../tables/table113.xml"/><Relationship Id="rId1" Type="http://schemas.openxmlformats.org/officeDocument/2006/relationships/drawing" Target="../drawings/drawing44.xml"/><Relationship Id="rId6" Type="http://schemas.openxmlformats.org/officeDocument/2006/relationships/ctrlProp" Target="../ctrlProps/ctrlProp554.xml"/><Relationship Id="rId11" Type="http://schemas.openxmlformats.org/officeDocument/2006/relationships/ctrlProp" Target="../ctrlProps/ctrlProp559.xml"/><Relationship Id="rId5" Type="http://schemas.openxmlformats.org/officeDocument/2006/relationships/ctrlProp" Target="../ctrlProps/ctrlProp553.xml"/><Relationship Id="rId15" Type="http://schemas.openxmlformats.org/officeDocument/2006/relationships/ctrlProp" Target="../ctrlProps/ctrlProp563.xml"/><Relationship Id="rId10" Type="http://schemas.openxmlformats.org/officeDocument/2006/relationships/ctrlProp" Target="../ctrlProps/ctrlProp558.xml"/><Relationship Id="rId4" Type="http://schemas.openxmlformats.org/officeDocument/2006/relationships/ctrlProp" Target="../ctrlProps/ctrlProp552.xml"/><Relationship Id="rId9" Type="http://schemas.openxmlformats.org/officeDocument/2006/relationships/ctrlProp" Target="../ctrlProps/ctrlProp557.xml"/><Relationship Id="rId14" Type="http://schemas.openxmlformats.org/officeDocument/2006/relationships/ctrlProp" Target="../ctrlProps/ctrlProp562.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69.xml"/><Relationship Id="rId13" Type="http://schemas.openxmlformats.org/officeDocument/2006/relationships/ctrlProp" Target="../ctrlProps/ctrlProp574.xml"/><Relationship Id="rId3" Type="http://schemas.openxmlformats.org/officeDocument/2006/relationships/ctrlProp" Target="../ctrlProps/ctrlProp564.xml"/><Relationship Id="rId7" Type="http://schemas.openxmlformats.org/officeDocument/2006/relationships/ctrlProp" Target="../ctrlProps/ctrlProp568.xml"/><Relationship Id="rId12" Type="http://schemas.openxmlformats.org/officeDocument/2006/relationships/ctrlProp" Target="../ctrlProps/ctrlProp573.xml"/><Relationship Id="rId2" Type="http://schemas.openxmlformats.org/officeDocument/2006/relationships/vmlDrawing" Target="../drawings/vmlDrawing42.vml"/><Relationship Id="rId16" Type="http://schemas.openxmlformats.org/officeDocument/2006/relationships/table" Target="../tables/table114.xml"/><Relationship Id="rId1" Type="http://schemas.openxmlformats.org/officeDocument/2006/relationships/drawing" Target="../drawings/drawing45.xml"/><Relationship Id="rId6" Type="http://schemas.openxmlformats.org/officeDocument/2006/relationships/ctrlProp" Target="../ctrlProps/ctrlProp567.xml"/><Relationship Id="rId11" Type="http://schemas.openxmlformats.org/officeDocument/2006/relationships/ctrlProp" Target="../ctrlProps/ctrlProp572.xml"/><Relationship Id="rId5" Type="http://schemas.openxmlformats.org/officeDocument/2006/relationships/ctrlProp" Target="../ctrlProps/ctrlProp566.xml"/><Relationship Id="rId15" Type="http://schemas.openxmlformats.org/officeDocument/2006/relationships/ctrlProp" Target="../ctrlProps/ctrlProp576.xml"/><Relationship Id="rId10" Type="http://schemas.openxmlformats.org/officeDocument/2006/relationships/ctrlProp" Target="../ctrlProps/ctrlProp571.xml"/><Relationship Id="rId4" Type="http://schemas.openxmlformats.org/officeDocument/2006/relationships/ctrlProp" Target="../ctrlProps/ctrlProp565.xml"/><Relationship Id="rId9" Type="http://schemas.openxmlformats.org/officeDocument/2006/relationships/ctrlProp" Target="../ctrlProps/ctrlProp570.xml"/><Relationship Id="rId14" Type="http://schemas.openxmlformats.org/officeDocument/2006/relationships/ctrlProp" Target="../ctrlProps/ctrlProp575.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2.xml"/><Relationship Id="rId13" Type="http://schemas.openxmlformats.org/officeDocument/2006/relationships/ctrlProp" Target="../ctrlProps/ctrlProp587.xml"/><Relationship Id="rId3" Type="http://schemas.openxmlformats.org/officeDocument/2006/relationships/ctrlProp" Target="../ctrlProps/ctrlProp577.xml"/><Relationship Id="rId7" Type="http://schemas.openxmlformats.org/officeDocument/2006/relationships/ctrlProp" Target="../ctrlProps/ctrlProp581.xml"/><Relationship Id="rId12" Type="http://schemas.openxmlformats.org/officeDocument/2006/relationships/ctrlProp" Target="../ctrlProps/ctrlProp586.xml"/><Relationship Id="rId2" Type="http://schemas.openxmlformats.org/officeDocument/2006/relationships/vmlDrawing" Target="../drawings/vmlDrawing43.vml"/><Relationship Id="rId16" Type="http://schemas.openxmlformats.org/officeDocument/2006/relationships/table" Target="../tables/table115.xml"/><Relationship Id="rId1" Type="http://schemas.openxmlformats.org/officeDocument/2006/relationships/drawing" Target="../drawings/drawing46.xml"/><Relationship Id="rId6" Type="http://schemas.openxmlformats.org/officeDocument/2006/relationships/ctrlProp" Target="../ctrlProps/ctrlProp580.xml"/><Relationship Id="rId11" Type="http://schemas.openxmlformats.org/officeDocument/2006/relationships/ctrlProp" Target="../ctrlProps/ctrlProp585.xml"/><Relationship Id="rId5" Type="http://schemas.openxmlformats.org/officeDocument/2006/relationships/ctrlProp" Target="../ctrlProps/ctrlProp579.xml"/><Relationship Id="rId15" Type="http://schemas.openxmlformats.org/officeDocument/2006/relationships/ctrlProp" Target="../ctrlProps/ctrlProp589.xml"/><Relationship Id="rId10" Type="http://schemas.openxmlformats.org/officeDocument/2006/relationships/ctrlProp" Target="../ctrlProps/ctrlProp584.xml"/><Relationship Id="rId4" Type="http://schemas.openxmlformats.org/officeDocument/2006/relationships/ctrlProp" Target="../ctrlProps/ctrlProp578.xml"/><Relationship Id="rId9" Type="http://schemas.openxmlformats.org/officeDocument/2006/relationships/ctrlProp" Target="../ctrlProps/ctrlProp583.xml"/><Relationship Id="rId14" Type="http://schemas.openxmlformats.org/officeDocument/2006/relationships/ctrlProp" Target="../ctrlProps/ctrlProp588.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595.xml"/><Relationship Id="rId13" Type="http://schemas.openxmlformats.org/officeDocument/2006/relationships/ctrlProp" Target="../ctrlProps/ctrlProp600.xml"/><Relationship Id="rId3" Type="http://schemas.openxmlformats.org/officeDocument/2006/relationships/ctrlProp" Target="../ctrlProps/ctrlProp590.xml"/><Relationship Id="rId7" Type="http://schemas.openxmlformats.org/officeDocument/2006/relationships/ctrlProp" Target="../ctrlProps/ctrlProp594.xml"/><Relationship Id="rId12" Type="http://schemas.openxmlformats.org/officeDocument/2006/relationships/ctrlProp" Target="../ctrlProps/ctrlProp599.xml"/><Relationship Id="rId2" Type="http://schemas.openxmlformats.org/officeDocument/2006/relationships/vmlDrawing" Target="../drawings/vmlDrawing44.vml"/><Relationship Id="rId16" Type="http://schemas.openxmlformats.org/officeDocument/2006/relationships/table" Target="../tables/table116.xml"/><Relationship Id="rId1" Type="http://schemas.openxmlformats.org/officeDocument/2006/relationships/drawing" Target="../drawings/drawing47.xml"/><Relationship Id="rId6" Type="http://schemas.openxmlformats.org/officeDocument/2006/relationships/ctrlProp" Target="../ctrlProps/ctrlProp593.xml"/><Relationship Id="rId11" Type="http://schemas.openxmlformats.org/officeDocument/2006/relationships/ctrlProp" Target="../ctrlProps/ctrlProp598.xml"/><Relationship Id="rId5" Type="http://schemas.openxmlformats.org/officeDocument/2006/relationships/ctrlProp" Target="../ctrlProps/ctrlProp592.xml"/><Relationship Id="rId15" Type="http://schemas.openxmlformats.org/officeDocument/2006/relationships/ctrlProp" Target="../ctrlProps/ctrlProp602.xml"/><Relationship Id="rId10" Type="http://schemas.openxmlformats.org/officeDocument/2006/relationships/ctrlProp" Target="../ctrlProps/ctrlProp597.xml"/><Relationship Id="rId4" Type="http://schemas.openxmlformats.org/officeDocument/2006/relationships/ctrlProp" Target="../ctrlProps/ctrlProp591.xml"/><Relationship Id="rId9" Type="http://schemas.openxmlformats.org/officeDocument/2006/relationships/ctrlProp" Target="../ctrlProps/ctrlProp596.xml"/><Relationship Id="rId14" Type="http://schemas.openxmlformats.org/officeDocument/2006/relationships/ctrlProp" Target="../ctrlProps/ctrlProp601.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08.xml"/><Relationship Id="rId13" Type="http://schemas.openxmlformats.org/officeDocument/2006/relationships/ctrlProp" Target="../ctrlProps/ctrlProp613.xml"/><Relationship Id="rId3" Type="http://schemas.openxmlformats.org/officeDocument/2006/relationships/ctrlProp" Target="../ctrlProps/ctrlProp603.xml"/><Relationship Id="rId7" Type="http://schemas.openxmlformats.org/officeDocument/2006/relationships/ctrlProp" Target="../ctrlProps/ctrlProp607.xml"/><Relationship Id="rId12" Type="http://schemas.openxmlformats.org/officeDocument/2006/relationships/ctrlProp" Target="../ctrlProps/ctrlProp612.xml"/><Relationship Id="rId2" Type="http://schemas.openxmlformats.org/officeDocument/2006/relationships/vmlDrawing" Target="../drawings/vmlDrawing45.vml"/><Relationship Id="rId16" Type="http://schemas.openxmlformats.org/officeDocument/2006/relationships/table" Target="../tables/table117.xml"/><Relationship Id="rId1" Type="http://schemas.openxmlformats.org/officeDocument/2006/relationships/drawing" Target="../drawings/drawing48.xml"/><Relationship Id="rId6" Type="http://schemas.openxmlformats.org/officeDocument/2006/relationships/ctrlProp" Target="../ctrlProps/ctrlProp606.xml"/><Relationship Id="rId11" Type="http://schemas.openxmlformats.org/officeDocument/2006/relationships/ctrlProp" Target="../ctrlProps/ctrlProp611.xml"/><Relationship Id="rId5" Type="http://schemas.openxmlformats.org/officeDocument/2006/relationships/ctrlProp" Target="../ctrlProps/ctrlProp605.xml"/><Relationship Id="rId15" Type="http://schemas.openxmlformats.org/officeDocument/2006/relationships/ctrlProp" Target="../ctrlProps/ctrlProp615.xml"/><Relationship Id="rId10" Type="http://schemas.openxmlformats.org/officeDocument/2006/relationships/ctrlProp" Target="../ctrlProps/ctrlProp610.xml"/><Relationship Id="rId4" Type="http://schemas.openxmlformats.org/officeDocument/2006/relationships/ctrlProp" Target="../ctrlProps/ctrlProp604.xml"/><Relationship Id="rId9" Type="http://schemas.openxmlformats.org/officeDocument/2006/relationships/ctrlProp" Target="../ctrlProps/ctrlProp609.xml"/><Relationship Id="rId14" Type="http://schemas.openxmlformats.org/officeDocument/2006/relationships/ctrlProp" Target="../ctrlProps/ctrlProp614.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0.xml"/><Relationship Id="rId13" Type="http://schemas.openxmlformats.org/officeDocument/2006/relationships/ctrlProp" Target="../ctrlProps/ctrlProp625.xml"/><Relationship Id="rId18" Type="http://schemas.openxmlformats.org/officeDocument/2006/relationships/table" Target="../tables/table119.xml"/><Relationship Id="rId3" Type="http://schemas.openxmlformats.org/officeDocument/2006/relationships/vmlDrawing" Target="../drawings/vmlDrawing46.vml"/><Relationship Id="rId7" Type="http://schemas.openxmlformats.org/officeDocument/2006/relationships/ctrlProp" Target="../ctrlProps/ctrlProp619.xml"/><Relationship Id="rId12" Type="http://schemas.openxmlformats.org/officeDocument/2006/relationships/ctrlProp" Target="../ctrlProps/ctrlProp624.xml"/><Relationship Id="rId17" Type="http://schemas.openxmlformats.org/officeDocument/2006/relationships/table" Target="../tables/table118.xml"/><Relationship Id="rId2" Type="http://schemas.openxmlformats.org/officeDocument/2006/relationships/drawing" Target="../drawings/drawing49.xml"/><Relationship Id="rId16" Type="http://schemas.openxmlformats.org/officeDocument/2006/relationships/ctrlProp" Target="../ctrlProps/ctrlProp628.xml"/><Relationship Id="rId1" Type="http://schemas.openxmlformats.org/officeDocument/2006/relationships/printerSettings" Target="../printerSettings/printerSettings25.bin"/><Relationship Id="rId6" Type="http://schemas.openxmlformats.org/officeDocument/2006/relationships/ctrlProp" Target="../ctrlProps/ctrlProp618.xml"/><Relationship Id="rId11" Type="http://schemas.openxmlformats.org/officeDocument/2006/relationships/ctrlProp" Target="../ctrlProps/ctrlProp623.xml"/><Relationship Id="rId5" Type="http://schemas.openxmlformats.org/officeDocument/2006/relationships/ctrlProp" Target="../ctrlProps/ctrlProp617.xml"/><Relationship Id="rId15" Type="http://schemas.openxmlformats.org/officeDocument/2006/relationships/ctrlProp" Target="../ctrlProps/ctrlProp627.xml"/><Relationship Id="rId10" Type="http://schemas.openxmlformats.org/officeDocument/2006/relationships/ctrlProp" Target="../ctrlProps/ctrlProp622.xml"/><Relationship Id="rId4" Type="http://schemas.openxmlformats.org/officeDocument/2006/relationships/ctrlProp" Target="../ctrlProps/ctrlProp616.xml"/><Relationship Id="rId9" Type="http://schemas.openxmlformats.org/officeDocument/2006/relationships/ctrlProp" Target="../ctrlProps/ctrlProp621.xml"/><Relationship Id="rId14" Type="http://schemas.openxmlformats.org/officeDocument/2006/relationships/ctrlProp" Target="../ctrlProps/ctrlProp626.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4.xml"/><Relationship Id="rId13" Type="http://schemas.openxmlformats.org/officeDocument/2006/relationships/ctrlProp" Target="../ctrlProps/ctrlProp639.xml"/><Relationship Id="rId3" Type="http://schemas.openxmlformats.org/officeDocument/2006/relationships/ctrlProp" Target="../ctrlProps/ctrlProp629.xml"/><Relationship Id="rId7" Type="http://schemas.openxmlformats.org/officeDocument/2006/relationships/ctrlProp" Target="../ctrlProps/ctrlProp633.xml"/><Relationship Id="rId12" Type="http://schemas.openxmlformats.org/officeDocument/2006/relationships/ctrlProp" Target="../ctrlProps/ctrlProp638.xml"/><Relationship Id="rId2" Type="http://schemas.openxmlformats.org/officeDocument/2006/relationships/vmlDrawing" Target="../drawings/vmlDrawing47.vml"/><Relationship Id="rId16" Type="http://schemas.openxmlformats.org/officeDocument/2006/relationships/table" Target="../tables/table120.xml"/><Relationship Id="rId1" Type="http://schemas.openxmlformats.org/officeDocument/2006/relationships/drawing" Target="../drawings/drawing50.xml"/><Relationship Id="rId6" Type="http://schemas.openxmlformats.org/officeDocument/2006/relationships/ctrlProp" Target="../ctrlProps/ctrlProp632.xml"/><Relationship Id="rId11" Type="http://schemas.openxmlformats.org/officeDocument/2006/relationships/ctrlProp" Target="../ctrlProps/ctrlProp637.xml"/><Relationship Id="rId5" Type="http://schemas.openxmlformats.org/officeDocument/2006/relationships/ctrlProp" Target="../ctrlProps/ctrlProp631.xml"/><Relationship Id="rId15" Type="http://schemas.openxmlformats.org/officeDocument/2006/relationships/ctrlProp" Target="../ctrlProps/ctrlProp641.xml"/><Relationship Id="rId10" Type="http://schemas.openxmlformats.org/officeDocument/2006/relationships/ctrlProp" Target="../ctrlProps/ctrlProp636.xml"/><Relationship Id="rId4" Type="http://schemas.openxmlformats.org/officeDocument/2006/relationships/ctrlProp" Target="../ctrlProps/ctrlProp630.xml"/><Relationship Id="rId9" Type="http://schemas.openxmlformats.org/officeDocument/2006/relationships/ctrlProp" Target="../ctrlProps/ctrlProp635.xml"/><Relationship Id="rId14" Type="http://schemas.openxmlformats.org/officeDocument/2006/relationships/ctrlProp" Target="../ctrlProps/ctrlProp64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860</v>
      </c>
      <c r="B1" s="187" t="s">
        <v>14</v>
      </c>
      <c r="C1" s="188" t="s">
        <v>15</v>
      </c>
      <c r="D1" s="190" t="s">
        <v>861</v>
      </c>
      <c r="E1" s="190" t="s">
        <v>862</v>
      </c>
      <c r="F1" s="186" t="s">
        <v>863</v>
      </c>
      <c r="G1" s="189" t="s">
        <v>864</v>
      </c>
      <c r="H1" s="186" t="s">
        <v>865</v>
      </c>
      <c r="I1" s="186" t="s">
        <v>866</v>
      </c>
      <c r="J1" s="189" t="s">
        <v>867</v>
      </c>
      <c r="K1" s="189" t="s">
        <v>868</v>
      </c>
      <c r="L1" s="189" t="s">
        <v>869</v>
      </c>
      <c r="M1" s="189" t="s">
        <v>870</v>
      </c>
      <c r="N1" s="255"/>
      <c r="O1" s="255"/>
      <c r="P1" s="255"/>
      <c r="Q1" s="255"/>
      <c r="R1" s="255"/>
      <c r="S1" s="255"/>
      <c r="T1" s="255"/>
      <c r="U1" s="255"/>
      <c r="V1" s="255"/>
      <c r="W1" s="255"/>
      <c r="X1" s="255"/>
      <c r="Y1" s="255"/>
      <c r="Z1" s="98" t="s">
        <v>872</v>
      </c>
    </row>
    <row r="2" spans="1:26" x14ac:dyDescent="0.3">
      <c r="A2" s="255" t="s">
        <v>1009</v>
      </c>
      <c r="B2" s="98" t="s">
        <v>1267</v>
      </c>
      <c r="C2" s="98" t="s">
        <v>1268</v>
      </c>
      <c r="D2" s="191">
        <v>45785</v>
      </c>
      <c r="E2" s="191">
        <v>46150</v>
      </c>
      <c r="F2" s="255">
        <v>365</v>
      </c>
      <c r="G2" s="98" t="s">
        <v>1010</v>
      </c>
      <c r="H2" s="255"/>
      <c r="I2" s="255"/>
      <c r="J2" s="255"/>
      <c r="K2" s="255"/>
      <c r="L2" s="255"/>
      <c r="M2" s="255"/>
      <c r="N2" s="255"/>
      <c r="O2" s="255"/>
      <c r="P2" s="255"/>
      <c r="Q2" s="255"/>
      <c r="R2" s="255"/>
      <c r="S2" s="255"/>
      <c r="T2" s="255"/>
      <c r="U2" s="255"/>
      <c r="V2" s="255"/>
      <c r="W2" s="255"/>
      <c r="X2" s="255"/>
      <c r="Y2" s="255"/>
      <c r="Z2" s="255" t="s">
        <v>1088</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3">
        <v>1</v>
      </c>
      <c r="B1" s="40"/>
      <c r="C1" s="40"/>
      <c r="D1" s="40"/>
      <c r="E1" s="40"/>
    </row>
    <row r="2" spans="1:5" x14ac:dyDescent="0.3">
      <c r="A2" s="443">
        <v>1</v>
      </c>
    </row>
    <row r="3" spans="1:5" x14ac:dyDescent="0.3">
      <c r="A3" s="443"/>
    </row>
    <row r="4" spans="1:5" x14ac:dyDescent="0.3">
      <c r="A4" s="443"/>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tabSelected="1" zoomScaleNormal="100" workbookViewId="0">
      <selection activeCell="G11" sqref="G11"/>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0"/>
      <c r="B5" s="192" t="s">
        <v>1063</v>
      </c>
    </row>
    <row r="6" spans="1:2" ht="17.25" x14ac:dyDescent="0.3">
      <c r="A6" s="250"/>
      <c r="B6" s="192" t="s">
        <v>871</v>
      </c>
    </row>
    <row r="7" spans="1:2" ht="17.25" x14ac:dyDescent="0.3">
      <c r="A7" s="250"/>
      <c r="B7" s="192" t="s">
        <v>1064</v>
      </c>
    </row>
    <row r="8" spans="1:2" ht="17.25" x14ac:dyDescent="0.3">
      <c r="A8" s="250"/>
      <c r="B8" s="192" t="s">
        <v>1065</v>
      </c>
    </row>
    <row r="9" spans="1:2" ht="17.25" x14ac:dyDescent="0.3">
      <c r="A9" s="250"/>
      <c r="B9" s="193" t="s">
        <v>1066</v>
      </c>
    </row>
    <row r="10" spans="1:2" x14ac:dyDescent="0.3">
      <c r="A10" s="250"/>
      <c r="B10" s="250"/>
    </row>
    <row r="11" spans="1:2" ht="37.5" x14ac:dyDescent="0.3">
      <c r="A11" s="183" t="s">
        <v>12</v>
      </c>
      <c r="B11" s="183" t="s">
        <v>13</v>
      </c>
    </row>
    <row r="12" spans="1:2" x14ac:dyDescent="0.3">
      <c r="A12" s="184" t="s">
        <v>14</v>
      </c>
      <c r="B12" s="170" t="s">
        <v>1267</v>
      </c>
    </row>
    <row r="13" spans="1:2" x14ac:dyDescent="0.3">
      <c r="A13" s="184" t="s">
        <v>15</v>
      </c>
      <c r="B13" s="170" t="s">
        <v>1268</v>
      </c>
    </row>
    <row r="14" spans="1:2" ht="17.25" x14ac:dyDescent="0.3">
      <c r="A14" s="250"/>
      <c r="B14" s="181" t="s">
        <v>7</v>
      </c>
    </row>
    <row r="15" spans="1:2" ht="17.25" x14ac:dyDescent="0.3">
      <c r="A15" s="250"/>
      <c r="B15" s="181" t="s">
        <v>8</v>
      </c>
    </row>
    <row r="16" spans="1:2" ht="17.25" x14ac:dyDescent="0.3">
      <c r="A16" s="250"/>
      <c r="B16" s="181" t="s">
        <v>9</v>
      </c>
    </row>
    <row r="17" spans="1:2" ht="17.25" x14ac:dyDescent="0.3">
      <c r="A17" s="250"/>
      <c r="B17" s="181" t="s">
        <v>10</v>
      </c>
    </row>
    <row r="18" spans="1:2" ht="17.25" x14ac:dyDescent="0.3">
      <c r="A18" s="250"/>
      <c r="B18" s="182" t="s">
        <v>11</v>
      </c>
    </row>
    <row r="19" spans="1:2" x14ac:dyDescent="0.3">
      <c r="A19" s="250"/>
      <c r="B19" s="250"/>
    </row>
    <row r="20" spans="1:2" x14ac:dyDescent="0.3">
      <c r="A20" s="250"/>
      <c r="B20" s="250"/>
    </row>
    <row r="21" spans="1:2" x14ac:dyDescent="0.3">
      <c r="A21" s="250"/>
      <c r="B21" s="250"/>
    </row>
    <row r="22" spans="1:2" x14ac:dyDescent="0.3">
      <c r="A22" s="250"/>
      <c r="B22" s="250"/>
    </row>
    <row r="23" spans="1:2" x14ac:dyDescent="0.3">
      <c r="A23" s="250"/>
      <c r="B23" s="250"/>
    </row>
    <row r="24" spans="1:2" x14ac:dyDescent="0.3">
      <c r="A24" s="251"/>
      <c r="B24" s="250"/>
    </row>
    <row r="25" spans="1:2" x14ac:dyDescent="0.3">
      <c r="A25" s="252"/>
      <c r="B25" s="250"/>
    </row>
    <row r="26" spans="1:2" x14ac:dyDescent="0.3">
      <c r="A26" s="251"/>
      <c r="B26" s="250"/>
    </row>
    <row r="27" spans="1:2" x14ac:dyDescent="0.3">
      <c r="A27" s="252"/>
      <c r="B27" s="250"/>
    </row>
    <row r="28" spans="1:2" x14ac:dyDescent="0.3">
      <c r="A28" s="252"/>
      <c r="B28" s="250"/>
    </row>
    <row r="29" spans="1:2" x14ac:dyDescent="0.3">
      <c r="A29" s="252"/>
      <c r="B29" s="250"/>
    </row>
    <row r="30" spans="1:2" x14ac:dyDescent="0.3">
      <c r="A30" s="252"/>
      <c r="B30" s="250"/>
    </row>
    <row r="31" spans="1:2" x14ac:dyDescent="0.3">
      <c r="A31" s="251"/>
      <c r="B31" s="250"/>
    </row>
    <row r="32" spans="1:2" x14ac:dyDescent="0.3">
      <c r="A32" s="252"/>
      <c r="B32" s="250"/>
    </row>
    <row r="33" spans="1:2" x14ac:dyDescent="0.3">
      <c r="A33" s="252"/>
      <c r="B33" s="250"/>
    </row>
    <row r="34" spans="1:2" x14ac:dyDescent="0.3">
      <c r="A34" s="252"/>
      <c r="B34" s="250"/>
    </row>
    <row r="35" spans="1:2" x14ac:dyDescent="0.3">
      <c r="A35" s="252"/>
      <c r="B35" s="250"/>
    </row>
    <row r="36" spans="1:2" x14ac:dyDescent="0.3">
      <c r="A36" s="251"/>
      <c r="B36" s="250"/>
    </row>
    <row r="37" spans="1:2" x14ac:dyDescent="0.3">
      <c r="A37" s="253"/>
      <c r="B37" s="250"/>
    </row>
    <row r="38" spans="1:2" x14ac:dyDescent="0.3">
      <c r="A38" s="254"/>
      <c r="B38" s="250"/>
    </row>
    <row r="39" spans="1:2" x14ac:dyDescent="0.3">
      <c r="A39" s="253"/>
      <c r="B39" s="250"/>
    </row>
    <row r="40" spans="1:2" x14ac:dyDescent="0.3">
      <c r="A40" s="254"/>
      <c r="B40" s="250"/>
    </row>
    <row r="41" spans="1:2" x14ac:dyDescent="0.3">
      <c r="A41" s="253"/>
      <c r="B41" s="250"/>
    </row>
    <row r="42" spans="1:2" x14ac:dyDescent="0.3">
      <c r="A42" s="254"/>
      <c r="B42" s="250"/>
    </row>
    <row r="43" spans="1:2" x14ac:dyDescent="0.3">
      <c r="A43" s="253"/>
      <c r="B43" s="250"/>
    </row>
    <row r="44" spans="1:2" x14ac:dyDescent="0.3">
      <c r="A44" s="254"/>
      <c r="B44" s="250"/>
    </row>
    <row r="45" spans="1:2" x14ac:dyDescent="0.3">
      <c r="A45" s="253"/>
      <c r="B45" s="250"/>
    </row>
    <row r="46" spans="1:2" x14ac:dyDescent="0.3">
      <c r="A46" s="254"/>
      <c r="B46" s="250"/>
    </row>
    <row r="47" spans="1:2" x14ac:dyDescent="0.3">
      <c r="A47" s="252"/>
      <c r="B47" s="250"/>
    </row>
    <row r="48" spans="1:2" x14ac:dyDescent="0.3">
      <c r="A48" s="252"/>
      <c r="B48" s="250"/>
    </row>
    <row r="49" spans="1:2" x14ac:dyDescent="0.3">
      <c r="A49" s="252"/>
      <c r="B49" s="250"/>
    </row>
    <row r="50" spans="1:2" x14ac:dyDescent="0.3">
      <c r="A50" s="251"/>
      <c r="B50" s="250"/>
    </row>
    <row r="51" spans="1:2" x14ac:dyDescent="0.3">
      <c r="A51" s="252"/>
      <c r="B51" s="250"/>
    </row>
    <row r="52" spans="1:2" x14ac:dyDescent="0.3">
      <c r="A52" s="252"/>
      <c r="B52" s="250"/>
    </row>
    <row r="53" spans="1:2" x14ac:dyDescent="0.3">
      <c r="A53" s="252"/>
      <c r="B53" s="250"/>
    </row>
    <row r="54" spans="1:2" x14ac:dyDescent="0.3">
      <c r="A54" s="252"/>
      <c r="B54" s="250"/>
    </row>
    <row r="55" spans="1:2" x14ac:dyDescent="0.3">
      <c r="A55" s="251"/>
      <c r="B55" s="250"/>
    </row>
    <row r="56" spans="1:2" x14ac:dyDescent="0.3">
      <c r="A56" s="253"/>
      <c r="B56" s="250"/>
    </row>
    <row r="57" spans="1:2" x14ac:dyDescent="0.3">
      <c r="A57" s="253"/>
      <c r="B57" s="250"/>
    </row>
    <row r="58" spans="1:2" x14ac:dyDescent="0.3">
      <c r="A58" s="253"/>
      <c r="B58" s="250"/>
    </row>
    <row r="59" spans="1:2" x14ac:dyDescent="0.3">
      <c r="A59" s="253"/>
      <c r="B59" s="250"/>
    </row>
    <row r="60" spans="1:2" x14ac:dyDescent="0.3">
      <c r="A60" s="252"/>
      <c r="B60" s="250"/>
    </row>
    <row r="61" spans="1:2" x14ac:dyDescent="0.3">
      <c r="A61" s="252"/>
      <c r="B61" s="250"/>
    </row>
    <row r="62" spans="1:2" x14ac:dyDescent="0.3">
      <c r="A62" s="252"/>
      <c r="B62" s="250"/>
    </row>
    <row r="63" spans="1:2" x14ac:dyDescent="0.3">
      <c r="A63" s="251"/>
      <c r="B63" s="250"/>
    </row>
    <row r="64" spans="1:2" x14ac:dyDescent="0.3">
      <c r="A64" s="252"/>
      <c r="B64" s="250"/>
    </row>
    <row r="65" spans="1:2" x14ac:dyDescent="0.3">
      <c r="A65" s="252"/>
      <c r="B65" s="250"/>
    </row>
    <row r="66" spans="1:2" x14ac:dyDescent="0.3">
      <c r="A66" s="252"/>
      <c r="B66" s="250"/>
    </row>
    <row r="67" spans="1:2" x14ac:dyDescent="0.3">
      <c r="A67" s="252"/>
      <c r="B67" s="250"/>
    </row>
    <row r="68" spans="1:2" x14ac:dyDescent="0.3">
      <c r="A68" s="251"/>
      <c r="B68" s="250"/>
    </row>
    <row r="69" spans="1:2" x14ac:dyDescent="0.3">
      <c r="A69" s="253"/>
      <c r="B69" s="250"/>
    </row>
    <row r="70" spans="1:2" x14ac:dyDescent="0.3">
      <c r="A70" s="253"/>
      <c r="B70" s="250"/>
    </row>
    <row r="71" spans="1:2" x14ac:dyDescent="0.3">
      <c r="A71" s="253"/>
      <c r="B71" s="250"/>
    </row>
    <row r="72" spans="1:2" x14ac:dyDescent="0.3">
      <c r="A72" s="253"/>
      <c r="B72" s="250"/>
    </row>
    <row r="73" spans="1:2" x14ac:dyDescent="0.3">
      <c r="A73" s="253"/>
      <c r="B73" s="250"/>
    </row>
    <row r="74" spans="1:2" x14ac:dyDescent="0.3">
      <c r="A74" s="253"/>
      <c r="B74" s="250"/>
    </row>
    <row r="75" spans="1:2" x14ac:dyDescent="0.3">
      <c r="A75" s="252"/>
      <c r="B75" s="250"/>
    </row>
    <row r="76" spans="1:2" x14ac:dyDescent="0.3">
      <c r="A76" s="251"/>
      <c r="B76" s="250"/>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02" customFormat="1" ht="37.5" customHeight="1" x14ac:dyDescent="0.7">
      <c r="A1" s="113"/>
      <c r="B1" s="113" t="s">
        <v>1270</v>
      </c>
      <c r="C1" s="500"/>
      <c r="D1" s="501"/>
      <c r="E1" s="501"/>
      <c r="F1" s="501"/>
    </row>
    <row r="2" spans="1:8" ht="18" customHeight="1" x14ac:dyDescent="0.3">
      <c r="A2" s="195"/>
      <c r="C2" s="194"/>
    </row>
    <row r="3" spans="1:8" ht="37.5" customHeight="1" x14ac:dyDescent="0.3">
      <c r="A3" s="320">
        <v>1</v>
      </c>
      <c r="B3" s="113" t="s">
        <v>1089</v>
      </c>
      <c r="C3" s="113" t="s">
        <v>1090</v>
      </c>
      <c r="H3" s="113" t="s">
        <v>1091</v>
      </c>
    </row>
    <row r="4" spans="1:8" ht="18" customHeight="1" x14ac:dyDescent="0.3">
      <c r="A4" s="320" t="s">
        <v>1058</v>
      </c>
      <c r="B4" s="194"/>
      <c r="C4" s="194"/>
    </row>
    <row r="5" spans="1:8" ht="18" customHeight="1" outlineLevel="1" x14ac:dyDescent="0.3">
      <c r="A5" s="320" t="s">
        <v>1059</v>
      </c>
      <c r="B5" s="194"/>
      <c r="C5" s="194"/>
    </row>
    <row r="6" spans="1:8" ht="18" customHeight="1" outlineLevel="1" x14ac:dyDescent="0.3">
      <c r="A6" s="320" t="s">
        <v>1060</v>
      </c>
      <c r="B6" s="194"/>
      <c r="C6" s="194"/>
    </row>
    <row r="7" spans="1:8" ht="18" customHeight="1" outlineLevel="1" x14ac:dyDescent="0.3">
      <c r="A7" s="320" t="s">
        <v>1061</v>
      </c>
      <c r="B7" s="194"/>
      <c r="C7" s="194"/>
    </row>
    <row r="8" spans="1:8" ht="18" customHeight="1" outlineLevel="1" x14ac:dyDescent="0.3">
      <c r="A8" s="320" t="s">
        <v>1062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68">
        <v>44927</v>
      </c>
    </row>
    <row r="4" spans="2:63" x14ac:dyDescent="0.3">
      <c r="BI4" s="14">
        <v>44928</v>
      </c>
    </row>
    <row r="5" spans="2:63" x14ac:dyDescent="0.3">
      <c r="B5" s="91" t="s">
        <v>21</v>
      </c>
      <c r="C5" s="91" t="s">
        <v>22</v>
      </c>
      <c r="E5" s="460" t="s">
        <v>3</v>
      </c>
      <c r="H5" s="38" t="s">
        <v>23</v>
      </c>
      <c r="I5" s="38" t="s">
        <v>24</v>
      </c>
      <c r="J5" s="38" t="s">
        <v>25</v>
      </c>
      <c r="K5" s="38" t="s">
        <v>26</v>
      </c>
      <c r="L5" s="38" t="s">
        <v>27</v>
      </c>
      <c r="M5" s="38" t="s">
        <v>28</v>
      </c>
      <c r="N5" s="38" t="s">
        <v>888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888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888</v>
      </c>
      <c r="BB5" t="s">
        <v>46</v>
      </c>
      <c r="BC5" t="s">
        <v>47</v>
      </c>
      <c r="BD5" t="s">
        <v>48</v>
      </c>
      <c r="BE5" t="s">
        <v>49</v>
      </c>
      <c r="BF5" t="s">
        <v>50</v>
      </c>
      <c r="BI5" s="14">
        <v>44929</v>
      </c>
    </row>
    <row r="6" spans="2:63" x14ac:dyDescent="0.3">
      <c r="B6" s="91">
        <v>-999999999999</v>
      </c>
      <c r="C6" s="91" t="s">
        <v>51</v>
      </c>
      <c r="E6" s="461">
        <v>45292</v>
      </c>
      <c r="H6" s="459">
        <v>45296</v>
      </c>
      <c r="I6" s="38" t="s">
        <v>930</v>
      </c>
      <c r="J6" s="38" t="s">
        <v>996</v>
      </c>
      <c r="K6" s="38" t="s">
        <v>987</v>
      </c>
      <c r="L6" s="38" t="s">
        <v>949</v>
      </c>
      <c r="M6" s="38">
        <v>12</v>
      </c>
      <c r="N6" s="38">
        <v>107600000</v>
      </c>
      <c r="O6" s="38" t="s">
        <v>29</v>
      </c>
      <c r="P6" s="38">
        <v>150</v>
      </c>
      <c r="S6" s="462">
        <v>45235</v>
      </c>
      <c r="T6" s="463" t="s">
        <v>996</v>
      </c>
      <c r="U6" s="463" t="s">
        <v>943</v>
      </c>
      <c r="V6" s="463" t="s">
        <v>987</v>
      </c>
      <c r="W6" s="463" t="s">
        <v>29</v>
      </c>
      <c r="X6" s="463" t="s">
        <v>52</v>
      </c>
      <c r="Y6" s="463" t="s">
        <v>53</v>
      </c>
      <c r="Z6" s="38">
        <v>27170000</v>
      </c>
      <c r="AA6" s="38">
        <v>143</v>
      </c>
      <c r="AC6" s="458">
        <v>45296</v>
      </c>
      <c r="AD6" t="s">
        <v>939</v>
      </c>
      <c r="AE6" t="s">
        <v>996</v>
      </c>
      <c r="AF6">
        <v>107600000</v>
      </c>
      <c r="AG6" t="s">
        <v>54</v>
      </c>
      <c r="AH6" t="s">
        <v>29</v>
      </c>
      <c r="AI6">
        <v>30000000</v>
      </c>
      <c r="AK6" s="98">
        <v>2024</v>
      </c>
      <c r="AL6" s="98" t="s">
        <v>55</v>
      </c>
      <c r="AM6" s="98" t="s">
        <v>55</v>
      </c>
      <c r="AN6" s="98" t="s">
        <v>56</v>
      </c>
      <c r="AO6">
        <v>1000000000</v>
      </c>
      <c r="AP6">
        <v>799600000</v>
      </c>
      <c r="AQ6">
        <v>0.79959999999999998</v>
      </c>
      <c r="AS6" s="457">
        <v>45296</v>
      </c>
      <c r="AT6" s="98" t="s">
        <v>939</v>
      </c>
      <c r="AU6" s="98" t="s">
        <v>54</v>
      </c>
      <c r="AV6" s="98" t="s">
        <v>996</v>
      </c>
      <c r="AW6" s="98" t="s">
        <v>930</v>
      </c>
      <c r="AX6" s="98">
        <v>12</v>
      </c>
      <c r="AY6" s="98" t="s">
        <v>55</v>
      </c>
      <c r="AZ6" s="98">
        <v>0</v>
      </c>
      <c r="BA6" s="98">
        <v>107600000</v>
      </c>
      <c r="BB6" s="98" t="s">
        <v>29</v>
      </c>
      <c r="BC6" s="98" t="s">
        <v>52</v>
      </c>
      <c r="BD6" s="98" t="s">
        <v>55</v>
      </c>
      <c r="BE6" s="98" t="s">
        <v>998</v>
      </c>
      <c r="BF6">
        <v>30000000</v>
      </c>
      <c r="BI6" s="14">
        <v>44930</v>
      </c>
    </row>
    <row r="7" spans="2:63" x14ac:dyDescent="0.3">
      <c r="B7" s="91">
        <v>-999999999</v>
      </c>
      <c r="C7" s="91" t="s">
        <v>57</v>
      </c>
      <c r="E7" s="461">
        <v>45323</v>
      </c>
      <c r="H7" s="459">
        <v>45296</v>
      </c>
      <c r="I7" s="38" t="s">
        <v>930</v>
      </c>
      <c r="J7" s="38"/>
      <c r="K7" s="38"/>
      <c r="L7" s="38"/>
      <c r="M7" s="38"/>
      <c r="N7" s="38"/>
      <c r="O7" s="38" t="s">
        <v>58</v>
      </c>
      <c r="P7" s="38">
        <v>112</v>
      </c>
      <c r="S7" s="462">
        <v>45235</v>
      </c>
      <c r="T7" s="38"/>
      <c r="U7" s="38"/>
      <c r="V7" s="38"/>
      <c r="W7" s="463" t="s">
        <v>58</v>
      </c>
      <c r="X7" s="463" t="s">
        <v>59</v>
      </c>
      <c r="Y7" s="463" t="s">
        <v>53</v>
      </c>
      <c r="Z7" s="38">
        <v>30780000</v>
      </c>
      <c r="AA7" s="38">
        <v>108</v>
      </c>
      <c r="AC7" s="458">
        <v>45296</v>
      </c>
      <c r="AD7" t="s">
        <v>939</v>
      </c>
      <c r="AE7" t="s">
        <v>996</v>
      </c>
      <c r="AF7"/>
      <c r="AG7" t="s">
        <v>54</v>
      </c>
      <c r="AH7" t="s">
        <v>58</v>
      </c>
      <c r="AI7">
        <v>33600000</v>
      </c>
      <c r="AK7" s="98">
        <v>2024</v>
      </c>
      <c r="AL7" s="98" t="s">
        <v>55</v>
      </c>
      <c r="AM7" s="98" t="s">
        <v>55</v>
      </c>
      <c r="AN7" s="98" t="s">
        <v>60</v>
      </c>
      <c r="AO7">
        <v>1000000000</v>
      </c>
      <c r="AP7">
        <v>696200000</v>
      </c>
      <c r="AQ7">
        <v>0.69620000000000004</v>
      </c>
      <c r="AS7" s="457">
        <v>45296</v>
      </c>
      <c r="AT7" s="98" t="s">
        <v>939</v>
      </c>
      <c r="AU7" s="98" t="s">
        <v>54</v>
      </c>
      <c r="AV7" s="98" t="s">
        <v>996</v>
      </c>
      <c r="AW7" s="98" t="s">
        <v>930</v>
      </c>
      <c r="AX7" s="98">
        <v>12</v>
      </c>
      <c r="AY7" s="98" t="s">
        <v>55</v>
      </c>
      <c r="AZ7"/>
      <c r="BA7"/>
      <c r="BB7" s="98" t="s">
        <v>58</v>
      </c>
      <c r="BC7" s="98" t="s">
        <v>59</v>
      </c>
      <c r="BD7" s="98" t="s">
        <v>55</v>
      </c>
      <c r="BE7" s="98" t="s">
        <v>998</v>
      </c>
      <c r="BF7">
        <v>33600000</v>
      </c>
      <c r="BI7" s="14">
        <v>44931</v>
      </c>
    </row>
    <row r="8" spans="2:63" x14ac:dyDescent="0.3">
      <c r="B8" s="91">
        <v>-999999</v>
      </c>
      <c r="C8" s="91" t="s">
        <v>61</v>
      </c>
      <c r="E8" s="461">
        <v>45352</v>
      </c>
      <c r="H8" s="459">
        <v>45296</v>
      </c>
      <c r="I8" s="38" t="s">
        <v>930</v>
      </c>
      <c r="J8" s="38"/>
      <c r="K8" s="38"/>
      <c r="L8" s="38"/>
      <c r="M8" s="38"/>
      <c r="N8" s="38"/>
      <c r="O8" s="38" t="s">
        <v>62</v>
      </c>
      <c r="P8" s="38">
        <v>88</v>
      </c>
      <c r="S8" s="462">
        <v>45235</v>
      </c>
      <c r="T8" s="38"/>
      <c r="U8" s="38"/>
      <c r="V8" s="38"/>
      <c r="W8" s="463" t="s">
        <v>62</v>
      </c>
      <c r="X8" s="463" t="s">
        <v>63</v>
      </c>
      <c r="Y8" s="463" t="s">
        <v>53</v>
      </c>
      <c r="Z8" s="38">
        <v>39425000</v>
      </c>
      <c r="AA8" s="38">
        <v>83</v>
      </c>
      <c r="AC8" s="458">
        <v>45296</v>
      </c>
      <c r="AD8" t="s">
        <v>939</v>
      </c>
      <c r="AE8" t="s">
        <v>996</v>
      </c>
      <c r="AF8"/>
      <c r="AG8" t="s">
        <v>54</v>
      </c>
      <c r="AH8" t="s">
        <v>62</v>
      </c>
      <c r="AI8">
        <v>44000000</v>
      </c>
      <c r="AK8" s="98">
        <v>2024</v>
      </c>
      <c r="AL8" s="98" t="s">
        <v>55</v>
      </c>
      <c r="AM8" s="98" t="s">
        <v>54</v>
      </c>
      <c r="AN8" s="98" t="s">
        <v>55</v>
      </c>
      <c r="AO8">
        <v>3600000000</v>
      </c>
      <c r="AP8">
        <v>3361400000</v>
      </c>
      <c r="AQ8">
        <v>0.93372222222222223</v>
      </c>
      <c r="AS8" s="457">
        <v>45296</v>
      </c>
      <c r="AT8" s="98" t="s">
        <v>939</v>
      </c>
      <c r="AU8" s="98" t="s">
        <v>54</v>
      </c>
      <c r="AV8" s="98" t="s">
        <v>996</v>
      </c>
      <c r="AW8" s="98" t="s">
        <v>930</v>
      </c>
      <c r="AX8" s="98">
        <v>12</v>
      </c>
      <c r="AY8" s="98" t="s">
        <v>55</v>
      </c>
      <c r="AZ8"/>
      <c r="BA8"/>
      <c r="BB8" s="98" t="s">
        <v>62</v>
      </c>
      <c r="BC8" s="98" t="s">
        <v>63</v>
      </c>
      <c r="BD8" s="98" t="s">
        <v>55</v>
      </c>
      <c r="BE8" s="98" t="s">
        <v>998</v>
      </c>
      <c r="BF8">
        <v>44000000</v>
      </c>
      <c r="BI8" s="14">
        <v>44932</v>
      </c>
    </row>
    <row r="9" spans="2:63" x14ac:dyDescent="0.3">
      <c r="B9" s="91">
        <v>-999</v>
      </c>
      <c r="C9" s="91" t="s">
        <v>64</v>
      </c>
      <c r="E9" s="461">
        <v>45383</v>
      </c>
      <c r="H9" s="459">
        <v>45306</v>
      </c>
      <c r="I9" s="38" t="s">
        <v>933</v>
      </c>
      <c r="J9" s="38" t="s">
        <v>996</v>
      </c>
      <c r="K9" s="38" t="s">
        <v>990</v>
      </c>
      <c r="L9" s="38" t="s">
        <v>950</v>
      </c>
      <c r="M9" s="38">
        <v>4</v>
      </c>
      <c r="N9" s="38">
        <v>109500000</v>
      </c>
      <c r="O9" s="38" t="s">
        <v>29</v>
      </c>
      <c r="P9" s="38">
        <v>152</v>
      </c>
      <c r="S9" s="462">
        <v>45245</v>
      </c>
      <c r="T9" s="463" t="s">
        <v>995</v>
      </c>
      <c r="U9" s="463" t="s">
        <v>944</v>
      </c>
      <c r="V9" s="463" t="s">
        <v>989</v>
      </c>
      <c r="W9" s="463" t="s">
        <v>29</v>
      </c>
      <c r="X9" s="463" t="s">
        <v>52</v>
      </c>
      <c r="Y9" s="463" t="s">
        <v>53</v>
      </c>
      <c r="Z9" s="38">
        <v>26980000</v>
      </c>
      <c r="AA9" s="38">
        <v>142</v>
      </c>
      <c r="AC9" s="458">
        <v>45306</v>
      </c>
      <c r="AD9" t="s">
        <v>56</v>
      </c>
      <c r="AE9" t="s">
        <v>996</v>
      </c>
      <c r="AF9">
        <v>109500000</v>
      </c>
      <c r="AG9" t="s">
        <v>54</v>
      </c>
      <c r="AH9" t="s">
        <v>29</v>
      </c>
      <c r="AI9">
        <v>30400000</v>
      </c>
      <c r="AK9" s="98">
        <v>2024</v>
      </c>
      <c r="AL9" s="98" t="s">
        <v>55</v>
      </c>
      <c r="AM9" s="98" t="s">
        <v>65</v>
      </c>
      <c r="AN9" s="98" t="s">
        <v>55</v>
      </c>
      <c r="AO9">
        <v>1800000000</v>
      </c>
      <c r="AP9">
        <v>1501100000</v>
      </c>
      <c r="AQ9">
        <v>0.83394444444444449</v>
      </c>
      <c r="AS9" s="457">
        <v>45306</v>
      </c>
      <c r="AT9" s="98" t="s">
        <v>56</v>
      </c>
      <c r="AU9" s="98" t="s">
        <v>54</v>
      </c>
      <c r="AV9" s="98" t="s">
        <v>996</v>
      </c>
      <c r="AW9" s="98" t="s">
        <v>933</v>
      </c>
      <c r="AX9" s="98">
        <v>4</v>
      </c>
      <c r="AY9" s="98" t="s">
        <v>55</v>
      </c>
      <c r="AZ9" s="98">
        <v>0</v>
      </c>
      <c r="BA9" s="98">
        <v>109500000</v>
      </c>
      <c r="BB9" s="98" t="s">
        <v>29</v>
      </c>
      <c r="BC9" s="98" t="s">
        <v>52</v>
      </c>
      <c r="BD9" s="98" t="s">
        <v>55</v>
      </c>
      <c r="BE9" s="98" t="s">
        <v>998</v>
      </c>
      <c r="BF9">
        <v>30400000</v>
      </c>
      <c r="BI9" s="14">
        <v>44933</v>
      </c>
    </row>
    <row r="10" spans="2:63" x14ac:dyDescent="0.3">
      <c r="B10" s="91">
        <v>1000</v>
      </c>
      <c r="C10" s="91" t="s">
        <v>61</v>
      </c>
      <c r="E10" s="461">
        <v>45413</v>
      </c>
      <c r="H10" s="459">
        <v>45306</v>
      </c>
      <c r="I10" s="38" t="s">
        <v>933</v>
      </c>
      <c r="J10" s="38"/>
      <c r="K10" s="38"/>
      <c r="L10" s="38"/>
      <c r="M10" s="38"/>
      <c r="N10" s="38"/>
      <c r="O10" s="38" t="s">
        <v>58</v>
      </c>
      <c r="P10" s="38">
        <v>112</v>
      </c>
      <c r="S10" s="462">
        <v>45245</v>
      </c>
      <c r="T10" s="38"/>
      <c r="U10" s="38"/>
      <c r="V10" s="38"/>
      <c r="W10" s="463" t="s">
        <v>58</v>
      </c>
      <c r="X10" s="463" t="s">
        <v>59</v>
      </c>
      <c r="Y10" s="463" t="s">
        <v>53</v>
      </c>
      <c r="Z10" s="38">
        <v>31065000</v>
      </c>
      <c r="AA10" s="38">
        <v>109</v>
      </c>
      <c r="AC10" s="458">
        <v>45306</v>
      </c>
      <c r="AD10" t="s">
        <v>56</v>
      </c>
      <c r="AE10" t="s">
        <v>996</v>
      </c>
      <c r="AF10"/>
      <c r="AG10" t="s">
        <v>54</v>
      </c>
      <c r="AH10" t="s">
        <v>58</v>
      </c>
      <c r="AI10">
        <v>33600000</v>
      </c>
      <c r="AK10" s="98">
        <v>2024</v>
      </c>
      <c r="AL10" s="98">
        <v>1</v>
      </c>
      <c r="AM10" s="98" t="s">
        <v>55</v>
      </c>
      <c r="AN10" s="98" t="s">
        <v>56</v>
      </c>
      <c r="AO10">
        <v>150000000</v>
      </c>
      <c r="AP10">
        <v>109500000</v>
      </c>
      <c r="AQ10">
        <v>0.73</v>
      </c>
      <c r="AS10" s="457">
        <v>45306</v>
      </c>
      <c r="AT10" s="98" t="s">
        <v>56</v>
      </c>
      <c r="AU10" s="98" t="s">
        <v>54</v>
      </c>
      <c r="AV10" s="98" t="s">
        <v>996</v>
      </c>
      <c r="AW10" s="98" t="s">
        <v>933</v>
      </c>
      <c r="AX10" s="98">
        <v>4</v>
      </c>
      <c r="AY10" s="98" t="s">
        <v>55</v>
      </c>
      <c r="AZ10"/>
      <c r="BA10"/>
      <c r="BB10" s="98" t="s">
        <v>58</v>
      </c>
      <c r="BC10" s="98" t="s">
        <v>59</v>
      </c>
      <c r="BD10" s="98" t="s">
        <v>55</v>
      </c>
      <c r="BE10" s="98" t="s">
        <v>998</v>
      </c>
      <c r="BF10">
        <v>33600000</v>
      </c>
      <c r="BI10" s="14">
        <v>44934</v>
      </c>
    </row>
    <row r="11" spans="2:63" x14ac:dyDescent="0.3">
      <c r="B11" s="91">
        <v>1000000</v>
      </c>
      <c r="C11" s="91" t="s">
        <v>57</v>
      </c>
      <c r="E11" s="461">
        <v>45444</v>
      </c>
      <c r="H11" s="459">
        <v>45306</v>
      </c>
      <c r="I11" s="38" t="s">
        <v>933</v>
      </c>
      <c r="J11" s="38"/>
      <c r="K11" s="38"/>
      <c r="L11" s="38"/>
      <c r="M11" s="38"/>
      <c r="N11" s="38"/>
      <c r="O11" s="38" t="s">
        <v>62</v>
      </c>
      <c r="P11" s="38">
        <v>91</v>
      </c>
      <c r="S11" s="462">
        <v>45245</v>
      </c>
      <c r="T11" s="38"/>
      <c r="U11" s="38"/>
      <c r="V11" s="38"/>
      <c r="W11" s="463" t="s">
        <v>62</v>
      </c>
      <c r="X11" s="463" t="s">
        <v>63</v>
      </c>
      <c r="Y11" s="463" t="s">
        <v>53</v>
      </c>
      <c r="Z11" s="38">
        <v>40375000</v>
      </c>
      <c r="AA11" s="38">
        <v>85</v>
      </c>
      <c r="AC11" s="458">
        <v>45306</v>
      </c>
      <c r="AD11" t="s">
        <v>56</v>
      </c>
      <c r="AE11" t="s">
        <v>996</v>
      </c>
      <c r="AF11"/>
      <c r="AG11" t="s">
        <v>54</v>
      </c>
      <c r="AH11" t="s">
        <v>62</v>
      </c>
      <c r="AI11">
        <v>45500000</v>
      </c>
      <c r="AK11" s="98">
        <v>2024</v>
      </c>
      <c r="AL11" s="98">
        <v>1</v>
      </c>
      <c r="AM11" s="98" t="s">
        <v>55</v>
      </c>
      <c r="AN11" s="98" t="s">
        <v>60</v>
      </c>
      <c r="AO11">
        <v>150000000</v>
      </c>
      <c r="AP11">
        <v>0</v>
      </c>
      <c r="AQ11">
        <v>0</v>
      </c>
      <c r="AS11" s="457">
        <v>45306</v>
      </c>
      <c r="AT11" s="98" t="s">
        <v>56</v>
      </c>
      <c r="AU11" s="98" t="s">
        <v>54</v>
      </c>
      <c r="AV11" s="98" t="s">
        <v>996</v>
      </c>
      <c r="AW11" s="98" t="s">
        <v>933</v>
      </c>
      <c r="AX11" s="98">
        <v>4</v>
      </c>
      <c r="AY11" s="98" t="s">
        <v>55</v>
      </c>
      <c r="AZ11"/>
      <c r="BA11"/>
      <c r="BB11" s="98" t="s">
        <v>62</v>
      </c>
      <c r="BC11" s="98" t="s">
        <v>63</v>
      </c>
      <c r="BD11" s="98" t="s">
        <v>55</v>
      </c>
      <c r="BE11" s="98" t="s">
        <v>998</v>
      </c>
      <c r="BF11">
        <v>45500000</v>
      </c>
      <c r="BI11" s="14">
        <v>44935</v>
      </c>
    </row>
    <row r="12" spans="2:63" x14ac:dyDescent="0.3">
      <c r="B12" s="91">
        <v>1000000000</v>
      </c>
      <c r="C12" s="91" t="s">
        <v>51</v>
      </c>
      <c r="E12" s="461">
        <v>45474</v>
      </c>
      <c r="H12" s="459">
        <v>45316</v>
      </c>
      <c r="I12" s="38" t="s">
        <v>932</v>
      </c>
      <c r="J12" s="38" t="s">
        <v>995</v>
      </c>
      <c r="K12" s="38" t="s">
        <v>989</v>
      </c>
      <c r="L12" s="38" t="s">
        <v>951</v>
      </c>
      <c r="M12" s="38">
        <v>5</v>
      </c>
      <c r="N12" s="38">
        <v>113600000</v>
      </c>
      <c r="O12" s="38" t="s">
        <v>29</v>
      </c>
      <c r="P12" s="38">
        <v>157</v>
      </c>
      <c r="S12" s="462">
        <v>45255</v>
      </c>
      <c r="T12" s="463" t="s">
        <v>996</v>
      </c>
      <c r="U12" s="463" t="s">
        <v>945</v>
      </c>
      <c r="V12" s="463" t="s">
        <v>987</v>
      </c>
      <c r="W12" s="463" t="s">
        <v>29</v>
      </c>
      <c r="X12" s="463" t="s">
        <v>52</v>
      </c>
      <c r="Y12" s="463" t="s">
        <v>53</v>
      </c>
      <c r="Z12" s="38">
        <v>26790000</v>
      </c>
      <c r="AA12" s="38">
        <v>141</v>
      </c>
      <c r="AC12" s="458">
        <v>45316</v>
      </c>
      <c r="AD12" t="s">
        <v>940</v>
      </c>
      <c r="AE12" t="s">
        <v>995</v>
      </c>
      <c r="AF12">
        <v>113600000</v>
      </c>
      <c r="AG12" t="s">
        <v>65</v>
      </c>
      <c r="AH12" t="s">
        <v>29</v>
      </c>
      <c r="AI12">
        <v>31400000</v>
      </c>
      <c r="AK12" s="98">
        <v>2024</v>
      </c>
      <c r="AL12" s="98">
        <v>1</v>
      </c>
      <c r="AM12" s="98" t="s">
        <v>54</v>
      </c>
      <c r="AN12" s="98" t="s">
        <v>55</v>
      </c>
      <c r="AO12">
        <v>300000000</v>
      </c>
      <c r="AP12">
        <v>217100000</v>
      </c>
      <c r="AQ12">
        <v>0.72366666666666668</v>
      </c>
      <c r="AS12" s="457">
        <v>45316</v>
      </c>
      <c r="AT12" s="98" t="s">
        <v>940</v>
      </c>
      <c r="AU12" s="98" t="s">
        <v>65</v>
      </c>
      <c r="AV12" s="98" t="s">
        <v>995</v>
      </c>
      <c r="AW12" s="98" t="s">
        <v>932</v>
      </c>
      <c r="AX12" s="98">
        <v>5</v>
      </c>
      <c r="AY12" s="98" t="s">
        <v>55</v>
      </c>
      <c r="AZ12" s="98">
        <v>0</v>
      </c>
      <c r="BA12" s="98">
        <v>113600000</v>
      </c>
      <c r="BB12" s="98" t="s">
        <v>29</v>
      </c>
      <c r="BC12" s="98" t="s">
        <v>52</v>
      </c>
      <c r="BD12" s="98" t="s">
        <v>55</v>
      </c>
      <c r="BE12" s="98" t="s">
        <v>998</v>
      </c>
      <c r="BF12">
        <v>31400000</v>
      </c>
      <c r="BI12" s="14">
        <v>44936</v>
      </c>
    </row>
    <row r="13" spans="2:63" x14ac:dyDescent="0.3">
      <c r="E13" s="461">
        <v>45505</v>
      </c>
      <c r="H13" s="459">
        <v>45316</v>
      </c>
      <c r="I13" s="38" t="s">
        <v>932</v>
      </c>
      <c r="J13" s="38"/>
      <c r="K13" s="38"/>
      <c r="L13" s="38"/>
      <c r="M13" s="38"/>
      <c r="N13" s="38"/>
      <c r="O13" s="38" t="s">
        <v>58</v>
      </c>
      <c r="P13" s="38">
        <v>114</v>
      </c>
      <c r="S13" s="462">
        <v>45255</v>
      </c>
      <c r="T13" s="38"/>
      <c r="U13" s="38"/>
      <c r="V13" s="38"/>
      <c r="W13" s="463" t="s">
        <v>58</v>
      </c>
      <c r="X13" s="463" t="s">
        <v>59</v>
      </c>
      <c r="Y13" s="463" t="s">
        <v>53</v>
      </c>
      <c r="Z13" s="38">
        <v>30495000</v>
      </c>
      <c r="AA13" s="38">
        <v>107</v>
      </c>
      <c r="AC13" s="458">
        <v>45316</v>
      </c>
      <c r="AD13" t="s">
        <v>940</v>
      </c>
      <c r="AE13" t="s">
        <v>995</v>
      </c>
      <c r="AF13"/>
      <c r="AG13" t="s">
        <v>65</v>
      </c>
      <c r="AH13" t="s">
        <v>58</v>
      </c>
      <c r="AI13">
        <v>34200000</v>
      </c>
      <c r="AK13" s="98">
        <v>2024</v>
      </c>
      <c r="AL13" s="98">
        <v>1</v>
      </c>
      <c r="AM13" s="98" t="s">
        <v>65</v>
      </c>
      <c r="AN13" s="98" t="s">
        <v>55</v>
      </c>
      <c r="AO13">
        <v>150000000</v>
      </c>
      <c r="AP13">
        <v>113600000</v>
      </c>
      <c r="AQ13">
        <v>0.7573333333333333</v>
      </c>
      <c r="AS13" s="457">
        <v>45316</v>
      </c>
      <c r="AT13" s="98" t="s">
        <v>940</v>
      </c>
      <c r="AU13" s="98" t="s">
        <v>65</v>
      </c>
      <c r="AV13" s="98" t="s">
        <v>995</v>
      </c>
      <c r="AW13" s="98" t="s">
        <v>932</v>
      </c>
      <c r="AX13" s="98">
        <v>5</v>
      </c>
      <c r="AY13" s="98" t="s">
        <v>55</v>
      </c>
      <c r="AZ13"/>
      <c r="BA13"/>
      <c r="BB13" s="98" t="s">
        <v>58</v>
      </c>
      <c r="BC13" s="98" t="s">
        <v>59</v>
      </c>
      <c r="BD13" s="98" t="s">
        <v>55</v>
      </c>
      <c r="BE13" s="98" t="s">
        <v>998</v>
      </c>
      <c r="BF13">
        <v>34200000</v>
      </c>
      <c r="BI13" s="14">
        <v>44937</v>
      </c>
    </row>
    <row r="14" spans="2:63" x14ac:dyDescent="0.3">
      <c r="E14" s="461">
        <v>45536</v>
      </c>
      <c r="H14" s="459">
        <v>45316</v>
      </c>
      <c r="I14" s="38" t="s">
        <v>932</v>
      </c>
      <c r="J14" s="38"/>
      <c r="K14" s="38"/>
      <c r="L14" s="38"/>
      <c r="M14" s="38"/>
      <c r="N14" s="38"/>
      <c r="O14" s="38" t="s">
        <v>62</v>
      </c>
      <c r="P14" s="38">
        <v>96</v>
      </c>
      <c r="S14" s="462">
        <v>45255</v>
      </c>
      <c r="T14" s="38"/>
      <c r="U14" s="38"/>
      <c r="V14" s="38"/>
      <c r="W14" s="463" t="s">
        <v>62</v>
      </c>
      <c r="X14" s="463" t="s">
        <v>63</v>
      </c>
      <c r="Y14" s="463" t="s">
        <v>53</v>
      </c>
      <c r="Z14" s="38">
        <v>41325000</v>
      </c>
      <c r="AA14" s="38">
        <v>87</v>
      </c>
      <c r="AC14" s="458">
        <v>45316</v>
      </c>
      <c r="AD14" t="s">
        <v>940</v>
      </c>
      <c r="AE14" t="s">
        <v>995</v>
      </c>
      <c r="AF14"/>
      <c r="AG14" t="s">
        <v>65</v>
      </c>
      <c r="AH14" t="s">
        <v>62</v>
      </c>
      <c r="AI14">
        <v>48000000</v>
      </c>
      <c r="AK14" s="98">
        <v>2024</v>
      </c>
      <c r="AL14" s="98">
        <v>2</v>
      </c>
      <c r="AM14" s="98" t="s">
        <v>55</v>
      </c>
      <c r="AN14" s="98" t="s">
        <v>56</v>
      </c>
      <c r="AO14">
        <v>150000000</v>
      </c>
      <c r="AP14">
        <v>0</v>
      </c>
      <c r="AQ14">
        <v>0</v>
      </c>
      <c r="AS14" s="457">
        <v>45316</v>
      </c>
      <c r="AT14" s="98" t="s">
        <v>940</v>
      </c>
      <c r="AU14" s="98" t="s">
        <v>65</v>
      </c>
      <c r="AV14" s="98" t="s">
        <v>995</v>
      </c>
      <c r="AW14" s="98" t="s">
        <v>932</v>
      </c>
      <c r="AX14" s="98">
        <v>5</v>
      </c>
      <c r="AY14" s="98" t="s">
        <v>55</v>
      </c>
      <c r="AZ14"/>
      <c r="BA14"/>
      <c r="BB14" s="98" t="s">
        <v>62</v>
      </c>
      <c r="BC14" s="98" t="s">
        <v>63</v>
      </c>
      <c r="BD14" s="98" t="s">
        <v>55</v>
      </c>
      <c r="BE14" s="98" t="s">
        <v>998</v>
      </c>
      <c r="BF14">
        <v>48000000</v>
      </c>
      <c r="BI14" s="14">
        <v>44938</v>
      </c>
    </row>
    <row r="15" spans="2:63" x14ac:dyDescent="0.3">
      <c r="E15"/>
      <c r="H15" s="459">
        <v>45327</v>
      </c>
      <c r="I15" s="38" t="s">
        <v>934</v>
      </c>
      <c r="J15" s="38" t="s">
        <v>995</v>
      </c>
      <c r="K15" s="38" t="s">
        <v>991</v>
      </c>
      <c r="L15" s="38" t="s">
        <v>952</v>
      </c>
      <c r="M15" s="38">
        <v>1</v>
      </c>
      <c r="N15" s="38">
        <v>114200000</v>
      </c>
      <c r="O15" s="38" t="s">
        <v>29</v>
      </c>
      <c r="P15" s="38">
        <v>159</v>
      </c>
      <c r="S15" s="462">
        <v>45265</v>
      </c>
      <c r="T15" s="463" t="s">
        <v>996</v>
      </c>
      <c r="U15" s="463" t="s">
        <v>946</v>
      </c>
      <c r="V15" s="463" t="s">
        <v>990</v>
      </c>
      <c r="W15" s="463" t="s">
        <v>29</v>
      </c>
      <c r="X15" s="463" t="s">
        <v>52</v>
      </c>
      <c r="Y15" s="463" t="s">
        <v>53</v>
      </c>
      <c r="Z15" s="38">
        <v>27930000</v>
      </c>
      <c r="AA15" s="38">
        <v>147</v>
      </c>
      <c r="AC15" s="458">
        <v>45327</v>
      </c>
      <c r="AD15" t="s">
        <v>939</v>
      </c>
      <c r="AE15" t="s">
        <v>995</v>
      </c>
      <c r="AF15">
        <v>114200000</v>
      </c>
      <c r="AG15" t="s">
        <v>54</v>
      </c>
      <c r="AH15" t="s">
        <v>29</v>
      </c>
      <c r="AI15">
        <v>31800000</v>
      </c>
      <c r="AK15" s="98">
        <v>2024</v>
      </c>
      <c r="AL15" s="98">
        <v>2</v>
      </c>
      <c r="AM15" s="98" t="s">
        <v>55</v>
      </c>
      <c r="AN15" s="98" t="s">
        <v>60</v>
      </c>
      <c r="AO15">
        <v>150000000</v>
      </c>
      <c r="AP15">
        <v>0</v>
      </c>
      <c r="AQ15">
        <v>0</v>
      </c>
      <c r="AS15" s="457">
        <v>45327</v>
      </c>
      <c r="AT15" s="98" t="s">
        <v>939</v>
      </c>
      <c r="AU15" s="98" t="s">
        <v>54</v>
      </c>
      <c r="AV15" s="98" t="s">
        <v>995</v>
      </c>
      <c r="AW15" s="98" t="s">
        <v>934</v>
      </c>
      <c r="AX15" s="98">
        <v>1</v>
      </c>
      <c r="AY15" s="98" t="s">
        <v>55</v>
      </c>
      <c r="AZ15" s="98">
        <v>0</v>
      </c>
      <c r="BA15" s="98">
        <v>114200000</v>
      </c>
      <c r="BB15" s="98" t="s">
        <v>29</v>
      </c>
      <c r="BC15" s="98" t="s">
        <v>52</v>
      </c>
      <c r="BD15" s="98" t="s">
        <v>55</v>
      </c>
      <c r="BE15" s="98" t="s">
        <v>998</v>
      </c>
      <c r="BF15">
        <v>31800000</v>
      </c>
      <c r="BI15" s="14">
        <v>44939</v>
      </c>
    </row>
    <row r="16" spans="2:63" x14ac:dyDescent="0.3">
      <c r="E16"/>
      <c r="H16" s="459">
        <v>45327</v>
      </c>
      <c r="I16" s="38" t="s">
        <v>934</v>
      </c>
      <c r="J16" s="38"/>
      <c r="K16" s="38"/>
      <c r="L16" s="38"/>
      <c r="M16" s="38"/>
      <c r="N16" s="38"/>
      <c r="O16" s="38" t="s">
        <v>58</v>
      </c>
      <c r="P16" s="38">
        <v>113</v>
      </c>
      <c r="S16" s="462">
        <v>45265</v>
      </c>
      <c r="T16" s="38"/>
      <c r="U16" s="38"/>
      <c r="V16" s="38"/>
      <c r="W16" s="463" t="s">
        <v>58</v>
      </c>
      <c r="X16" s="463" t="s">
        <v>59</v>
      </c>
      <c r="Y16" s="463" t="s">
        <v>53</v>
      </c>
      <c r="Z16" s="38">
        <v>31065000</v>
      </c>
      <c r="AA16" s="38">
        <v>109</v>
      </c>
      <c r="AC16" s="458">
        <v>45327</v>
      </c>
      <c r="AD16" t="s">
        <v>939</v>
      </c>
      <c r="AE16" t="s">
        <v>995</v>
      </c>
      <c r="AF16"/>
      <c r="AG16" t="s">
        <v>54</v>
      </c>
      <c r="AH16" t="s">
        <v>58</v>
      </c>
      <c r="AI16">
        <v>33900000</v>
      </c>
      <c r="AK16" s="98">
        <v>2024</v>
      </c>
      <c r="AL16" s="98">
        <v>2</v>
      </c>
      <c r="AM16" s="98" t="s">
        <v>54</v>
      </c>
      <c r="AN16" s="98" t="s">
        <v>55</v>
      </c>
      <c r="AO16">
        <v>300000000</v>
      </c>
      <c r="AP16">
        <v>228100000</v>
      </c>
      <c r="AQ16">
        <v>0.76033333333333331</v>
      </c>
      <c r="AS16" s="457">
        <v>45327</v>
      </c>
      <c r="AT16" s="98" t="s">
        <v>939</v>
      </c>
      <c r="AU16" s="98" t="s">
        <v>54</v>
      </c>
      <c r="AV16" s="98" t="s">
        <v>995</v>
      </c>
      <c r="AW16" s="98" t="s">
        <v>934</v>
      </c>
      <c r="AX16" s="98">
        <v>1</v>
      </c>
      <c r="AY16" s="98" t="s">
        <v>55</v>
      </c>
      <c r="AZ16"/>
      <c r="BA16"/>
      <c r="BB16" s="98" t="s">
        <v>58</v>
      </c>
      <c r="BC16" s="98" t="s">
        <v>59</v>
      </c>
      <c r="BD16" s="98" t="s">
        <v>55</v>
      </c>
      <c r="BE16" s="98" t="s">
        <v>998</v>
      </c>
      <c r="BF16">
        <v>33900000</v>
      </c>
      <c r="BI16" s="14">
        <v>44940</v>
      </c>
    </row>
    <row r="17" spans="5:61" x14ac:dyDescent="0.3">
      <c r="E17"/>
      <c r="H17" s="459">
        <v>45327</v>
      </c>
      <c r="I17" s="38" t="s">
        <v>934</v>
      </c>
      <c r="J17" s="38"/>
      <c r="K17" s="38"/>
      <c r="L17" s="38"/>
      <c r="M17" s="38"/>
      <c r="N17" s="38"/>
      <c r="O17" s="38" t="s">
        <v>62</v>
      </c>
      <c r="P17" s="38">
        <v>97</v>
      </c>
      <c r="S17" s="462">
        <v>45265</v>
      </c>
      <c r="T17" s="38"/>
      <c r="U17" s="38"/>
      <c r="V17" s="38"/>
      <c r="W17" s="463" t="s">
        <v>62</v>
      </c>
      <c r="X17" s="463" t="s">
        <v>63</v>
      </c>
      <c r="Y17" s="463" t="s">
        <v>53</v>
      </c>
      <c r="Z17" s="38">
        <v>40850000</v>
      </c>
      <c r="AA17" s="38">
        <v>86</v>
      </c>
      <c r="AC17" s="458">
        <v>45327</v>
      </c>
      <c r="AD17" t="s">
        <v>939</v>
      </c>
      <c r="AE17" t="s">
        <v>995</v>
      </c>
      <c r="AF17"/>
      <c r="AG17" t="s">
        <v>54</v>
      </c>
      <c r="AH17" t="s">
        <v>62</v>
      </c>
      <c r="AI17">
        <v>48500000</v>
      </c>
      <c r="AK17" s="98">
        <v>2024</v>
      </c>
      <c r="AL17" s="98">
        <v>2</v>
      </c>
      <c r="AM17" s="98" t="s">
        <v>65</v>
      </c>
      <c r="AN17" s="98" t="s">
        <v>55</v>
      </c>
      <c r="AO17">
        <v>150000000</v>
      </c>
      <c r="AP17">
        <v>115800000</v>
      </c>
      <c r="AQ17">
        <v>0.77200000000000002</v>
      </c>
      <c r="AS17" s="457">
        <v>45327</v>
      </c>
      <c r="AT17" s="98" t="s">
        <v>939</v>
      </c>
      <c r="AU17" s="98" t="s">
        <v>54</v>
      </c>
      <c r="AV17" s="98" t="s">
        <v>995</v>
      </c>
      <c r="AW17" s="98" t="s">
        <v>934</v>
      </c>
      <c r="AX17" s="98">
        <v>1</v>
      </c>
      <c r="AY17" s="98" t="s">
        <v>55</v>
      </c>
      <c r="AZ17"/>
      <c r="BA17"/>
      <c r="BB17" s="98" t="s">
        <v>62</v>
      </c>
      <c r="BC17" s="98" t="s">
        <v>63</v>
      </c>
      <c r="BD17" s="98" t="s">
        <v>55</v>
      </c>
      <c r="BE17" s="98" t="s">
        <v>998</v>
      </c>
      <c r="BF17">
        <v>48500000</v>
      </c>
      <c r="BI17" s="14">
        <v>44941</v>
      </c>
    </row>
    <row r="18" spans="5:61" x14ac:dyDescent="0.3">
      <c r="E18"/>
      <c r="H18" s="459">
        <v>45337</v>
      </c>
      <c r="I18" s="38" t="s">
        <v>934</v>
      </c>
      <c r="J18" s="38" t="s">
        <v>995</v>
      </c>
      <c r="K18" s="38" t="s">
        <v>991</v>
      </c>
      <c r="L18" s="38" t="s">
        <v>953</v>
      </c>
      <c r="M18" s="38">
        <v>2</v>
      </c>
      <c r="N18" s="38">
        <v>115800000</v>
      </c>
      <c r="O18" s="38" t="s">
        <v>29</v>
      </c>
      <c r="P18" s="38">
        <v>165</v>
      </c>
      <c r="S18" s="462">
        <v>45275</v>
      </c>
      <c r="T18" s="463" t="s">
        <v>996</v>
      </c>
      <c r="U18" s="463" t="s">
        <v>947</v>
      </c>
      <c r="V18" s="463" t="s">
        <v>988</v>
      </c>
      <c r="W18" s="463" t="s">
        <v>29</v>
      </c>
      <c r="X18" s="463" t="s">
        <v>52</v>
      </c>
      <c r="Y18" s="463" t="s">
        <v>53</v>
      </c>
      <c r="Z18" s="38">
        <v>28120000</v>
      </c>
      <c r="AA18" s="38">
        <v>148</v>
      </c>
      <c r="AC18" s="458">
        <v>45337</v>
      </c>
      <c r="AD18" t="s">
        <v>939</v>
      </c>
      <c r="AE18" t="s">
        <v>995</v>
      </c>
      <c r="AF18">
        <v>115800000</v>
      </c>
      <c r="AG18" t="s">
        <v>65</v>
      </c>
      <c r="AH18" t="s">
        <v>29</v>
      </c>
      <c r="AI18">
        <v>33000000</v>
      </c>
      <c r="AK18" s="98">
        <v>2024</v>
      </c>
      <c r="AL18" s="98">
        <v>3</v>
      </c>
      <c r="AM18" s="98" t="s">
        <v>55</v>
      </c>
      <c r="AN18" s="98" t="s">
        <v>56</v>
      </c>
      <c r="AO18">
        <v>150000000</v>
      </c>
      <c r="AP18">
        <v>113500000</v>
      </c>
      <c r="AQ18">
        <v>0.75666666666666671</v>
      </c>
      <c r="AS18" s="457">
        <v>45337</v>
      </c>
      <c r="AT18" s="98" t="s">
        <v>939</v>
      </c>
      <c r="AU18" s="98" t="s">
        <v>65</v>
      </c>
      <c r="AV18" s="98" t="s">
        <v>995</v>
      </c>
      <c r="AW18" s="98" t="s">
        <v>934</v>
      </c>
      <c r="AX18" s="98">
        <v>2</v>
      </c>
      <c r="AY18" s="98" t="s">
        <v>55</v>
      </c>
      <c r="AZ18" s="98">
        <v>0</v>
      </c>
      <c r="BA18" s="98">
        <v>115800000</v>
      </c>
      <c r="BB18" s="98" t="s">
        <v>29</v>
      </c>
      <c r="BC18" s="98" t="s">
        <v>52</v>
      </c>
      <c r="BD18" s="98" t="s">
        <v>55</v>
      </c>
      <c r="BE18" s="98" t="s">
        <v>998</v>
      </c>
      <c r="BF18">
        <v>33000000</v>
      </c>
      <c r="BI18" s="14">
        <v>44942</v>
      </c>
    </row>
    <row r="19" spans="5:61" x14ac:dyDescent="0.3">
      <c r="E19"/>
      <c r="H19" s="459">
        <v>45337</v>
      </c>
      <c r="I19" s="38" t="s">
        <v>934</v>
      </c>
      <c r="J19" s="38"/>
      <c r="K19" s="38"/>
      <c r="L19" s="38"/>
      <c r="M19" s="38"/>
      <c r="N19" s="38"/>
      <c r="O19" s="38" t="s">
        <v>58</v>
      </c>
      <c r="P19" s="38">
        <v>116</v>
      </c>
      <c r="S19" s="462">
        <v>45275</v>
      </c>
      <c r="T19" s="38"/>
      <c r="U19" s="38"/>
      <c r="V19" s="38"/>
      <c r="W19" s="463" t="s">
        <v>58</v>
      </c>
      <c r="X19" s="463" t="s">
        <v>59</v>
      </c>
      <c r="Y19" s="463" t="s">
        <v>53</v>
      </c>
      <c r="Z19" s="38">
        <v>30780000</v>
      </c>
      <c r="AA19" s="38">
        <v>108</v>
      </c>
      <c r="AC19" s="458">
        <v>45337</v>
      </c>
      <c r="AD19" t="s">
        <v>939</v>
      </c>
      <c r="AE19" t="s">
        <v>995</v>
      </c>
      <c r="AF19"/>
      <c r="AG19" t="s">
        <v>65</v>
      </c>
      <c r="AH19" t="s">
        <v>58</v>
      </c>
      <c r="AI19">
        <v>34800000</v>
      </c>
      <c r="AK19" s="98">
        <v>2024</v>
      </c>
      <c r="AL19" s="98">
        <v>3</v>
      </c>
      <c r="AM19" s="98" t="s">
        <v>55</v>
      </c>
      <c r="AN19" s="98" t="s">
        <v>60</v>
      </c>
      <c r="AO19">
        <v>150000000</v>
      </c>
      <c r="AP19">
        <v>0</v>
      </c>
      <c r="AQ19">
        <v>0</v>
      </c>
      <c r="AS19" s="457">
        <v>45337</v>
      </c>
      <c r="AT19" s="98" t="s">
        <v>939</v>
      </c>
      <c r="AU19" s="98" t="s">
        <v>65</v>
      </c>
      <c r="AV19" s="98" t="s">
        <v>995</v>
      </c>
      <c r="AW19" s="98" t="s">
        <v>934</v>
      </c>
      <c r="AX19" s="98">
        <v>2</v>
      </c>
      <c r="AY19" s="98" t="s">
        <v>55</v>
      </c>
      <c r="AZ19"/>
      <c r="BA19"/>
      <c r="BB19" s="98" t="s">
        <v>58</v>
      </c>
      <c r="BC19" s="98" t="s">
        <v>59</v>
      </c>
      <c r="BD19" s="98" t="s">
        <v>55</v>
      </c>
      <c r="BE19" s="98" t="s">
        <v>998</v>
      </c>
      <c r="BF19">
        <v>34800000</v>
      </c>
      <c r="BI19" s="14">
        <v>44943</v>
      </c>
    </row>
    <row r="20" spans="5:61" x14ac:dyDescent="0.3">
      <c r="E20"/>
      <c r="H20" s="459">
        <v>45337</v>
      </c>
      <c r="I20" s="38" t="s">
        <v>934</v>
      </c>
      <c r="J20" s="38"/>
      <c r="K20" s="38"/>
      <c r="L20" s="38"/>
      <c r="M20" s="38"/>
      <c r="N20" s="38"/>
      <c r="O20" s="38" t="s">
        <v>62</v>
      </c>
      <c r="P20" s="38">
        <v>96</v>
      </c>
      <c r="S20" s="462">
        <v>45275</v>
      </c>
      <c r="T20" s="38"/>
      <c r="U20" s="38"/>
      <c r="V20" s="38"/>
      <c r="W20" s="463" t="s">
        <v>62</v>
      </c>
      <c r="X20" s="463" t="s">
        <v>63</v>
      </c>
      <c r="Y20" s="463" t="s">
        <v>53</v>
      </c>
      <c r="Z20" s="38">
        <v>39900000</v>
      </c>
      <c r="AA20" s="38">
        <v>84</v>
      </c>
      <c r="AC20" s="458">
        <v>45337</v>
      </c>
      <c r="AD20" t="s">
        <v>939</v>
      </c>
      <c r="AE20" t="s">
        <v>995</v>
      </c>
      <c r="AF20"/>
      <c r="AG20" t="s">
        <v>65</v>
      </c>
      <c r="AH20" t="s">
        <v>62</v>
      </c>
      <c r="AI20">
        <v>48000000</v>
      </c>
      <c r="AK20" s="98">
        <v>2024</v>
      </c>
      <c r="AL20" s="98">
        <v>3</v>
      </c>
      <c r="AM20" s="98" t="s">
        <v>54</v>
      </c>
      <c r="AN20" s="98" t="s">
        <v>55</v>
      </c>
      <c r="AO20">
        <v>300000000</v>
      </c>
      <c r="AP20">
        <v>226700000</v>
      </c>
      <c r="AQ20">
        <v>0.75566666666666671</v>
      </c>
      <c r="AS20" s="457">
        <v>45337</v>
      </c>
      <c r="AT20" s="98" t="s">
        <v>939</v>
      </c>
      <c r="AU20" s="98" t="s">
        <v>65</v>
      </c>
      <c r="AV20" s="98" t="s">
        <v>995</v>
      </c>
      <c r="AW20" s="98" t="s">
        <v>934</v>
      </c>
      <c r="AX20" s="98">
        <v>2</v>
      </c>
      <c r="AY20" s="98" t="s">
        <v>55</v>
      </c>
      <c r="AZ20"/>
      <c r="BA20"/>
      <c r="BB20" s="98" t="s">
        <v>62</v>
      </c>
      <c r="BC20" s="98" t="s">
        <v>63</v>
      </c>
      <c r="BD20" s="98" t="s">
        <v>55</v>
      </c>
      <c r="BE20" s="98" t="s">
        <v>998</v>
      </c>
      <c r="BF20">
        <v>48000000</v>
      </c>
      <c r="BI20" s="14">
        <v>44944</v>
      </c>
    </row>
    <row r="21" spans="5:61" x14ac:dyDescent="0.3">
      <c r="E21"/>
      <c r="H21" s="459">
        <v>45347</v>
      </c>
      <c r="I21" s="38" t="s">
        <v>935</v>
      </c>
      <c r="J21" s="38" t="s">
        <v>996</v>
      </c>
      <c r="K21" s="38" t="s">
        <v>992</v>
      </c>
      <c r="L21" s="38" t="s">
        <v>954</v>
      </c>
      <c r="M21" s="38">
        <v>1</v>
      </c>
      <c r="N21" s="38">
        <v>113900000</v>
      </c>
      <c r="O21" s="38" t="s">
        <v>29</v>
      </c>
      <c r="P21" s="38">
        <v>162</v>
      </c>
      <c r="S21" s="462">
        <v>45285</v>
      </c>
      <c r="T21" s="463" t="s">
        <v>995</v>
      </c>
      <c r="U21" s="463" t="s">
        <v>948</v>
      </c>
      <c r="V21" s="463" t="s">
        <v>986</v>
      </c>
      <c r="W21" s="463" t="s">
        <v>29</v>
      </c>
      <c r="X21" s="463" t="s">
        <v>52</v>
      </c>
      <c r="Y21" s="463" t="s">
        <v>53</v>
      </c>
      <c r="Z21" s="38">
        <v>28310000</v>
      </c>
      <c r="AA21" s="38">
        <v>149</v>
      </c>
      <c r="AC21" s="458">
        <v>45347</v>
      </c>
      <c r="AD21" t="s">
        <v>942</v>
      </c>
      <c r="AE21" t="s">
        <v>996</v>
      </c>
      <c r="AF21">
        <v>113900000</v>
      </c>
      <c r="AG21" t="s">
        <v>54</v>
      </c>
      <c r="AH21" t="s">
        <v>29</v>
      </c>
      <c r="AI21">
        <v>32400000</v>
      </c>
      <c r="AK21" s="98">
        <v>2024</v>
      </c>
      <c r="AL21" s="98">
        <v>3</v>
      </c>
      <c r="AM21" s="98" t="s">
        <v>65</v>
      </c>
      <c r="AN21" s="98" t="s">
        <v>55</v>
      </c>
      <c r="AO21">
        <v>150000000</v>
      </c>
      <c r="AP21">
        <v>112200000</v>
      </c>
      <c r="AQ21">
        <v>0.748</v>
      </c>
      <c r="AS21" s="457">
        <v>45347</v>
      </c>
      <c r="AT21" s="98" t="s">
        <v>942</v>
      </c>
      <c r="AU21" s="98" t="s">
        <v>54</v>
      </c>
      <c r="AV21" s="98" t="s">
        <v>996</v>
      </c>
      <c r="AW21" s="98" t="s">
        <v>935</v>
      </c>
      <c r="AX21" s="98">
        <v>1</v>
      </c>
      <c r="AY21" s="98" t="s">
        <v>55</v>
      </c>
      <c r="AZ21" s="98">
        <v>0</v>
      </c>
      <c r="BA21" s="98">
        <v>113900000</v>
      </c>
      <c r="BB21" s="98" t="s">
        <v>29</v>
      </c>
      <c r="BC21" s="98" t="s">
        <v>52</v>
      </c>
      <c r="BD21" s="98" t="s">
        <v>55</v>
      </c>
      <c r="BE21" s="98" t="s">
        <v>998</v>
      </c>
      <c r="BF21">
        <v>32400000</v>
      </c>
      <c r="BI21" s="14">
        <v>44945</v>
      </c>
    </row>
    <row r="22" spans="5:61" x14ac:dyDescent="0.3">
      <c r="E22"/>
      <c r="H22" s="459">
        <v>45347</v>
      </c>
      <c r="I22" s="38" t="s">
        <v>935</v>
      </c>
      <c r="J22" s="38"/>
      <c r="K22" s="38"/>
      <c r="L22" s="38"/>
      <c r="M22" s="38"/>
      <c r="N22" s="38"/>
      <c r="O22" s="38" t="s">
        <v>58</v>
      </c>
      <c r="P22" s="38">
        <v>115</v>
      </c>
      <c r="S22" s="462">
        <v>45285</v>
      </c>
      <c r="T22" s="38"/>
      <c r="U22" s="38"/>
      <c r="V22" s="38"/>
      <c r="W22" s="463" t="s">
        <v>58</v>
      </c>
      <c r="X22" s="463" t="s">
        <v>59</v>
      </c>
      <c r="Y22" s="463" t="s">
        <v>53</v>
      </c>
      <c r="Z22" s="38">
        <v>30780000</v>
      </c>
      <c r="AA22" s="38">
        <v>108</v>
      </c>
      <c r="AC22" s="458">
        <v>45347</v>
      </c>
      <c r="AD22" t="s">
        <v>942</v>
      </c>
      <c r="AE22" t="s">
        <v>996</v>
      </c>
      <c r="AF22"/>
      <c r="AG22" t="s">
        <v>54</v>
      </c>
      <c r="AH22" t="s">
        <v>58</v>
      </c>
      <c r="AI22">
        <v>34500000</v>
      </c>
      <c r="AK22" s="98">
        <v>2024</v>
      </c>
      <c r="AL22" s="98">
        <v>4</v>
      </c>
      <c r="AM22" s="98" t="s">
        <v>55</v>
      </c>
      <c r="AN22" s="98" t="s">
        <v>56</v>
      </c>
      <c r="AO22">
        <v>150000000</v>
      </c>
      <c r="AP22">
        <v>0</v>
      </c>
      <c r="AQ22">
        <v>0</v>
      </c>
      <c r="AS22" s="457">
        <v>45347</v>
      </c>
      <c r="AT22" s="98" t="s">
        <v>942</v>
      </c>
      <c r="AU22" s="98" t="s">
        <v>54</v>
      </c>
      <c r="AV22" s="98" t="s">
        <v>996</v>
      </c>
      <c r="AW22" s="98" t="s">
        <v>935</v>
      </c>
      <c r="AX22" s="98">
        <v>1</v>
      </c>
      <c r="AY22" s="98" t="s">
        <v>55</v>
      </c>
      <c r="AZ22"/>
      <c r="BA22"/>
      <c r="BB22" s="98" t="s">
        <v>58</v>
      </c>
      <c r="BC22" s="98" t="s">
        <v>59</v>
      </c>
      <c r="BD22" s="98" t="s">
        <v>55</v>
      </c>
      <c r="BE22" s="98" t="s">
        <v>998</v>
      </c>
      <c r="BF22">
        <v>34500000</v>
      </c>
      <c r="BI22" s="14">
        <v>44946</v>
      </c>
    </row>
    <row r="23" spans="5:61" x14ac:dyDescent="0.3">
      <c r="E23"/>
      <c r="H23" s="459">
        <v>45347</v>
      </c>
      <c r="I23" s="38" t="s">
        <v>935</v>
      </c>
      <c r="J23" s="38"/>
      <c r="K23" s="38"/>
      <c r="L23" s="38"/>
      <c r="M23" s="38"/>
      <c r="N23" s="38"/>
      <c r="O23" s="38" t="s">
        <v>62</v>
      </c>
      <c r="P23" s="38">
        <v>94</v>
      </c>
      <c r="S23" s="462">
        <v>45285</v>
      </c>
      <c r="T23" s="38"/>
      <c r="U23" s="38"/>
      <c r="V23" s="38"/>
      <c r="W23" s="463" t="s">
        <v>62</v>
      </c>
      <c r="X23" s="463" t="s">
        <v>63</v>
      </c>
      <c r="Y23" s="463" t="s">
        <v>53</v>
      </c>
      <c r="Z23" s="38">
        <v>41325000</v>
      </c>
      <c r="AA23" s="38">
        <v>87</v>
      </c>
      <c r="AC23" s="458">
        <v>45347</v>
      </c>
      <c r="AD23" t="s">
        <v>942</v>
      </c>
      <c r="AE23" t="s">
        <v>996</v>
      </c>
      <c r="AF23"/>
      <c r="AG23" t="s">
        <v>54</v>
      </c>
      <c r="AH23" t="s">
        <v>62</v>
      </c>
      <c r="AI23">
        <v>47000000</v>
      </c>
      <c r="AK23" s="98">
        <v>2024</v>
      </c>
      <c r="AL23" s="98">
        <v>4</v>
      </c>
      <c r="AM23" s="98" t="s">
        <v>55</v>
      </c>
      <c r="AN23" s="98" t="s">
        <v>60</v>
      </c>
      <c r="AO23">
        <v>150000000</v>
      </c>
      <c r="AP23">
        <v>121300000</v>
      </c>
      <c r="AQ23">
        <v>0.80866666666666664</v>
      </c>
      <c r="AS23" s="457">
        <v>45347</v>
      </c>
      <c r="AT23" s="98" t="s">
        <v>942</v>
      </c>
      <c r="AU23" s="98" t="s">
        <v>54</v>
      </c>
      <c r="AV23" s="98" t="s">
        <v>996</v>
      </c>
      <c r="AW23" s="98" t="s">
        <v>935</v>
      </c>
      <c r="AX23" s="98">
        <v>1</v>
      </c>
      <c r="AY23" s="98" t="s">
        <v>55</v>
      </c>
      <c r="AZ23"/>
      <c r="BA23"/>
      <c r="BB23" s="98" t="s">
        <v>62</v>
      </c>
      <c r="BC23" s="98" t="s">
        <v>63</v>
      </c>
      <c r="BD23" s="98" t="s">
        <v>55</v>
      </c>
      <c r="BE23" s="98" t="s">
        <v>998</v>
      </c>
      <c r="BF23">
        <v>47000000</v>
      </c>
      <c r="BI23" s="14">
        <v>44947</v>
      </c>
    </row>
    <row r="24" spans="5:61" x14ac:dyDescent="0.3">
      <c r="E24"/>
      <c r="H24" s="459">
        <v>45356</v>
      </c>
      <c r="I24" s="38" t="s">
        <v>930</v>
      </c>
      <c r="J24" s="38" t="s">
        <v>996</v>
      </c>
      <c r="K24" s="38" t="s">
        <v>987</v>
      </c>
      <c r="L24" s="38" t="s">
        <v>955</v>
      </c>
      <c r="M24" s="38">
        <v>13</v>
      </c>
      <c r="N24" s="38">
        <v>113500000</v>
      </c>
      <c r="O24" s="38" t="s">
        <v>29</v>
      </c>
      <c r="P24" s="38">
        <v>164</v>
      </c>
      <c r="S24" s="462">
        <v>45296</v>
      </c>
      <c r="T24" s="463" t="s">
        <v>996</v>
      </c>
      <c r="U24" s="463" t="s">
        <v>949</v>
      </c>
      <c r="V24" s="463" t="s">
        <v>987</v>
      </c>
      <c r="W24" s="463" t="s">
        <v>29</v>
      </c>
      <c r="X24" s="463" t="s">
        <v>52</v>
      </c>
      <c r="Y24" s="463" t="s">
        <v>53</v>
      </c>
      <c r="Z24" s="38">
        <v>30000000</v>
      </c>
      <c r="AA24" s="38">
        <v>150</v>
      </c>
      <c r="AC24" s="458">
        <v>45356</v>
      </c>
      <c r="AD24" t="s">
        <v>56</v>
      </c>
      <c r="AE24" t="s">
        <v>996</v>
      </c>
      <c r="AF24">
        <v>113500000</v>
      </c>
      <c r="AG24" t="s">
        <v>54</v>
      </c>
      <c r="AH24" t="s">
        <v>29</v>
      </c>
      <c r="AI24">
        <v>32800000</v>
      </c>
      <c r="AK24" s="98">
        <v>2024</v>
      </c>
      <c r="AL24" s="98">
        <v>4</v>
      </c>
      <c r="AM24" s="98" t="s">
        <v>54</v>
      </c>
      <c r="AN24" s="98" t="s">
        <v>55</v>
      </c>
      <c r="AO24">
        <v>300000000</v>
      </c>
      <c r="AP24">
        <v>355100000</v>
      </c>
      <c r="AQ24">
        <v>1.1836666666666666</v>
      </c>
      <c r="AS24" s="457">
        <v>45356</v>
      </c>
      <c r="AT24" s="98" t="s">
        <v>56</v>
      </c>
      <c r="AU24" s="98" t="s">
        <v>54</v>
      </c>
      <c r="AV24" s="98" t="s">
        <v>996</v>
      </c>
      <c r="AW24" s="98" t="s">
        <v>930</v>
      </c>
      <c r="AX24" s="98">
        <v>13</v>
      </c>
      <c r="AY24" s="98" t="s">
        <v>55</v>
      </c>
      <c r="AZ24" s="98">
        <v>0</v>
      </c>
      <c r="BA24" s="98">
        <v>113500000</v>
      </c>
      <c r="BB24" s="98" t="s">
        <v>29</v>
      </c>
      <c r="BC24" s="98" t="s">
        <v>52</v>
      </c>
      <c r="BD24" s="98" t="s">
        <v>55</v>
      </c>
      <c r="BE24" s="98" t="s">
        <v>998</v>
      </c>
      <c r="BF24">
        <v>32800000</v>
      </c>
      <c r="BI24" s="14">
        <v>44948</v>
      </c>
    </row>
    <row r="25" spans="5:61" x14ac:dyDescent="0.3">
      <c r="E25"/>
      <c r="H25" s="459">
        <v>45356</v>
      </c>
      <c r="I25" s="38" t="s">
        <v>930</v>
      </c>
      <c r="J25" s="38"/>
      <c r="K25" s="38"/>
      <c r="L25" s="38"/>
      <c r="M25" s="38"/>
      <c r="N25" s="38"/>
      <c r="O25" s="38" t="s">
        <v>58</v>
      </c>
      <c r="P25" s="38">
        <v>114</v>
      </c>
      <c r="S25" s="462">
        <v>45296</v>
      </c>
      <c r="T25" s="38"/>
      <c r="U25" s="38"/>
      <c r="V25" s="38"/>
      <c r="W25" s="463" t="s">
        <v>58</v>
      </c>
      <c r="X25" s="463" t="s">
        <v>59</v>
      </c>
      <c r="Y25" s="463" t="s">
        <v>53</v>
      </c>
      <c r="Z25" s="38">
        <v>33600000</v>
      </c>
      <c r="AA25" s="38">
        <v>112</v>
      </c>
      <c r="AC25" s="458">
        <v>45356</v>
      </c>
      <c r="AD25" t="s">
        <v>56</v>
      </c>
      <c r="AE25" t="s">
        <v>996</v>
      </c>
      <c r="AF25"/>
      <c r="AG25" t="s">
        <v>54</v>
      </c>
      <c r="AH25" t="s">
        <v>58</v>
      </c>
      <c r="AI25">
        <v>34200000</v>
      </c>
      <c r="AK25" s="98">
        <v>2024</v>
      </c>
      <c r="AL25" s="98">
        <v>4</v>
      </c>
      <c r="AM25" s="98" t="s">
        <v>65</v>
      </c>
      <c r="AN25" s="98" t="s">
        <v>55</v>
      </c>
      <c r="AO25">
        <v>150000000</v>
      </c>
      <c r="AP25">
        <v>0</v>
      </c>
      <c r="AQ25">
        <v>0</v>
      </c>
      <c r="AS25" s="457">
        <v>45356</v>
      </c>
      <c r="AT25" s="98" t="s">
        <v>56</v>
      </c>
      <c r="AU25" s="98" t="s">
        <v>54</v>
      </c>
      <c r="AV25" s="98" t="s">
        <v>996</v>
      </c>
      <c r="AW25" s="98" t="s">
        <v>930</v>
      </c>
      <c r="AX25" s="98">
        <v>13</v>
      </c>
      <c r="AY25" s="98" t="s">
        <v>55</v>
      </c>
      <c r="AZ25"/>
      <c r="BA25"/>
      <c r="BB25" s="98" t="s">
        <v>58</v>
      </c>
      <c r="BC25" s="98" t="s">
        <v>59</v>
      </c>
      <c r="BD25" s="98" t="s">
        <v>55</v>
      </c>
      <c r="BE25" s="98" t="s">
        <v>998</v>
      </c>
      <c r="BF25">
        <v>34200000</v>
      </c>
      <c r="BI25" s="14">
        <v>44949</v>
      </c>
    </row>
    <row r="26" spans="5:61" x14ac:dyDescent="0.3">
      <c r="E26"/>
      <c r="H26" s="459">
        <v>45356</v>
      </c>
      <c r="I26" s="38" t="s">
        <v>930</v>
      </c>
      <c r="J26" s="38"/>
      <c r="K26" s="38"/>
      <c r="L26" s="38"/>
      <c r="M26" s="38"/>
      <c r="N26" s="38"/>
      <c r="O26" s="38" t="s">
        <v>62</v>
      </c>
      <c r="P26" s="38">
        <v>93</v>
      </c>
      <c r="S26" s="462">
        <v>45296</v>
      </c>
      <c r="T26" s="38"/>
      <c r="U26" s="38"/>
      <c r="V26" s="38"/>
      <c r="W26" s="463" t="s">
        <v>62</v>
      </c>
      <c r="X26" s="463" t="s">
        <v>63</v>
      </c>
      <c r="Y26" s="463" t="s">
        <v>53</v>
      </c>
      <c r="Z26" s="38">
        <v>44000000</v>
      </c>
      <c r="AA26" s="38">
        <v>88</v>
      </c>
      <c r="AC26" s="458">
        <v>45356</v>
      </c>
      <c r="AD26" t="s">
        <v>56</v>
      </c>
      <c r="AE26" t="s">
        <v>996</v>
      </c>
      <c r="AF26"/>
      <c r="AG26" t="s">
        <v>54</v>
      </c>
      <c r="AH26" t="s">
        <v>62</v>
      </c>
      <c r="AI26">
        <v>46500000</v>
      </c>
      <c r="AK26" s="98">
        <v>2024</v>
      </c>
      <c r="AL26" s="98">
        <v>5</v>
      </c>
      <c r="AM26" s="98" t="s">
        <v>55</v>
      </c>
      <c r="AN26" s="98" t="s">
        <v>56</v>
      </c>
      <c r="AO26">
        <v>150000000</v>
      </c>
      <c r="AP26">
        <v>126900000</v>
      </c>
      <c r="AQ26">
        <v>0.84599999999999997</v>
      </c>
      <c r="AS26" s="457">
        <v>45356</v>
      </c>
      <c r="AT26" s="98" t="s">
        <v>56</v>
      </c>
      <c r="AU26" s="98" t="s">
        <v>54</v>
      </c>
      <c r="AV26" s="98" t="s">
        <v>996</v>
      </c>
      <c r="AW26" s="98" t="s">
        <v>930</v>
      </c>
      <c r="AX26" s="98">
        <v>13</v>
      </c>
      <c r="AY26" s="98" t="s">
        <v>55</v>
      </c>
      <c r="AZ26"/>
      <c r="BA26"/>
      <c r="BB26" s="98" t="s">
        <v>62</v>
      </c>
      <c r="BC26" s="98" t="s">
        <v>63</v>
      </c>
      <c r="BD26" s="98" t="s">
        <v>55</v>
      </c>
      <c r="BE26" s="98" t="s">
        <v>998</v>
      </c>
      <c r="BF26">
        <v>46500000</v>
      </c>
      <c r="BI26" s="14">
        <v>44950</v>
      </c>
    </row>
    <row r="27" spans="5:61" x14ac:dyDescent="0.3">
      <c r="E27"/>
      <c r="H27" s="459">
        <v>45366</v>
      </c>
      <c r="I27" s="38" t="s">
        <v>929</v>
      </c>
      <c r="J27" s="38" t="s">
        <v>995</v>
      </c>
      <c r="K27" s="38" t="s">
        <v>986</v>
      </c>
      <c r="L27" s="38" t="s">
        <v>956</v>
      </c>
      <c r="M27" s="38">
        <v>11</v>
      </c>
      <c r="N27" s="38">
        <v>113200000</v>
      </c>
      <c r="O27" s="38" t="s">
        <v>29</v>
      </c>
      <c r="P27" s="38">
        <v>161</v>
      </c>
      <c r="S27" s="462">
        <v>45306</v>
      </c>
      <c r="T27" s="463" t="s">
        <v>996</v>
      </c>
      <c r="U27" s="463" t="s">
        <v>950</v>
      </c>
      <c r="V27" s="463" t="s">
        <v>990</v>
      </c>
      <c r="W27" s="463" t="s">
        <v>29</v>
      </c>
      <c r="X27" s="463" t="s">
        <v>52</v>
      </c>
      <c r="Y27" s="463" t="s">
        <v>53</v>
      </c>
      <c r="Z27" s="38">
        <v>30400000</v>
      </c>
      <c r="AA27" s="38">
        <v>152</v>
      </c>
      <c r="AC27" s="458">
        <v>45366</v>
      </c>
      <c r="AD27" t="s">
        <v>940</v>
      </c>
      <c r="AE27" t="s">
        <v>995</v>
      </c>
      <c r="AF27">
        <v>113200000</v>
      </c>
      <c r="AG27" t="s">
        <v>54</v>
      </c>
      <c r="AH27" t="s">
        <v>29</v>
      </c>
      <c r="AI27">
        <v>32200000</v>
      </c>
      <c r="AK27" s="98">
        <v>2024</v>
      </c>
      <c r="AL27" s="98">
        <v>5</v>
      </c>
      <c r="AM27" s="98" t="s">
        <v>55</v>
      </c>
      <c r="AN27" s="98" t="s">
        <v>60</v>
      </c>
      <c r="AO27">
        <v>150000000</v>
      </c>
      <c r="AP27">
        <v>122900000</v>
      </c>
      <c r="AQ27">
        <v>0.81933333333333336</v>
      </c>
      <c r="AS27" s="457">
        <v>45366</v>
      </c>
      <c r="AT27" s="98" t="s">
        <v>940</v>
      </c>
      <c r="AU27" s="98" t="s">
        <v>54</v>
      </c>
      <c r="AV27" s="98" t="s">
        <v>995</v>
      </c>
      <c r="AW27" s="98" t="s">
        <v>929</v>
      </c>
      <c r="AX27" s="98">
        <v>11</v>
      </c>
      <c r="AY27" s="98" t="s">
        <v>55</v>
      </c>
      <c r="AZ27" s="98">
        <v>0</v>
      </c>
      <c r="BA27" s="98">
        <v>113200000</v>
      </c>
      <c r="BB27" s="98" t="s">
        <v>29</v>
      </c>
      <c r="BC27" s="98" t="s">
        <v>52</v>
      </c>
      <c r="BD27" s="98" t="s">
        <v>55</v>
      </c>
      <c r="BE27" s="98" t="s">
        <v>998</v>
      </c>
      <c r="BF27">
        <v>32200000</v>
      </c>
      <c r="BI27" s="14">
        <v>44951</v>
      </c>
    </row>
    <row r="28" spans="5:61" x14ac:dyDescent="0.3">
      <c r="E28"/>
      <c r="H28" s="459">
        <v>45366</v>
      </c>
      <c r="I28" s="38" t="s">
        <v>929</v>
      </c>
      <c r="J28" s="38"/>
      <c r="K28" s="38"/>
      <c r="L28" s="38"/>
      <c r="M28" s="38"/>
      <c r="N28" s="38"/>
      <c r="O28" s="38" t="s">
        <v>58</v>
      </c>
      <c r="P28" s="38">
        <v>115</v>
      </c>
      <c r="S28" s="462">
        <v>45306</v>
      </c>
      <c r="T28" s="38"/>
      <c r="U28" s="38"/>
      <c r="V28" s="38"/>
      <c r="W28" s="463" t="s">
        <v>58</v>
      </c>
      <c r="X28" s="463" t="s">
        <v>59</v>
      </c>
      <c r="Y28" s="463" t="s">
        <v>53</v>
      </c>
      <c r="Z28" s="38">
        <v>33600000</v>
      </c>
      <c r="AA28" s="38">
        <v>112</v>
      </c>
      <c r="AC28" s="458">
        <v>45366</v>
      </c>
      <c r="AD28" t="s">
        <v>940</v>
      </c>
      <c r="AE28" t="s">
        <v>995</v>
      </c>
      <c r="AF28"/>
      <c r="AG28" t="s">
        <v>54</v>
      </c>
      <c r="AH28" t="s">
        <v>58</v>
      </c>
      <c r="AI28">
        <v>34500000</v>
      </c>
      <c r="AK28" s="98">
        <v>2024</v>
      </c>
      <c r="AL28" s="98">
        <v>5</v>
      </c>
      <c r="AM28" s="98" t="s">
        <v>54</v>
      </c>
      <c r="AN28" s="98" t="s">
        <v>55</v>
      </c>
      <c r="AO28">
        <v>300000000</v>
      </c>
      <c r="AP28">
        <v>126600000</v>
      </c>
      <c r="AQ28">
        <v>0.42199999999999999</v>
      </c>
      <c r="AS28" s="457">
        <v>45366</v>
      </c>
      <c r="AT28" s="98" t="s">
        <v>940</v>
      </c>
      <c r="AU28" s="98" t="s">
        <v>54</v>
      </c>
      <c r="AV28" s="98" t="s">
        <v>995</v>
      </c>
      <c r="AW28" s="98" t="s">
        <v>929</v>
      </c>
      <c r="AX28" s="98">
        <v>11</v>
      </c>
      <c r="AY28" s="98" t="s">
        <v>55</v>
      </c>
      <c r="AZ28"/>
      <c r="BA28"/>
      <c r="BB28" s="98" t="s">
        <v>58</v>
      </c>
      <c r="BC28" s="98" t="s">
        <v>59</v>
      </c>
      <c r="BD28" s="98" t="s">
        <v>55</v>
      </c>
      <c r="BE28" s="98" t="s">
        <v>998</v>
      </c>
      <c r="BF28">
        <v>34500000</v>
      </c>
      <c r="BI28" s="14">
        <v>44952</v>
      </c>
    </row>
    <row r="29" spans="5:61" x14ac:dyDescent="0.3">
      <c r="E29"/>
      <c r="H29" s="459">
        <v>45366</v>
      </c>
      <c r="I29" s="38" t="s">
        <v>929</v>
      </c>
      <c r="J29" s="38"/>
      <c r="K29" s="38"/>
      <c r="L29" s="38"/>
      <c r="M29" s="38"/>
      <c r="N29" s="38"/>
      <c r="O29" s="38" t="s">
        <v>62</v>
      </c>
      <c r="P29" s="38">
        <v>93</v>
      </c>
      <c r="S29" s="462">
        <v>45306</v>
      </c>
      <c r="T29" s="38"/>
      <c r="U29" s="38"/>
      <c r="V29" s="38"/>
      <c r="W29" s="463" t="s">
        <v>62</v>
      </c>
      <c r="X29" s="463" t="s">
        <v>63</v>
      </c>
      <c r="Y29" s="463" t="s">
        <v>53</v>
      </c>
      <c r="Z29" s="38">
        <v>45500000</v>
      </c>
      <c r="AA29" s="38">
        <v>91</v>
      </c>
      <c r="AC29" s="458">
        <v>45366</v>
      </c>
      <c r="AD29" t="s">
        <v>940</v>
      </c>
      <c r="AE29" t="s">
        <v>995</v>
      </c>
      <c r="AF29"/>
      <c r="AG29" t="s">
        <v>54</v>
      </c>
      <c r="AH29" t="s">
        <v>62</v>
      </c>
      <c r="AI29">
        <v>46500000</v>
      </c>
      <c r="AK29" s="98">
        <v>2024</v>
      </c>
      <c r="AL29" s="98">
        <v>5</v>
      </c>
      <c r="AM29" s="98" t="s">
        <v>65</v>
      </c>
      <c r="AN29" s="98" t="s">
        <v>55</v>
      </c>
      <c r="AO29">
        <v>150000000</v>
      </c>
      <c r="AP29">
        <v>249800000</v>
      </c>
      <c r="AQ29">
        <v>1.6653333333333333</v>
      </c>
      <c r="AS29" s="457">
        <v>45366</v>
      </c>
      <c r="AT29" s="98" t="s">
        <v>940</v>
      </c>
      <c r="AU29" s="98" t="s">
        <v>54</v>
      </c>
      <c r="AV29" s="98" t="s">
        <v>995</v>
      </c>
      <c r="AW29" s="98" t="s">
        <v>929</v>
      </c>
      <c r="AX29" s="98">
        <v>11</v>
      </c>
      <c r="AY29" s="98" t="s">
        <v>55</v>
      </c>
      <c r="AZ29"/>
      <c r="BA29"/>
      <c r="BB29" s="98" t="s">
        <v>62</v>
      </c>
      <c r="BC29" s="98" t="s">
        <v>63</v>
      </c>
      <c r="BD29" s="98" t="s">
        <v>55</v>
      </c>
      <c r="BE29" s="98" t="s">
        <v>998</v>
      </c>
      <c r="BF29">
        <v>46500000</v>
      </c>
      <c r="BI29" s="14">
        <v>44953</v>
      </c>
    </row>
    <row r="30" spans="5:61" x14ac:dyDescent="0.3">
      <c r="H30" s="459">
        <v>45376</v>
      </c>
      <c r="I30" s="38" t="s">
        <v>933</v>
      </c>
      <c r="J30" s="38" t="s">
        <v>996</v>
      </c>
      <c r="K30" s="38" t="s">
        <v>990</v>
      </c>
      <c r="L30" s="38" t="s">
        <v>957</v>
      </c>
      <c r="M30" s="38">
        <v>5</v>
      </c>
      <c r="N30" s="38">
        <v>112200000</v>
      </c>
      <c r="O30" s="38" t="s">
        <v>29</v>
      </c>
      <c r="P30" s="38">
        <v>164</v>
      </c>
      <c r="S30" s="462">
        <v>45316</v>
      </c>
      <c r="T30" s="463" t="s">
        <v>995</v>
      </c>
      <c r="U30" s="463" t="s">
        <v>951</v>
      </c>
      <c r="V30" s="463" t="s">
        <v>989</v>
      </c>
      <c r="W30" s="463" t="s">
        <v>29</v>
      </c>
      <c r="X30" s="463" t="s">
        <v>52</v>
      </c>
      <c r="Y30" s="463" t="s">
        <v>53</v>
      </c>
      <c r="Z30" s="38">
        <v>31400000</v>
      </c>
      <c r="AA30" s="38">
        <v>157</v>
      </c>
      <c r="AC30" s="458">
        <v>45376</v>
      </c>
      <c r="AD30" t="s">
        <v>939</v>
      </c>
      <c r="AE30" t="s">
        <v>996</v>
      </c>
      <c r="AF30">
        <v>112200000</v>
      </c>
      <c r="AG30" t="s">
        <v>65</v>
      </c>
      <c r="AH30" t="s">
        <v>29</v>
      </c>
      <c r="AI30">
        <v>32800000</v>
      </c>
      <c r="AK30" s="98">
        <v>2024</v>
      </c>
      <c r="AL30" s="98">
        <v>6</v>
      </c>
      <c r="AM30" s="98" t="s">
        <v>55</v>
      </c>
      <c r="AN30" s="98" t="s">
        <v>56</v>
      </c>
      <c r="AO30">
        <v>150000000</v>
      </c>
      <c r="AP30">
        <v>0</v>
      </c>
      <c r="AQ30">
        <v>0</v>
      </c>
      <c r="AS30" s="457">
        <v>45376</v>
      </c>
      <c r="AT30" s="98" t="s">
        <v>939</v>
      </c>
      <c r="AU30" s="98" t="s">
        <v>65</v>
      </c>
      <c r="AV30" s="98" t="s">
        <v>996</v>
      </c>
      <c r="AW30" s="98" t="s">
        <v>933</v>
      </c>
      <c r="AX30" s="98">
        <v>5</v>
      </c>
      <c r="AY30" s="98" t="s">
        <v>55</v>
      </c>
      <c r="AZ30" s="98">
        <v>0</v>
      </c>
      <c r="BA30" s="98">
        <v>112200000</v>
      </c>
      <c r="BB30" s="98" t="s">
        <v>29</v>
      </c>
      <c r="BC30" s="98" t="s">
        <v>52</v>
      </c>
      <c r="BD30" s="98" t="s">
        <v>55</v>
      </c>
      <c r="BE30" s="98" t="s">
        <v>998</v>
      </c>
      <c r="BF30">
        <v>32800000</v>
      </c>
      <c r="BI30" s="14">
        <v>44954</v>
      </c>
    </row>
    <row r="31" spans="5:61" x14ac:dyDescent="0.3">
      <c r="H31" s="459">
        <v>45376</v>
      </c>
      <c r="I31" s="38" t="s">
        <v>933</v>
      </c>
      <c r="J31" s="38"/>
      <c r="K31" s="38"/>
      <c r="L31" s="38"/>
      <c r="M31" s="38"/>
      <c r="N31" s="38"/>
      <c r="O31" s="38" t="s">
        <v>58</v>
      </c>
      <c r="P31" s="38">
        <v>113</v>
      </c>
      <c r="S31" s="462">
        <v>45316</v>
      </c>
      <c r="T31" s="38"/>
      <c r="U31" s="38"/>
      <c r="V31" s="38"/>
      <c r="W31" s="463" t="s">
        <v>58</v>
      </c>
      <c r="X31" s="463" t="s">
        <v>59</v>
      </c>
      <c r="Y31" s="463" t="s">
        <v>53</v>
      </c>
      <c r="Z31" s="38">
        <v>34200000</v>
      </c>
      <c r="AA31" s="38">
        <v>114</v>
      </c>
      <c r="AC31" s="458">
        <v>45376</v>
      </c>
      <c r="AD31" t="s">
        <v>939</v>
      </c>
      <c r="AE31" t="s">
        <v>996</v>
      </c>
      <c r="AF31"/>
      <c r="AG31" t="s">
        <v>65</v>
      </c>
      <c r="AH31" t="s">
        <v>58</v>
      </c>
      <c r="AI31">
        <v>33900000</v>
      </c>
      <c r="AK31" s="98">
        <v>2024</v>
      </c>
      <c r="AL31" s="98">
        <v>6</v>
      </c>
      <c r="AM31" s="98" t="s">
        <v>55</v>
      </c>
      <c r="AN31" s="98" t="s">
        <v>60</v>
      </c>
      <c r="AO31">
        <v>150000000</v>
      </c>
      <c r="AP31">
        <v>0</v>
      </c>
      <c r="AQ31">
        <v>0</v>
      </c>
      <c r="AS31" s="457">
        <v>45376</v>
      </c>
      <c r="AT31" s="98" t="s">
        <v>939</v>
      </c>
      <c r="AU31" s="98" t="s">
        <v>65</v>
      </c>
      <c r="AV31" s="98" t="s">
        <v>996</v>
      </c>
      <c r="AW31" s="98" t="s">
        <v>933</v>
      </c>
      <c r="AX31" s="98">
        <v>5</v>
      </c>
      <c r="AY31" s="98" t="s">
        <v>55</v>
      </c>
      <c r="AZ31"/>
      <c r="BA31"/>
      <c r="BB31" s="98" t="s">
        <v>58</v>
      </c>
      <c r="BC31" s="98" t="s">
        <v>59</v>
      </c>
      <c r="BD31" s="98" t="s">
        <v>55</v>
      </c>
      <c r="BE31" s="98" t="s">
        <v>998</v>
      </c>
      <c r="BF31">
        <v>33900000</v>
      </c>
      <c r="BI31" s="14">
        <v>44955</v>
      </c>
    </row>
    <row r="32" spans="5:61" x14ac:dyDescent="0.3">
      <c r="H32" s="459">
        <v>45376</v>
      </c>
      <c r="I32" s="38" t="s">
        <v>933</v>
      </c>
      <c r="J32" s="38"/>
      <c r="K32" s="38"/>
      <c r="L32" s="38"/>
      <c r="M32" s="38"/>
      <c r="N32" s="38"/>
      <c r="O32" s="38" t="s">
        <v>62</v>
      </c>
      <c r="P32" s="38">
        <v>91</v>
      </c>
      <c r="S32" s="462">
        <v>45316</v>
      </c>
      <c r="T32" s="38"/>
      <c r="U32" s="38"/>
      <c r="V32" s="38"/>
      <c r="W32" s="463" t="s">
        <v>62</v>
      </c>
      <c r="X32" s="463" t="s">
        <v>63</v>
      </c>
      <c r="Y32" s="463" t="s">
        <v>53</v>
      </c>
      <c r="Z32" s="38">
        <v>48000000</v>
      </c>
      <c r="AA32" s="38">
        <v>96</v>
      </c>
      <c r="AC32" s="458">
        <v>45376</v>
      </c>
      <c r="AD32" t="s">
        <v>939</v>
      </c>
      <c r="AE32" t="s">
        <v>996</v>
      </c>
      <c r="AF32"/>
      <c r="AG32" t="s">
        <v>65</v>
      </c>
      <c r="AH32" t="s">
        <v>62</v>
      </c>
      <c r="AI32">
        <v>45500000</v>
      </c>
      <c r="AK32" s="98">
        <v>2024</v>
      </c>
      <c r="AL32" s="98">
        <v>6</v>
      </c>
      <c r="AM32" s="98" t="s">
        <v>54</v>
      </c>
      <c r="AN32" s="98" t="s">
        <v>55</v>
      </c>
      <c r="AO32">
        <v>300000000</v>
      </c>
      <c r="AP32">
        <v>384600000</v>
      </c>
      <c r="AQ32">
        <v>1.282</v>
      </c>
      <c r="AS32" s="457">
        <v>45376</v>
      </c>
      <c r="AT32" s="98" t="s">
        <v>939</v>
      </c>
      <c r="AU32" s="98" t="s">
        <v>65</v>
      </c>
      <c r="AV32" s="98" t="s">
        <v>996</v>
      </c>
      <c r="AW32" s="98" t="s">
        <v>933</v>
      </c>
      <c r="AX32" s="98">
        <v>5</v>
      </c>
      <c r="AY32" s="98" t="s">
        <v>55</v>
      </c>
      <c r="AZ32"/>
      <c r="BA32"/>
      <c r="BB32" s="98" t="s">
        <v>62</v>
      </c>
      <c r="BC32" s="98" t="s">
        <v>63</v>
      </c>
      <c r="BD32" s="98" t="s">
        <v>55</v>
      </c>
      <c r="BE32" s="98" t="s">
        <v>998</v>
      </c>
      <c r="BF32">
        <v>45500000</v>
      </c>
      <c r="BI32" s="14">
        <v>44956</v>
      </c>
    </row>
    <row r="33" spans="8:61" x14ac:dyDescent="0.3">
      <c r="H33" s="459">
        <v>45387</v>
      </c>
      <c r="I33" s="38" t="s">
        <v>931</v>
      </c>
      <c r="J33" s="38" t="s">
        <v>996</v>
      </c>
      <c r="K33" s="38" t="s">
        <v>988</v>
      </c>
      <c r="L33" s="38" t="s">
        <v>958</v>
      </c>
      <c r="M33" s="38">
        <v>9</v>
      </c>
      <c r="N33" s="38">
        <v>115200000</v>
      </c>
      <c r="O33" s="38" t="s">
        <v>29</v>
      </c>
      <c r="P33" s="38">
        <v>172</v>
      </c>
      <c r="S33" s="462">
        <v>45327</v>
      </c>
      <c r="T33" s="463" t="s">
        <v>995</v>
      </c>
      <c r="U33" s="463" t="s">
        <v>952</v>
      </c>
      <c r="V33" s="463" t="s">
        <v>991</v>
      </c>
      <c r="W33" s="463" t="s">
        <v>29</v>
      </c>
      <c r="X33" s="463" t="s">
        <v>52</v>
      </c>
      <c r="Y33" s="463" t="s">
        <v>53</v>
      </c>
      <c r="Z33" s="38">
        <v>31800000</v>
      </c>
      <c r="AA33" s="38">
        <v>159</v>
      </c>
      <c r="AC33" s="458">
        <v>45387</v>
      </c>
      <c r="AD33" t="s">
        <v>941</v>
      </c>
      <c r="AE33" t="s">
        <v>996</v>
      </c>
      <c r="AF33">
        <v>115200000</v>
      </c>
      <c r="AG33" t="s">
        <v>54</v>
      </c>
      <c r="AH33" t="s">
        <v>29</v>
      </c>
      <c r="AI33">
        <v>34400000</v>
      </c>
      <c r="AK33" s="98">
        <v>2024</v>
      </c>
      <c r="AL33" s="98">
        <v>6</v>
      </c>
      <c r="AM33" s="98" t="s">
        <v>65</v>
      </c>
      <c r="AN33" s="98" t="s">
        <v>55</v>
      </c>
      <c r="AO33">
        <v>150000000</v>
      </c>
      <c r="AP33">
        <v>0</v>
      </c>
      <c r="AQ33">
        <v>0</v>
      </c>
      <c r="AS33" s="457">
        <v>45387</v>
      </c>
      <c r="AT33" s="98" t="s">
        <v>941</v>
      </c>
      <c r="AU33" s="98" t="s">
        <v>54</v>
      </c>
      <c r="AV33" s="98" t="s">
        <v>996</v>
      </c>
      <c r="AW33" s="98" t="s">
        <v>931</v>
      </c>
      <c r="AX33" s="98">
        <v>9</v>
      </c>
      <c r="AY33" s="98" t="s">
        <v>55</v>
      </c>
      <c r="AZ33" s="98">
        <v>0</v>
      </c>
      <c r="BA33" s="98">
        <v>115200000</v>
      </c>
      <c r="BB33" s="98" t="s">
        <v>29</v>
      </c>
      <c r="BC33" s="98" t="s">
        <v>52</v>
      </c>
      <c r="BD33" s="98" t="s">
        <v>55</v>
      </c>
      <c r="BE33" s="98" t="s">
        <v>998</v>
      </c>
      <c r="BF33">
        <v>34400000</v>
      </c>
      <c r="BI33" s="14">
        <v>44957</v>
      </c>
    </row>
    <row r="34" spans="8:61" x14ac:dyDescent="0.3">
      <c r="H34" s="459">
        <v>45387</v>
      </c>
      <c r="I34" s="38" t="s">
        <v>931</v>
      </c>
      <c r="J34" s="38"/>
      <c r="K34" s="38"/>
      <c r="L34" s="38"/>
      <c r="M34" s="38"/>
      <c r="N34" s="38"/>
      <c r="O34" s="38" t="s">
        <v>58</v>
      </c>
      <c r="P34" s="38">
        <v>116</v>
      </c>
      <c r="S34" s="462">
        <v>45327</v>
      </c>
      <c r="T34" s="38"/>
      <c r="U34" s="38"/>
      <c r="V34" s="38"/>
      <c r="W34" s="463" t="s">
        <v>58</v>
      </c>
      <c r="X34" s="463" t="s">
        <v>59</v>
      </c>
      <c r="Y34" s="463" t="s">
        <v>53</v>
      </c>
      <c r="Z34" s="38">
        <v>33900000</v>
      </c>
      <c r="AA34" s="38">
        <v>113</v>
      </c>
      <c r="AC34" s="458">
        <v>45387</v>
      </c>
      <c r="AD34" t="s">
        <v>941</v>
      </c>
      <c r="AE34" t="s">
        <v>996</v>
      </c>
      <c r="AF34"/>
      <c r="AG34" t="s">
        <v>54</v>
      </c>
      <c r="AH34" t="s">
        <v>58</v>
      </c>
      <c r="AI34">
        <v>34800000</v>
      </c>
      <c r="AK34" s="98">
        <v>2024</v>
      </c>
      <c r="AL34" s="98">
        <v>7</v>
      </c>
      <c r="AM34" s="98" t="s">
        <v>55</v>
      </c>
      <c r="AN34" s="98" t="s">
        <v>56</v>
      </c>
      <c r="AO34">
        <v>150000000</v>
      </c>
      <c r="AP34">
        <v>131700000</v>
      </c>
      <c r="AQ34">
        <v>0.878</v>
      </c>
      <c r="AS34" s="457">
        <v>45387</v>
      </c>
      <c r="AT34" s="98" t="s">
        <v>941</v>
      </c>
      <c r="AU34" s="98" t="s">
        <v>54</v>
      </c>
      <c r="AV34" s="98" t="s">
        <v>996</v>
      </c>
      <c r="AW34" s="98" t="s">
        <v>931</v>
      </c>
      <c r="AX34" s="98">
        <v>9</v>
      </c>
      <c r="AY34" s="98" t="s">
        <v>55</v>
      </c>
      <c r="AZ34"/>
      <c r="BA34"/>
      <c r="BB34" s="98" t="s">
        <v>58</v>
      </c>
      <c r="BC34" s="98" t="s">
        <v>59</v>
      </c>
      <c r="BD34" s="98" t="s">
        <v>55</v>
      </c>
      <c r="BE34" s="98" t="s">
        <v>998</v>
      </c>
      <c r="BF34">
        <v>34800000</v>
      </c>
    </row>
    <row r="35" spans="8:61" x14ac:dyDescent="0.3">
      <c r="H35" s="459">
        <v>45387</v>
      </c>
      <c r="I35" s="38" t="s">
        <v>931</v>
      </c>
      <c r="J35" s="38"/>
      <c r="K35" s="38"/>
      <c r="L35" s="38"/>
      <c r="M35" s="38"/>
      <c r="N35" s="38"/>
      <c r="O35" s="38" t="s">
        <v>62</v>
      </c>
      <c r="P35" s="38">
        <v>92</v>
      </c>
      <c r="S35" s="462">
        <v>45327</v>
      </c>
      <c r="T35" s="38"/>
      <c r="U35" s="38"/>
      <c r="V35" s="38"/>
      <c r="W35" s="463" t="s">
        <v>62</v>
      </c>
      <c r="X35" s="463" t="s">
        <v>63</v>
      </c>
      <c r="Y35" s="463" t="s">
        <v>53</v>
      </c>
      <c r="Z35" s="38">
        <v>48500000</v>
      </c>
      <c r="AA35" s="38">
        <v>97</v>
      </c>
      <c r="AC35" s="458">
        <v>45387</v>
      </c>
      <c r="AD35" t="s">
        <v>941</v>
      </c>
      <c r="AE35" t="s">
        <v>996</v>
      </c>
      <c r="AF35"/>
      <c r="AG35" t="s">
        <v>54</v>
      </c>
      <c r="AH35" t="s">
        <v>62</v>
      </c>
      <c r="AI35">
        <v>46000000</v>
      </c>
      <c r="AK35" s="98">
        <v>2024</v>
      </c>
      <c r="AL35" s="98">
        <v>7</v>
      </c>
      <c r="AM35" s="98" t="s">
        <v>55</v>
      </c>
      <c r="AN35" s="98" t="s">
        <v>60</v>
      </c>
      <c r="AO35">
        <v>150000000</v>
      </c>
      <c r="AP35">
        <v>0</v>
      </c>
      <c r="AQ35">
        <v>0</v>
      </c>
      <c r="AS35" s="457">
        <v>45387</v>
      </c>
      <c r="AT35" s="98" t="s">
        <v>941</v>
      </c>
      <c r="AU35" s="98" t="s">
        <v>54</v>
      </c>
      <c r="AV35" s="98" t="s">
        <v>996</v>
      </c>
      <c r="AW35" s="98" t="s">
        <v>931</v>
      </c>
      <c r="AX35" s="98">
        <v>9</v>
      </c>
      <c r="AY35" s="98" t="s">
        <v>55</v>
      </c>
      <c r="AZ35"/>
      <c r="BA35"/>
      <c r="BB35" s="98" t="s">
        <v>62</v>
      </c>
      <c r="BC35" s="98" t="s">
        <v>63</v>
      </c>
      <c r="BD35" s="98" t="s">
        <v>55</v>
      </c>
      <c r="BE35" s="98" t="s">
        <v>998</v>
      </c>
      <c r="BF35">
        <v>46000000</v>
      </c>
    </row>
    <row r="36" spans="8:61" x14ac:dyDescent="0.3">
      <c r="H36" s="459">
        <v>45397</v>
      </c>
      <c r="I36" s="38" t="s">
        <v>931</v>
      </c>
      <c r="J36" s="38" t="s">
        <v>996</v>
      </c>
      <c r="K36" s="38" t="s">
        <v>988</v>
      </c>
      <c r="L36" s="38" t="s">
        <v>959</v>
      </c>
      <c r="M36" s="38">
        <v>10</v>
      </c>
      <c r="N36" s="38">
        <v>118600000</v>
      </c>
      <c r="O36" s="38" t="s">
        <v>29</v>
      </c>
      <c r="P36" s="38">
        <v>169</v>
      </c>
      <c r="S36" s="462">
        <v>45337</v>
      </c>
      <c r="T36" s="463" t="s">
        <v>995</v>
      </c>
      <c r="U36" s="463" t="s">
        <v>953</v>
      </c>
      <c r="V36" s="463" t="s">
        <v>991</v>
      </c>
      <c r="W36" s="463" t="s">
        <v>29</v>
      </c>
      <c r="X36" s="463" t="s">
        <v>52</v>
      </c>
      <c r="Y36" s="463" t="s">
        <v>53</v>
      </c>
      <c r="Z36" s="38">
        <v>33000000</v>
      </c>
      <c r="AA36" s="38">
        <v>165</v>
      </c>
      <c r="AC36" s="458">
        <v>45397</v>
      </c>
      <c r="AD36" t="s">
        <v>939</v>
      </c>
      <c r="AE36" t="s">
        <v>996</v>
      </c>
      <c r="AF36">
        <v>118600000</v>
      </c>
      <c r="AG36" t="s">
        <v>54</v>
      </c>
      <c r="AH36" t="s">
        <v>29</v>
      </c>
      <c r="AI36">
        <v>33800000</v>
      </c>
      <c r="AK36" s="98">
        <v>2024</v>
      </c>
      <c r="AL36" s="98">
        <v>7</v>
      </c>
      <c r="AM36" s="98" t="s">
        <v>54</v>
      </c>
      <c r="AN36" s="98" t="s">
        <v>55</v>
      </c>
      <c r="AO36">
        <v>300000000</v>
      </c>
      <c r="AP36">
        <v>266000000</v>
      </c>
      <c r="AQ36">
        <v>0.88666666666666671</v>
      </c>
      <c r="AS36" s="457">
        <v>45397</v>
      </c>
      <c r="AT36" s="98" t="s">
        <v>939</v>
      </c>
      <c r="AU36" s="98" t="s">
        <v>54</v>
      </c>
      <c r="AV36" s="98" t="s">
        <v>996</v>
      </c>
      <c r="AW36" s="98" t="s">
        <v>931</v>
      </c>
      <c r="AX36" s="98">
        <v>10</v>
      </c>
      <c r="AY36" s="98" t="s">
        <v>55</v>
      </c>
      <c r="AZ36" s="98">
        <v>0</v>
      </c>
      <c r="BA36" s="98">
        <v>118600000</v>
      </c>
      <c r="BB36" s="98" t="s">
        <v>29</v>
      </c>
      <c r="BC36" s="98" t="s">
        <v>52</v>
      </c>
      <c r="BD36" s="98" t="s">
        <v>55</v>
      </c>
      <c r="BE36" s="98" t="s">
        <v>998</v>
      </c>
      <c r="BF36">
        <v>33800000</v>
      </c>
    </row>
    <row r="37" spans="8:61" x14ac:dyDescent="0.3">
      <c r="H37" s="459">
        <v>45397</v>
      </c>
      <c r="I37" s="38" t="s">
        <v>931</v>
      </c>
      <c r="J37" s="38"/>
      <c r="K37" s="38"/>
      <c r="L37" s="38"/>
      <c r="M37" s="38"/>
      <c r="N37" s="38"/>
      <c r="O37" s="38" t="s">
        <v>58</v>
      </c>
      <c r="P37" s="38">
        <v>121</v>
      </c>
      <c r="S37" s="462">
        <v>45337</v>
      </c>
      <c r="T37" s="38"/>
      <c r="U37" s="38"/>
      <c r="V37" s="38"/>
      <c r="W37" s="463" t="s">
        <v>58</v>
      </c>
      <c r="X37" s="463" t="s">
        <v>59</v>
      </c>
      <c r="Y37" s="463" t="s">
        <v>53</v>
      </c>
      <c r="Z37" s="38">
        <v>34800000</v>
      </c>
      <c r="AA37" s="38">
        <v>116</v>
      </c>
      <c r="AC37" s="458">
        <v>45397</v>
      </c>
      <c r="AD37" t="s">
        <v>939</v>
      </c>
      <c r="AE37" t="s">
        <v>996</v>
      </c>
      <c r="AF37"/>
      <c r="AG37" t="s">
        <v>54</v>
      </c>
      <c r="AH37" t="s">
        <v>58</v>
      </c>
      <c r="AI37">
        <v>36300000</v>
      </c>
      <c r="AK37" s="98">
        <v>2024</v>
      </c>
      <c r="AL37" s="98">
        <v>7</v>
      </c>
      <c r="AM37" s="98" t="s">
        <v>65</v>
      </c>
      <c r="AN37" s="98" t="s">
        <v>55</v>
      </c>
      <c r="AO37">
        <v>150000000</v>
      </c>
      <c r="AP37">
        <v>130900000</v>
      </c>
      <c r="AQ37">
        <v>0.8726666666666667</v>
      </c>
      <c r="AS37" s="457">
        <v>45397</v>
      </c>
      <c r="AT37" s="98" t="s">
        <v>939</v>
      </c>
      <c r="AU37" s="98" t="s">
        <v>54</v>
      </c>
      <c r="AV37" s="98" t="s">
        <v>996</v>
      </c>
      <c r="AW37" s="98" t="s">
        <v>931</v>
      </c>
      <c r="AX37" s="98">
        <v>10</v>
      </c>
      <c r="AY37" s="98" t="s">
        <v>55</v>
      </c>
      <c r="AZ37"/>
      <c r="BA37"/>
      <c r="BB37" s="98" t="s">
        <v>58</v>
      </c>
      <c r="BC37" s="98" t="s">
        <v>59</v>
      </c>
      <c r="BD37" s="98" t="s">
        <v>55</v>
      </c>
      <c r="BE37" s="98" t="s">
        <v>998</v>
      </c>
      <c r="BF37">
        <v>36300000</v>
      </c>
    </row>
    <row r="38" spans="8:61" x14ac:dyDescent="0.3">
      <c r="H38" s="459">
        <v>45397</v>
      </c>
      <c r="I38" s="38" t="s">
        <v>931</v>
      </c>
      <c r="J38" s="38"/>
      <c r="K38" s="38"/>
      <c r="L38" s="38"/>
      <c r="M38" s="38"/>
      <c r="N38" s="38"/>
      <c r="O38" s="38" t="s">
        <v>62</v>
      </c>
      <c r="P38" s="38">
        <v>97</v>
      </c>
      <c r="S38" s="462">
        <v>45337</v>
      </c>
      <c r="T38" s="38"/>
      <c r="U38" s="38"/>
      <c r="V38" s="38"/>
      <c r="W38" s="463" t="s">
        <v>62</v>
      </c>
      <c r="X38" s="463" t="s">
        <v>63</v>
      </c>
      <c r="Y38" s="463" t="s">
        <v>53</v>
      </c>
      <c r="Z38" s="38">
        <v>48000000</v>
      </c>
      <c r="AA38" s="38">
        <v>96</v>
      </c>
      <c r="AC38" s="458">
        <v>45397</v>
      </c>
      <c r="AD38" t="s">
        <v>939</v>
      </c>
      <c r="AE38" t="s">
        <v>996</v>
      </c>
      <c r="AF38"/>
      <c r="AG38" t="s">
        <v>54</v>
      </c>
      <c r="AH38" t="s">
        <v>62</v>
      </c>
      <c r="AI38">
        <v>48500000</v>
      </c>
      <c r="AK38" s="98">
        <v>2024</v>
      </c>
      <c r="AL38" s="98">
        <v>8</v>
      </c>
      <c r="AM38" s="98" t="s">
        <v>55</v>
      </c>
      <c r="AN38" s="98" t="s">
        <v>56</v>
      </c>
      <c r="AO38">
        <v>150000000</v>
      </c>
      <c r="AP38">
        <v>0</v>
      </c>
      <c r="AQ38">
        <v>0</v>
      </c>
      <c r="AS38" s="457">
        <v>45397</v>
      </c>
      <c r="AT38" s="98" t="s">
        <v>939</v>
      </c>
      <c r="AU38" s="98" t="s">
        <v>54</v>
      </c>
      <c r="AV38" s="98" t="s">
        <v>996</v>
      </c>
      <c r="AW38" s="98" t="s">
        <v>931</v>
      </c>
      <c r="AX38" s="98">
        <v>10</v>
      </c>
      <c r="AY38" s="98" t="s">
        <v>55</v>
      </c>
      <c r="AZ38"/>
      <c r="BA38"/>
      <c r="BB38" s="98" t="s">
        <v>62</v>
      </c>
      <c r="BC38" s="98" t="s">
        <v>63</v>
      </c>
      <c r="BD38" s="98" t="s">
        <v>55</v>
      </c>
      <c r="BE38" s="98" t="s">
        <v>998</v>
      </c>
      <c r="BF38">
        <v>48500000</v>
      </c>
    </row>
    <row r="39" spans="8:61" x14ac:dyDescent="0.3">
      <c r="H39" s="459">
        <v>45407</v>
      </c>
      <c r="I39" s="38" t="s">
        <v>932</v>
      </c>
      <c r="J39" s="38" t="s">
        <v>995</v>
      </c>
      <c r="K39" s="38" t="s">
        <v>989</v>
      </c>
      <c r="L39" s="38" t="s">
        <v>960</v>
      </c>
      <c r="M39" s="38">
        <v>6</v>
      </c>
      <c r="N39" s="38">
        <v>121300000</v>
      </c>
      <c r="O39" s="38" t="s">
        <v>29</v>
      </c>
      <c r="P39" s="38">
        <v>171</v>
      </c>
      <c r="S39" s="462">
        <v>45347</v>
      </c>
      <c r="T39" s="463" t="s">
        <v>996</v>
      </c>
      <c r="U39" s="463" t="s">
        <v>954</v>
      </c>
      <c r="V39" s="463" t="s">
        <v>992</v>
      </c>
      <c r="W39" s="463" t="s">
        <v>29</v>
      </c>
      <c r="X39" s="463" t="s">
        <v>52</v>
      </c>
      <c r="Y39" s="463" t="s">
        <v>53</v>
      </c>
      <c r="Z39" s="38">
        <v>32400000</v>
      </c>
      <c r="AA39" s="38">
        <v>162</v>
      </c>
      <c r="AC39" s="458">
        <v>45407</v>
      </c>
      <c r="AD39" t="s">
        <v>60</v>
      </c>
      <c r="AE39" t="s">
        <v>995</v>
      </c>
      <c r="AF39">
        <v>121300000</v>
      </c>
      <c r="AG39" t="s">
        <v>54</v>
      </c>
      <c r="AH39" t="s">
        <v>29</v>
      </c>
      <c r="AI39">
        <v>34200000</v>
      </c>
      <c r="AK39" s="98">
        <v>2024</v>
      </c>
      <c r="AL39" s="98">
        <v>8</v>
      </c>
      <c r="AM39" s="98" t="s">
        <v>55</v>
      </c>
      <c r="AN39" s="98" t="s">
        <v>60</v>
      </c>
      <c r="AO39">
        <v>150000000</v>
      </c>
      <c r="AP39">
        <v>0</v>
      </c>
      <c r="AQ39">
        <v>0</v>
      </c>
      <c r="AS39" s="457">
        <v>45407</v>
      </c>
      <c r="AT39" s="98" t="s">
        <v>60</v>
      </c>
      <c r="AU39" s="98" t="s">
        <v>54</v>
      </c>
      <c r="AV39" s="98" t="s">
        <v>995</v>
      </c>
      <c r="AW39" s="98" t="s">
        <v>932</v>
      </c>
      <c r="AX39" s="98">
        <v>6</v>
      </c>
      <c r="AY39" s="98" t="s">
        <v>55</v>
      </c>
      <c r="AZ39" s="98">
        <v>0</v>
      </c>
      <c r="BA39" s="98">
        <v>121300000</v>
      </c>
      <c r="BB39" s="98" t="s">
        <v>29</v>
      </c>
      <c r="BC39" s="98" t="s">
        <v>52</v>
      </c>
      <c r="BD39" s="98" t="s">
        <v>55</v>
      </c>
      <c r="BE39" s="98" t="s">
        <v>998</v>
      </c>
      <c r="BF39">
        <v>34200000</v>
      </c>
    </row>
    <row r="40" spans="8:61" x14ac:dyDescent="0.3">
      <c r="H40" s="459">
        <v>45407</v>
      </c>
      <c r="I40" s="38" t="s">
        <v>932</v>
      </c>
      <c r="J40" s="38"/>
      <c r="K40" s="38"/>
      <c r="L40" s="38"/>
      <c r="M40" s="38"/>
      <c r="N40" s="38"/>
      <c r="O40" s="38" t="s">
        <v>58</v>
      </c>
      <c r="P40" s="38">
        <v>127</v>
      </c>
      <c r="S40" s="462">
        <v>45347</v>
      </c>
      <c r="T40" s="38"/>
      <c r="U40" s="38"/>
      <c r="V40" s="38"/>
      <c r="W40" s="463" t="s">
        <v>58</v>
      </c>
      <c r="X40" s="463" t="s">
        <v>59</v>
      </c>
      <c r="Y40" s="463" t="s">
        <v>53</v>
      </c>
      <c r="Z40" s="38">
        <v>34500000</v>
      </c>
      <c r="AA40" s="38">
        <v>115</v>
      </c>
      <c r="AC40" s="458">
        <v>45407</v>
      </c>
      <c r="AD40" t="s">
        <v>60</v>
      </c>
      <c r="AE40" t="s">
        <v>995</v>
      </c>
      <c r="AF40"/>
      <c r="AG40" t="s">
        <v>54</v>
      </c>
      <c r="AH40" t="s">
        <v>58</v>
      </c>
      <c r="AI40">
        <v>38100000</v>
      </c>
      <c r="AK40" s="98">
        <v>2024</v>
      </c>
      <c r="AL40" s="98">
        <v>8</v>
      </c>
      <c r="AM40" s="98" t="s">
        <v>54</v>
      </c>
      <c r="AN40" s="98" t="s">
        <v>55</v>
      </c>
      <c r="AO40">
        <v>300000000</v>
      </c>
      <c r="AP40">
        <v>280800000</v>
      </c>
      <c r="AQ40">
        <v>0.93600000000000005</v>
      </c>
      <c r="AS40" s="457">
        <v>45407</v>
      </c>
      <c r="AT40" s="98" t="s">
        <v>60</v>
      </c>
      <c r="AU40" s="98" t="s">
        <v>54</v>
      </c>
      <c r="AV40" s="98" t="s">
        <v>995</v>
      </c>
      <c r="AW40" s="98" t="s">
        <v>932</v>
      </c>
      <c r="AX40" s="98">
        <v>6</v>
      </c>
      <c r="AY40" s="98" t="s">
        <v>55</v>
      </c>
      <c r="AZ40"/>
      <c r="BA40"/>
      <c r="BB40" s="98" t="s">
        <v>58</v>
      </c>
      <c r="BC40" s="98" t="s">
        <v>59</v>
      </c>
      <c r="BD40" s="98" t="s">
        <v>55</v>
      </c>
      <c r="BE40" s="98" t="s">
        <v>998</v>
      </c>
      <c r="BF40">
        <v>38100000</v>
      </c>
    </row>
    <row r="41" spans="8:61" x14ac:dyDescent="0.3">
      <c r="H41" s="459">
        <v>45407</v>
      </c>
      <c r="I41" s="38" t="s">
        <v>932</v>
      </c>
      <c r="J41" s="38"/>
      <c r="K41" s="38"/>
      <c r="L41" s="38"/>
      <c r="M41" s="38"/>
      <c r="N41" s="38"/>
      <c r="O41" s="38" t="s">
        <v>62</v>
      </c>
      <c r="P41" s="38">
        <v>98</v>
      </c>
      <c r="S41" s="462">
        <v>45347</v>
      </c>
      <c r="T41" s="38"/>
      <c r="U41" s="38"/>
      <c r="V41" s="38"/>
      <c r="W41" s="463" t="s">
        <v>62</v>
      </c>
      <c r="X41" s="463" t="s">
        <v>63</v>
      </c>
      <c r="Y41" s="463" t="s">
        <v>53</v>
      </c>
      <c r="Z41" s="38">
        <v>47000000</v>
      </c>
      <c r="AA41" s="38">
        <v>94</v>
      </c>
      <c r="AC41" s="458">
        <v>45407</v>
      </c>
      <c r="AD41" t="s">
        <v>60</v>
      </c>
      <c r="AE41" t="s">
        <v>995</v>
      </c>
      <c r="AF41"/>
      <c r="AG41" t="s">
        <v>54</v>
      </c>
      <c r="AH41" t="s">
        <v>62</v>
      </c>
      <c r="AI41">
        <v>49000000</v>
      </c>
      <c r="AK41" s="98">
        <v>2024</v>
      </c>
      <c r="AL41" s="98">
        <v>8</v>
      </c>
      <c r="AM41" s="98" t="s">
        <v>65</v>
      </c>
      <c r="AN41" s="98" t="s">
        <v>55</v>
      </c>
      <c r="AO41">
        <v>150000000</v>
      </c>
      <c r="AP41">
        <v>140200000</v>
      </c>
      <c r="AQ41">
        <v>0.93466666666666665</v>
      </c>
      <c r="AS41" s="457">
        <v>45407</v>
      </c>
      <c r="AT41" s="98" t="s">
        <v>60</v>
      </c>
      <c r="AU41" s="98" t="s">
        <v>54</v>
      </c>
      <c r="AV41" s="98" t="s">
        <v>995</v>
      </c>
      <c r="AW41" s="98" t="s">
        <v>932</v>
      </c>
      <c r="AX41" s="98">
        <v>6</v>
      </c>
      <c r="AY41" s="98" t="s">
        <v>55</v>
      </c>
      <c r="AZ41"/>
      <c r="BA41"/>
      <c r="BB41" s="98" t="s">
        <v>62</v>
      </c>
      <c r="BC41" s="98" t="s">
        <v>63</v>
      </c>
      <c r="BD41" s="98" t="s">
        <v>55</v>
      </c>
      <c r="BE41" s="98" t="s">
        <v>998</v>
      </c>
      <c r="BF41">
        <v>49000000</v>
      </c>
    </row>
    <row r="42" spans="8:61" x14ac:dyDescent="0.3">
      <c r="H42" s="459">
        <v>45417</v>
      </c>
      <c r="I42" s="38" t="s">
        <v>930</v>
      </c>
      <c r="J42" s="38" t="s">
        <v>996</v>
      </c>
      <c r="K42" s="38" t="s">
        <v>987</v>
      </c>
      <c r="L42" s="38" t="s">
        <v>961</v>
      </c>
      <c r="M42" s="38">
        <v>14</v>
      </c>
      <c r="N42" s="38">
        <v>122900000</v>
      </c>
      <c r="O42" s="38" t="s">
        <v>29</v>
      </c>
      <c r="P42" s="38">
        <v>174</v>
      </c>
      <c r="S42" s="462">
        <v>45356</v>
      </c>
      <c r="T42" s="463" t="s">
        <v>996</v>
      </c>
      <c r="U42" s="463" t="s">
        <v>955</v>
      </c>
      <c r="V42" s="463" t="s">
        <v>987</v>
      </c>
      <c r="W42" s="463" t="s">
        <v>29</v>
      </c>
      <c r="X42" s="463" t="s">
        <v>52</v>
      </c>
      <c r="Y42" s="463" t="s">
        <v>53</v>
      </c>
      <c r="Z42" s="38">
        <v>32800000</v>
      </c>
      <c r="AA42" s="38">
        <v>164</v>
      </c>
      <c r="AC42" s="458">
        <v>45417</v>
      </c>
      <c r="AD42" t="s">
        <v>60</v>
      </c>
      <c r="AE42" t="s">
        <v>996</v>
      </c>
      <c r="AF42">
        <v>122900000</v>
      </c>
      <c r="AG42" t="s">
        <v>65</v>
      </c>
      <c r="AH42" t="s">
        <v>29</v>
      </c>
      <c r="AI42">
        <v>34800000</v>
      </c>
      <c r="AK42" s="98">
        <v>2024</v>
      </c>
      <c r="AL42" s="98">
        <v>9</v>
      </c>
      <c r="AM42" s="98" t="s">
        <v>55</v>
      </c>
      <c r="AN42" s="98" t="s">
        <v>56</v>
      </c>
      <c r="AO42">
        <v>150000000</v>
      </c>
      <c r="AP42">
        <v>0</v>
      </c>
      <c r="AQ42">
        <v>0</v>
      </c>
      <c r="AS42" s="457">
        <v>45417</v>
      </c>
      <c r="AT42" s="98" t="s">
        <v>60</v>
      </c>
      <c r="AU42" s="98" t="s">
        <v>65</v>
      </c>
      <c r="AV42" s="98" t="s">
        <v>996</v>
      </c>
      <c r="AW42" s="98" t="s">
        <v>930</v>
      </c>
      <c r="AX42" s="98">
        <v>14</v>
      </c>
      <c r="AY42" s="98" t="s">
        <v>55</v>
      </c>
      <c r="AZ42" s="98">
        <v>0</v>
      </c>
      <c r="BA42" s="98">
        <v>122900000</v>
      </c>
      <c r="BB42" s="98" t="s">
        <v>29</v>
      </c>
      <c r="BC42" s="98" t="s">
        <v>52</v>
      </c>
      <c r="BD42" s="98" t="s">
        <v>55</v>
      </c>
      <c r="BE42" s="98" t="s">
        <v>998</v>
      </c>
      <c r="BF42">
        <v>34800000</v>
      </c>
    </row>
    <row r="43" spans="8:61" x14ac:dyDescent="0.3">
      <c r="H43" s="459">
        <v>45417</v>
      </c>
      <c r="I43" s="38" t="s">
        <v>930</v>
      </c>
      <c r="J43" s="38"/>
      <c r="K43" s="38"/>
      <c r="L43" s="38"/>
      <c r="M43" s="38"/>
      <c r="N43" s="38"/>
      <c r="O43" s="38" t="s">
        <v>58</v>
      </c>
      <c r="P43" s="38">
        <v>132</v>
      </c>
      <c r="S43" s="462">
        <v>45356</v>
      </c>
      <c r="T43" s="38"/>
      <c r="U43" s="38"/>
      <c r="V43" s="38"/>
      <c r="W43" s="463" t="s">
        <v>58</v>
      </c>
      <c r="X43" s="463" t="s">
        <v>59</v>
      </c>
      <c r="Y43" s="463" t="s">
        <v>53</v>
      </c>
      <c r="Z43" s="38">
        <v>34200000</v>
      </c>
      <c r="AA43" s="38">
        <v>114</v>
      </c>
      <c r="AC43" s="458">
        <v>45417</v>
      </c>
      <c r="AD43" t="s">
        <v>60</v>
      </c>
      <c r="AE43" t="s">
        <v>996</v>
      </c>
      <c r="AF43"/>
      <c r="AG43" t="s">
        <v>65</v>
      </c>
      <c r="AH43" t="s">
        <v>58</v>
      </c>
      <c r="AI43">
        <v>39600000</v>
      </c>
      <c r="AK43" s="98">
        <v>2024</v>
      </c>
      <c r="AL43" s="98">
        <v>9</v>
      </c>
      <c r="AM43" s="98" t="s">
        <v>55</v>
      </c>
      <c r="AN43" s="98" t="s">
        <v>60</v>
      </c>
      <c r="AO43">
        <v>150000000</v>
      </c>
      <c r="AP43">
        <v>292800000</v>
      </c>
      <c r="AQ43">
        <v>1.952</v>
      </c>
      <c r="AS43" s="457">
        <v>45417</v>
      </c>
      <c r="AT43" s="98" t="s">
        <v>60</v>
      </c>
      <c r="AU43" s="98" t="s">
        <v>65</v>
      </c>
      <c r="AV43" s="98" t="s">
        <v>996</v>
      </c>
      <c r="AW43" s="98" t="s">
        <v>930</v>
      </c>
      <c r="AX43" s="98">
        <v>14</v>
      </c>
      <c r="AY43" s="98" t="s">
        <v>55</v>
      </c>
      <c r="AZ43"/>
      <c r="BA43"/>
      <c r="BB43" s="98" t="s">
        <v>58</v>
      </c>
      <c r="BC43" s="98" t="s">
        <v>59</v>
      </c>
      <c r="BD43" s="98" t="s">
        <v>55</v>
      </c>
      <c r="BE43" s="98" t="s">
        <v>998</v>
      </c>
      <c r="BF43">
        <v>39600000</v>
      </c>
    </row>
    <row r="44" spans="8:61" x14ac:dyDescent="0.3">
      <c r="H44" s="459">
        <v>45417</v>
      </c>
      <c r="I44" s="38" t="s">
        <v>930</v>
      </c>
      <c r="J44" s="38"/>
      <c r="K44" s="38"/>
      <c r="L44" s="38"/>
      <c r="M44" s="38"/>
      <c r="N44" s="38"/>
      <c r="O44" s="38" t="s">
        <v>62</v>
      </c>
      <c r="P44" s="38">
        <v>97</v>
      </c>
      <c r="S44" s="462">
        <v>45356</v>
      </c>
      <c r="T44" s="38"/>
      <c r="U44" s="38"/>
      <c r="V44" s="38"/>
      <c r="W44" s="463" t="s">
        <v>62</v>
      </c>
      <c r="X44" s="463" t="s">
        <v>63</v>
      </c>
      <c r="Y44" s="463" t="s">
        <v>53</v>
      </c>
      <c r="Z44" s="38">
        <v>46500000</v>
      </c>
      <c r="AA44" s="38">
        <v>93</v>
      </c>
      <c r="AC44" s="458">
        <v>45417</v>
      </c>
      <c r="AD44" t="s">
        <v>60</v>
      </c>
      <c r="AE44" t="s">
        <v>996</v>
      </c>
      <c r="AF44"/>
      <c r="AG44" t="s">
        <v>65</v>
      </c>
      <c r="AH44" t="s">
        <v>62</v>
      </c>
      <c r="AI44">
        <v>48500000</v>
      </c>
      <c r="AK44" s="98">
        <v>2024</v>
      </c>
      <c r="AL44" s="98">
        <v>9</v>
      </c>
      <c r="AM44" s="98" t="s">
        <v>54</v>
      </c>
      <c r="AN44" s="98" t="s">
        <v>55</v>
      </c>
      <c r="AO44">
        <v>300000000</v>
      </c>
      <c r="AP44">
        <v>296600000</v>
      </c>
      <c r="AQ44">
        <v>0.98866666666666669</v>
      </c>
      <c r="AS44" s="457">
        <v>45417</v>
      </c>
      <c r="AT44" s="98" t="s">
        <v>60</v>
      </c>
      <c r="AU44" s="98" t="s">
        <v>65</v>
      </c>
      <c r="AV44" s="98" t="s">
        <v>996</v>
      </c>
      <c r="AW44" s="98" t="s">
        <v>930</v>
      </c>
      <c r="AX44" s="98">
        <v>14</v>
      </c>
      <c r="AY44" s="98" t="s">
        <v>55</v>
      </c>
      <c r="AZ44"/>
      <c r="BA44"/>
      <c r="BB44" s="98" t="s">
        <v>62</v>
      </c>
      <c r="BC44" s="98" t="s">
        <v>63</v>
      </c>
      <c r="BD44" s="98" t="s">
        <v>55</v>
      </c>
      <c r="BE44" s="98" t="s">
        <v>998</v>
      </c>
      <c r="BF44">
        <v>48500000</v>
      </c>
    </row>
    <row r="45" spans="8:61" x14ac:dyDescent="0.3">
      <c r="H45" s="459">
        <v>45427</v>
      </c>
      <c r="I45" s="38" t="s">
        <v>929</v>
      </c>
      <c r="J45" s="38" t="s">
        <v>995</v>
      </c>
      <c r="K45" s="38" t="s">
        <v>986</v>
      </c>
      <c r="L45" s="38" t="s">
        <v>962</v>
      </c>
      <c r="M45" s="38">
        <v>12</v>
      </c>
      <c r="N45" s="38">
        <v>126600000</v>
      </c>
      <c r="O45" s="38" t="s">
        <v>29</v>
      </c>
      <c r="P45" s="38">
        <v>183</v>
      </c>
      <c r="S45" s="462">
        <v>45366</v>
      </c>
      <c r="T45" s="463" t="s">
        <v>995</v>
      </c>
      <c r="U45" s="463" t="s">
        <v>956</v>
      </c>
      <c r="V45" s="463" t="s">
        <v>986</v>
      </c>
      <c r="W45" s="463" t="s">
        <v>29</v>
      </c>
      <c r="X45" s="463" t="s">
        <v>52</v>
      </c>
      <c r="Y45" s="463" t="s">
        <v>53</v>
      </c>
      <c r="Z45" s="38">
        <v>32200000</v>
      </c>
      <c r="AA45" s="38">
        <v>161</v>
      </c>
      <c r="AC45" s="458">
        <v>45427</v>
      </c>
      <c r="AD45" t="s">
        <v>939</v>
      </c>
      <c r="AE45" t="s">
        <v>995</v>
      </c>
      <c r="AF45">
        <v>126600000</v>
      </c>
      <c r="AG45" t="s">
        <v>54</v>
      </c>
      <c r="AH45" t="s">
        <v>29</v>
      </c>
      <c r="AI45">
        <v>36600000</v>
      </c>
      <c r="AK45" s="98">
        <v>2024</v>
      </c>
      <c r="AL45" s="98">
        <v>9</v>
      </c>
      <c r="AM45" s="98" t="s">
        <v>65</v>
      </c>
      <c r="AN45" s="98" t="s">
        <v>55</v>
      </c>
      <c r="AO45">
        <v>150000000</v>
      </c>
      <c r="AP45">
        <v>146100000</v>
      </c>
      <c r="AQ45">
        <v>0.97399999999999998</v>
      </c>
      <c r="AS45" s="457">
        <v>45427</v>
      </c>
      <c r="AT45" s="98" t="s">
        <v>939</v>
      </c>
      <c r="AU45" s="98" t="s">
        <v>54</v>
      </c>
      <c r="AV45" s="98" t="s">
        <v>995</v>
      </c>
      <c r="AW45" s="98" t="s">
        <v>929</v>
      </c>
      <c r="AX45" s="98">
        <v>12</v>
      </c>
      <c r="AY45" s="98" t="s">
        <v>55</v>
      </c>
      <c r="AZ45" s="98">
        <v>0</v>
      </c>
      <c r="BA45" s="98">
        <v>126600000</v>
      </c>
      <c r="BB45" s="98" t="s">
        <v>29</v>
      </c>
      <c r="BC45" s="98" t="s">
        <v>52</v>
      </c>
      <c r="BD45" s="98" t="s">
        <v>55</v>
      </c>
      <c r="BE45" s="98" t="s">
        <v>998</v>
      </c>
      <c r="BF45">
        <v>36600000</v>
      </c>
    </row>
    <row r="46" spans="8:61" x14ac:dyDescent="0.3">
      <c r="H46" s="459">
        <v>45427</v>
      </c>
      <c r="I46" s="38" t="s">
        <v>929</v>
      </c>
      <c r="J46" s="38"/>
      <c r="K46" s="38"/>
      <c r="L46" s="38"/>
      <c r="M46" s="38"/>
      <c r="N46" s="38"/>
      <c r="O46" s="38" t="s">
        <v>58</v>
      </c>
      <c r="P46" s="38">
        <v>135</v>
      </c>
      <c r="S46" s="462">
        <v>45366</v>
      </c>
      <c r="T46" s="38"/>
      <c r="U46" s="38"/>
      <c r="V46" s="38"/>
      <c r="W46" s="463" t="s">
        <v>58</v>
      </c>
      <c r="X46" s="463" t="s">
        <v>59</v>
      </c>
      <c r="Y46" s="463" t="s">
        <v>53</v>
      </c>
      <c r="Z46" s="38">
        <v>34500000</v>
      </c>
      <c r="AA46" s="38">
        <v>115</v>
      </c>
      <c r="AC46" s="458">
        <v>45427</v>
      </c>
      <c r="AD46" t="s">
        <v>939</v>
      </c>
      <c r="AE46" t="s">
        <v>995</v>
      </c>
      <c r="AF46"/>
      <c r="AG46" t="s">
        <v>54</v>
      </c>
      <c r="AH46" t="s">
        <v>58</v>
      </c>
      <c r="AI46">
        <v>40500000</v>
      </c>
      <c r="AK46" s="98">
        <v>2024</v>
      </c>
      <c r="AL46" s="98">
        <v>10</v>
      </c>
      <c r="AM46" s="98" t="s">
        <v>55</v>
      </c>
      <c r="AN46" s="98" t="s">
        <v>56</v>
      </c>
      <c r="AO46">
        <v>150000000</v>
      </c>
      <c r="AP46">
        <v>155100000</v>
      </c>
      <c r="AQ46">
        <v>1.034</v>
      </c>
      <c r="AS46" s="457">
        <v>45427</v>
      </c>
      <c r="AT46" s="98" t="s">
        <v>939</v>
      </c>
      <c r="AU46" s="98" t="s">
        <v>54</v>
      </c>
      <c r="AV46" s="98" t="s">
        <v>995</v>
      </c>
      <c r="AW46" s="98" t="s">
        <v>929</v>
      </c>
      <c r="AX46" s="98">
        <v>12</v>
      </c>
      <c r="AY46" s="98" t="s">
        <v>55</v>
      </c>
      <c r="AZ46"/>
      <c r="BA46"/>
      <c r="BB46" s="98" t="s">
        <v>58</v>
      </c>
      <c r="BC46" s="98" t="s">
        <v>59</v>
      </c>
      <c r="BD46" s="98" t="s">
        <v>55</v>
      </c>
      <c r="BE46" s="98" t="s">
        <v>998</v>
      </c>
      <c r="BF46">
        <v>40500000</v>
      </c>
    </row>
    <row r="47" spans="8:61" x14ac:dyDescent="0.3">
      <c r="H47" s="459">
        <v>45427</v>
      </c>
      <c r="I47" s="38" t="s">
        <v>929</v>
      </c>
      <c r="J47" s="38"/>
      <c r="K47" s="38"/>
      <c r="L47" s="38"/>
      <c r="M47" s="38"/>
      <c r="N47" s="38"/>
      <c r="O47" s="38" t="s">
        <v>62</v>
      </c>
      <c r="P47" s="38">
        <v>99</v>
      </c>
      <c r="S47" s="462">
        <v>45366</v>
      </c>
      <c r="T47" s="38"/>
      <c r="U47" s="38"/>
      <c r="V47" s="38"/>
      <c r="W47" s="463" t="s">
        <v>62</v>
      </c>
      <c r="X47" s="463" t="s">
        <v>63</v>
      </c>
      <c r="Y47" s="463" t="s">
        <v>53</v>
      </c>
      <c r="Z47" s="38">
        <v>46500000</v>
      </c>
      <c r="AA47" s="38">
        <v>93</v>
      </c>
      <c r="AC47" s="458">
        <v>45427</v>
      </c>
      <c r="AD47" t="s">
        <v>939</v>
      </c>
      <c r="AE47" t="s">
        <v>995</v>
      </c>
      <c r="AF47"/>
      <c r="AG47" t="s">
        <v>54</v>
      </c>
      <c r="AH47" t="s">
        <v>62</v>
      </c>
      <c r="AI47">
        <v>49500000</v>
      </c>
      <c r="AK47" s="98">
        <v>2024</v>
      </c>
      <c r="AL47" s="98">
        <v>10</v>
      </c>
      <c r="AM47" s="98" t="s">
        <v>55</v>
      </c>
      <c r="AN47" s="98" t="s">
        <v>60</v>
      </c>
      <c r="AO47">
        <v>150000000</v>
      </c>
      <c r="AP47">
        <v>159200000</v>
      </c>
      <c r="AQ47">
        <v>1.0613333333333332</v>
      </c>
      <c r="AS47" s="457">
        <v>45427</v>
      </c>
      <c r="AT47" s="98" t="s">
        <v>939</v>
      </c>
      <c r="AU47" s="98" t="s">
        <v>54</v>
      </c>
      <c r="AV47" s="98" t="s">
        <v>995</v>
      </c>
      <c r="AW47" s="98" t="s">
        <v>929</v>
      </c>
      <c r="AX47" s="98">
        <v>12</v>
      </c>
      <c r="AY47" s="98" t="s">
        <v>55</v>
      </c>
      <c r="AZ47"/>
      <c r="BA47"/>
      <c r="BB47" s="98" t="s">
        <v>62</v>
      </c>
      <c r="BC47" s="98" t="s">
        <v>63</v>
      </c>
      <c r="BD47" s="98" t="s">
        <v>55</v>
      </c>
      <c r="BE47" s="98" t="s">
        <v>998</v>
      </c>
      <c r="BF47">
        <v>49500000</v>
      </c>
    </row>
    <row r="48" spans="8:61" x14ac:dyDescent="0.3">
      <c r="H48" s="459">
        <v>45437</v>
      </c>
      <c r="I48" s="38" t="s">
        <v>934</v>
      </c>
      <c r="J48" s="38" t="s">
        <v>995</v>
      </c>
      <c r="K48" s="38" t="s">
        <v>991</v>
      </c>
      <c r="L48" s="38" t="s">
        <v>963</v>
      </c>
      <c r="M48" s="38">
        <v>3</v>
      </c>
      <c r="N48" s="38">
        <v>126900000</v>
      </c>
      <c r="O48" s="38" t="s">
        <v>29</v>
      </c>
      <c r="P48" s="38">
        <v>185</v>
      </c>
      <c r="S48" s="462">
        <v>45376</v>
      </c>
      <c r="T48" s="463" t="s">
        <v>996</v>
      </c>
      <c r="U48" s="463" t="s">
        <v>957</v>
      </c>
      <c r="V48" s="463" t="s">
        <v>990</v>
      </c>
      <c r="W48" s="463" t="s">
        <v>29</v>
      </c>
      <c r="X48" s="463" t="s">
        <v>52</v>
      </c>
      <c r="Y48" s="463" t="s">
        <v>53</v>
      </c>
      <c r="Z48" s="38">
        <v>32800000</v>
      </c>
      <c r="AA48" s="38">
        <v>164</v>
      </c>
      <c r="AC48" s="458">
        <v>45437</v>
      </c>
      <c r="AD48" t="s">
        <v>56</v>
      </c>
      <c r="AE48" t="s">
        <v>995</v>
      </c>
      <c r="AF48">
        <v>126900000</v>
      </c>
      <c r="AG48" t="s">
        <v>65</v>
      </c>
      <c r="AH48" t="s">
        <v>29</v>
      </c>
      <c r="AI48">
        <v>37000000</v>
      </c>
      <c r="AK48" s="98">
        <v>2024</v>
      </c>
      <c r="AL48" s="98">
        <v>10</v>
      </c>
      <c r="AM48" s="98" t="s">
        <v>54</v>
      </c>
      <c r="AN48" s="98" t="s">
        <v>55</v>
      </c>
      <c r="AO48">
        <v>300000000</v>
      </c>
      <c r="AP48">
        <v>314300000</v>
      </c>
      <c r="AQ48">
        <v>1.0476666666666667</v>
      </c>
      <c r="AS48" s="457">
        <v>45437</v>
      </c>
      <c r="AT48" s="98" t="s">
        <v>56</v>
      </c>
      <c r="AU48" s="98" t="s">
        <v>65</v>
      </c>
      <c r="AV48" s="98" t="s">
        <v>995</v>
      </c>
      <c r="AW48" s="98" t="s">
        <v>934</v>
      </c>
      <c r="AX48" s="98">
        <v>3</v>
      </c>
      <c r="AY48" s="98" t="s">
        <v>55</v>
      </c>
      <c r="AZ48" s="98">
        <v>0</v>
      </c>
      <c r="BA48" s="98">
        <v>126900000</v>
      </c>
      <c r="BB48" s="98" t="s">
        <v>29</v>
      </c>
      <c r="BC48" s="98" t="s">
        <v>52</v>
      </c>
      <c r="BD48" s="98" t="s">
        <v>55</v>
      </c>
      <c r="BE48" s="98" t="s">
        <v>998</v>
      </c>
      <c r="BF48">
        <v>37000000</v>
      </c>
    </row>
    <row r="49" spans="8:58" x14ac:dyDescent="0.3">
      <c r="H49" s="459">
        <v>45437</v>
      </c>
      <c r="I49" s="38" t="s">
        <v>934</v>
      </c>
      <c r="J49" s="38"/>
      <c r="K49" s="38"/>
      <c r="L49" s="38"/>
      <c r="M49" s="38"/>
      <c r="N49" s="38"/>
      <c r="O49" s="38" t="s">
        <v>58</v>
      </c>
      <c r="P49" s="38">
        <v>138</v>
      </c>
      <c r="S49" s="462">
        <v>45376</v>
      </c>
      <c r="T49" s="38"/>
      <c r="U49" s="38"/>
      <c r="V49" s="38"/>
      <c r="W49" s="463" t="s">
        <v>58</v>
      </c>
      <c r="X49" s="463" t="s">
        <v>59</v>
      </c>
      <c r="Y49" s="463" t="s">
        <v>53</v>
      </c>
      <c r="Z49" s="38">
        <v>33900000</v>
      </c>
      <c r="AA49" s="38">
        <v>113</v>
      </c>
      <c r="AC49" s="458">
        <v>45437</v>
      </c>
      <c r="AD49" t="s">
        <v>56</v>
      </c>
      <c r="AE49" t="s">
        <v>995</v>
      </c>
      <c r="AF49"/>
      <c r="AG49" t="s">
        <v>65</v>
      </c>
      <c r="AH49" t="s">
        <v>58</v>
      </c>
      <c r="AI49">
        <v>41400000</v>
      </c>
      <c r="AK49" s="98">
        <v>2024</v>
      </c>
      <c r="AL49" s="98">
        <v>10</v>
      </c>
      <c r="AM49" s="98" t="s">
        <v>65</v>
      </c>
      <c r="AN49" s="98" t="s">
        <v>55</v>
      </c>
      <c r="AO49">
        <v>150000000</v>
      </c>
      <c r="AP49">
        <v>155000000</v>
      </c>
      <c r="AQ49">
        <v>1.0333333333333334</v>
      </c>
      <c r="AS49" s="457">
        <v>45437</v>
      </c>
      <c r="AT49" s="98" t="s">
        <v>56</v>
      </c>
      <c r="AU49" s="98" t="s">
        <v>65</v>
      </c>
      <c r="AV49" s="98" t="s">
        <v>995</v>
      </c>
      <c r="AW49" s="98" t="s">
        <v>934</v>
      </c>
      <c r="AX49" s="98">
        <v>3</v>
      </c>
      <c r="AY49" s="98" t="s">
        <v>55</v>
      </c>
      <c r="AZ49"/>
      <c r="BA49"/>
      <c r="BB49" s="98" t="s">
        <v>58</v>
      </c>
      <c r="BC49" s="98" t="s">
        <v>59</v>
      </c>
      <c r="BD49" s="98" t="s">
        <v>55</v>
      </c>
      <c r="BE49" s="98" t="s">
        <v>998</v>
      </c>
      <c r="BF49">
        <v>41400000</v>
      </c>
    </row>
    <row r="50" spans="8:58" x14ac:dyDescent="0.3">
      <c r="H50" s="459">
        <v>45437</v>
      </c>
      <c r="I50" s="38" t="s">
        <v>934</v>
      </c>
      <c r="J50" s="38"/>
      <c r="K50" s="38"/>
      <c r="L50" s="38"/>
      <c r="M50" s="38"/>
      <c r="N50" s="38"/>
      <c r="O50" s="38" t="s">
        <v>62</v>
      </c>
      <c r="P50" s="38">
        <v>97</v>
      </c>
      <c r="S50" s="462">
        <v>45376</v>
      </c>
      <c r="T50" s="38"/>
      <c r="U50" s="38"/>
      <c r="V50" s="38"/>
      <c r="W50" s="463" t="s">
        <v>62</v>
      </c>
      <c r="X50" s="463" t="s">
        <v>63</v>
      </c>
      <c r="Y50" s="463" t="s">
        <v>53</v>
      </c>
      <c r="Z50" s="38">
        <v>45500000</v>
      </c>
      <c r="AA50" s="38">
        <v>91</v>
      </c>
      <c r="AC50" s="458">
        <v>45437</v>
      </c>
      <c r="AD50" t="s">
        <v>56</v>
      </c>
      <c r="AE50" t="s">
        <v>995</v>
      </c>
      <c r="AF50"/>
      <c r="AG50" t="s">
        <v>65</v>
      </c>
      <c r="AH50" t="s">
        <v>62</v>
      </c>
      <c r="AI50">
        <v>48500000</v>
      </c>
      <c r="AK50" s="98">
        <v>2024</v>
      </c>
      <c r="AL50" s="98">
        <v>11</v>
      </c>
      <c r="AM50" s="98" t="s">
        <v>55</v>
      </c>
      <c r="AN50" s="98" t="s">
        <v>56</v>
      </c>
      <c r="AO50">
        <v>150000000</v>
      </c>
      <c r="AP50">
        <v>0</v>
      </c>
      <c r="AQ50">
        <v>0</v>
      </c>
      <c r="AS50" s="457">
        <v>45437</v>
      </c>
      <c r="AT50" s="98" t="s">
        <v>56</v>
      </c>
      <c r="AU50" s="98" t="s">
        <v>65</v>
      </c>
      <c r="AV50" s="98" t="s">
        <v>995</v>
      </c>
      <c r="AW50" s="98" t="s">
        <v>934</v>
      </c>
      <c r="AX50" s="98">
        <v>3</v>
      </c>
      <c r="AY50" s="98" t="s">
        <v>55</v>
      </c>
      <c r="AZ50"/>
      <c r="BA50"/>
      <c r="BB50" s="98" t="s">
        <v>62</v>
      </c>
      <c r="BC50" s="98" t="s">
        <v>63</v>
      </c>
      <c r="BD50" s="98" t="s">
        <v>55</v>
      </c>
      <c r="BE50" s="98" t="s">
        <v>998</v>
      </c>
      <c r="BF50">
        <v>48500000</v>
      </c>
    </row>
    <row r="51" spans="8:58" x14ac:dyDescent="0.3">
      <c r="H51" s="459">
        <v>45448</v>
      </c>
      <c r="I51" s="38" t="s">
        <v>930</v>
      </c>
      <c r="J51" s="38" t="s">
        <v>996</v>
      </c>
      <c r="K51" s="38" t="s">
        <v>987</v>
      </c>
      <c r="L51" s="38" t="s">
        <v>964</v>
      </c>
      <c r="M51" s="38">
        <v>15</v>
      </c>
      <c r="N51" s="38">
        <v>127700000</v>
      </c>
      <c r="O51" s="38" t="s">
        <v>29</v>
      </c>
      <c r="P51" s="38">
        <v>189</v>
      </c>
      <c r="S51" s="462">
        <v>45387</v>
      </c>
      <c r="T51" s="463" t="s">
        <v>996</v>
      </c>
      <c r="U51" s="463" t="s">
        <v>958</v>
      </c>
      <c r="V51" s="463" t="s">
        <v>988</v>
      </c>
      <c r="W51" s="463" t="s">
        <v>29</v>
      </c>
      <c r="X51" s="463" t="s">
        <v>52</v>
      </c>
      <c r="Y51" s="463" t="s">
        <v>53</v>
      </c>
      <c r="Z51" s="38">
        <v>34400000</v>
      </c>
      <c r="AA51" s="38">
        <v>172</v>
      </c>
      <c r="AC51" s="458">
        <v>45448</v>
      </c>
      <c r="AD51" t="s">
        <v>940</v>
      </c>
      <c r="AE51" t="s">
        <v>996</v>
      </c>
      <c r="AF51">
        <v>127700000</v>
      </c>
      <c r="AG51" t="s">
        <v>54</v>
      </c>
      <c r="AH51" t="s">
        <v>29</v>
      </c>
      <c r="AI51">
        <v>37800000</v>
      </c>
      <c r="AK51" s="98">
        <v>2024</v>
      </c>
      <c r="AL51" s="98">
        <v>11</v>
      </c>
      <c r="AM51" s="98" t="s">
        <v>55</v>
      </c>
      <c r="AN51" s="98" t="s">
        <v>60</v>
      </c>
      <c r="AO51">
        <v>150000000</v>
      </c>
      <c r="AP51">
        <v>0</v>
      </c>
      <c r="AQ51">
        <v>0</v>
      </c>
      <c r="AS51" s="457">
        <v>45448</v>
      </c>
      <c r="AT51" s="98" t="s">
        <v>940</v>
      </c>
      <c r="AU51" s="98" t="s">
        <v>54</v>
      </c>
      <c r="AV51" s="98" t="s">
        <v>996</v>
      </c>
      <c r="AW51" s="98" t="s">
        <v>930</v>
      </c>
      <c r="AX51" s="98">
        <v>15</v>
      </c>
      <c r="AY51" s="98" t="s">
        <v>55</v>
      </c>
      <c r="AZ51" s="98">
        <v>0</v>
      </c>
      <c r="BA51" s="98">
        <v>127700000</v>
      </c>
      <c r="BB51" s="98" t="s">
        <v>29</v>
      </c>
      <c r="BC51" s="98" t="s">
        <v>52</v>
      </c>
      <c r="BD51" s="98" t="s">
        <v>55</v>
      </c>
      <c r="BE51" s="98" t="s">
        <v>998</v>
      </c>
      <c r="BF51">
        <v>37800000</v>
      </c>
    </row>
    <row r="52" spans="8:58" x14ac:dyDescent="0.3">
      <c r="H52" s="459">
        <v>45448</v>
      </c>
      <c r="I52" s="38" t="s">
        <v>930</v>
      </c>
      <c r="J52" s="38"/>
      <c r="K52" s="38"/>
      <c r="L52" s="38"/>
      <c r="M52" s="38"/>
      <c r="N52" s="38"/>
      <c r="O52" s="38" t="s">
        <v>58</v>
      </c>
      <c r="P52" s="38">
        <v>138</v>
      </c>
      <c r="S52" s="462">
        <v>45387</v>
      </c>
      <c r="T52" s="38"/>
      <c r="U52" s="38"/>
      <c r="V52" s="38"/>
      <c r="W52" s="463" t="s">
        <v>58</v>
      </c>
      <c r="X52" s="463" t="s">
        <v>59</v>
      </c>
      <c r="Y52" s="463" t="s">
        <v>53</v>
      </c>
      <c r="Z52" s="38">
        <v>34800000</v>
      </c>
      <c r="AA52" s="38">
        <v>116</v>
      </c>
      <c r="AC52" s="458">
        <v>45448</v>
      </c>
      <c r="AD52" t="s">
        <v>940</v>
      </c>
      <c r="AE52" t="s">
        <v>996</v>
      </c>
      <c r="AF52"/>
      <c r="AG52" t="s">
        <v>54</v>
      </c>
      <c r="AH52" t="s">
        <v>58</v>
      </c>
      <c r="AI52">
        <v>41400000</v>
      </c>
      <c r="AK52" s="98">
        <v>2024</v>
      </c>
      <c r="AL52" s="98">
        <v>11</v>
      </c>
      <c r="AM52" s="98" t="s">
        <v>54</v>
      </c>
      <c r="AN52" s="98" t="s">
        <v>55</v>
      </c>
      <c r="AO52">
        <v>300000000</v>
      </c>
      <c r="AP52">
        <v>324600000</v>
      </c>
      <c r="AQ52">
        <v>1.0820000000000001</v>
      </c>
      <c r="AS52" s="457">
        <v>45448</v>
      </c>
      <c r="AT52" s="98" t="s">
        <v>940</v>
      </c>
      <c r="AU52" s="98" t="s">
        <v>54</v>
      </c>
      <c r="AV52" s="98" t="s">
        <v>996</v>
      </c>
      <c r="AW52" s="98" t="s">
        <v>930</v>
      </c>
      <c r="AX52" s="98">
        <v>15</v>
      </c>
      <c r="AY52" s="98" t="s">
        <v>55</v>
      </c>
      <c r="AZ52"/>
      <c r="BA52"/>
      <c r="BB52" s="98" t="s">
        <v>58</v>
      </c>
      <c r="BC52" s="98" t="s">
        <v>59</v>
      </c>
      <c r="BD52" s="98" t="s">
        <v>55</v>
      </c>
      <c r="BE52" s="98" t="s">
        <v>998</v>
      </c>
      <c r="BF52">
        <v>41400000</v>
      </c>
    </row>
    <row r="53" spans="8:58" x14ac:dyDescent="0.3">
      <c r="H53" s="459">
        <v>45448</v>
      </c>
      <c r="I53" s="38" t="s">
        <v>930</v>
      </c>
      <c r="J53" s="38"/>
      <c r="K53" s="38"/>
      <c r="L53" s="38"/>
      <c r="M53" s="38"/>
      <c r="N53" s="38"/>
      <c r="O53" s="38" t="s">
        <v>62</v>
      </c>
      <c r="P53" s="38">
        <v>97</v>
      </c>
      <c r="S53" s="462">
        <v>45387</v>
      </c>
      <c r="T53" s="38"/>
      <c r="U53" s="38"/>
      <c r="V53" s="38"/>
      <c r="W53" s="463" t="s">
        <v>62</v>
      </c>
      <c r="X53" s="463" t="s">
        <v>63</v>
      </c>
      <c r="Y53" s="463" t="s">
        <v>53</v>
      </c>
      <c r="Z53" s="38">
        <v>46000000</v>
      </c>
      <c r="AA53" s="38">
        <v>92</v>
      </c>
      <c r="AC53" s="458">
        <v>45448</v>
      </c>
      <c r="AD53" t="s">
        <v>940</v>
      </c>
      <c r="AE53" t="s">
        <v>996</v>
      </c>
      <c r="AF53"/>
      <c r="AG53" t="s">
        <v>54</v>
      </c>
      <c r="AH53" t="s">
        <v>62</v>
      </c>
      <c r="AI53">
        <v>48500000</v>
      </c>
      <c r="AK53" s="98">
        <v>2024</v>
      </c>
      <c r="AL53" s="98">
        <v>11</v>
      </c>
      <c r="AM53" s="98" t="s">
        <v>65</v>
      </c>
      <c r="AN53" s="98" t="s">
        <v>55</v>
      </c>
      <c r="AO53">
        <v>150000000</v>
      </c>
      <c r="AP53">
        <v>167600000</v>
      </c>
      <c r="AQ53">
        <v>1.1173333333333333</v>
      </c>
      <c r="AS53" s="457">
        <v>45448</v>
      </c>
      <c r="AT53" s="98" t="s">
        <v>940</v>
      </c>
      <c r="AU53" s="98" t="s">
        <v>54</v>
      </c>
      <c r="AV53" s="98" t="s">
        <v>996</v>
      </c>
      <c r="AW53" s="98" t="s">
        <v>930</v>
      </c>
      <c r="AX53" s="98">
        <v>15</v>
      </c>
      <c r="AY53" s="98" t="s">
        <v>55</v>
      </c>
      <c r="AZ53"/>
      <c r="BA53"/>
      <c r="BB53" s="98" t="s">
        <v>62</v>
      </c>
      <c r="BC53" s="98" t="s">
        <v>63</v>
      </c>
      <c r="BD53" s="98" t="s">
        <v>55</v>
      </c>
      <c r="BE53" s="98" t="s">
        <v>998</v>
      </c>
      <c r="BF53">
        <v>48500000</v>
      </c>
    </row>
    <row r="54" spans="8:58" x14ac:dyDescent="0.3">
      <c r="H54" s="459">
        <v>45458</v>
      </c>
      <c r="I54" s="38" t="s">
        <v>932</v>
      </c>
      <c r="J54" s="38" t="s">
        <v>995</v>
      </c>
      <c r="K54" s="38" t="s">
        <v>989</v>
      </c>
      <c r="L54" s="38" t="s">
        <v>965</v>
      </c>
      <c r="M54" s="38">
        <v>7</v>
      </c>
      <c r="N54" s="38">
        <v>127500000</v>
      </c>
      <c r="O54" s="38" t="s">
        <v>29</v>
      </c>
      <c r="P54" s="38">
        <v>187</v>
      </c>
      <c r="S54" s="462">
        <v>45397</v>
      </c>
      <c r="T54" s="463" t="s">
        <v>996</v>
      </c>
      <c r="U54" s="463" t="s">
        <v>959</v>
      </c>
      <c r="V54" s="463" t="s">
        <v>988</v>
      </c>
      <c r="W54" s="463" t="s">
        <v>29</v>
      </c>
      <c r="X54" s="463" t="s">
        <v>52</v>
      </c>
      <c r="Y54" s="463" t="s">
        <v>53</v>
      </c>
      <c r="Z54" s="38">
        <v>33800000</v>
      </c>
      <c r="AA54" s="38">
        <v>169</v>
      </c>
      <c r="AC54" s="458">
        <v>45458</v>
      </c>
      <c r="AD54" t="s">
        <v>939</v>
      </c>
      <c r="AE54" t="s">
        <v>995</v>
      </c>
      <c r="AF54">
        <v>127500000</v>
      </c>
      <c r="AG54" t="s">
        <v>54</v>
      </c>
      <c r="AH54" t="s">
        <v>29</v>
      </c>
      <c r="AI54">
        <v>37400000</v>
      </c>
      <c r="AK54" s="98">
        <v>2024</v>
      </c>
      <c r="AL54" s="98">
        <v>12</v>
      </c>
      <c r="AM54" s="98" t="s">
        <v>55</v>
      </c>
      <c r="AN54" s="98" t="s">
        <v>56</v>
      </c>
      <c r="AO54">
        <v>150000000</v>
      </c>
      <c r="AP54">
        <v>162900000</v>
      </c>
      <c r="AQ54">
        <v>1.0860000000000001</v>
      </c>
      <c r="AS54" s="457">
        <v>45458</v>
      </c>
      <c r="AT54" s="98" t="s">
        <v>939</v>
      </c>
      <c r="AU54" s="98" t="s">
        <v>54</v>
      </c>
      <c r="AV54" s="98" t="s">
        <v>995</v>
      </c>
      <c r="AW54" s="98" t="s">
        <v>932</v>
      </c>
      <c r="AX54" s="98">
        <v>7</v>
      </c>
      <c r="AY54" s="98" t="s">
        <v>55</v>
      </c>
      <c r="AZ54" s="98">
        <v>0</v>
      </c>
      <c r="BA54" s="98">
        <v>127500000</v>
      </c>
      <c r="BB54" s="98" t="s">
        <v>29</v>
      </c>
      <c r="BC54" s="98" t="s">
        <v>52</v>
      </c>
      <c r="BD54" s="98" t="s">
        <v>55</v>
      </c>
      <c r="BE54" s="98" t="s">
        <v>998</v>
      </c>
      <c r="BF54">
        <v>37400000</v>
      </c>
    </row>
    <row r="55" spans="8:58" x14ac:dyDescent="0.3">
      <c r="H55" s="459">
        <v>45458</v>
      </c>
      <c r="I55" s="38" t="s">
        <v>932</v>
      </c>
      <c r="J55" s="38"/>
      <c r="K55" s="38"/>
      <c r="L55" s="38"/>
      <c r="M55" s="38"/>
      <c r="N55" s="38"/>
      <c r="O55" s="38" t="s">
        <v>58</v>
      </c>
      <c r="P55" s="38">
        <v>142</v>
      </c>
      <c r="S55" s="462">
        <v>45397</v>
      </c>
      <c r="T55" s="38"/>
      <c r="U55" s="38"/>
      <c r="V55" s="38"/>
      <c r="W55" s="463" t="s">
        <v>58</v>
      </c>
      <c r="X55" s="463" t="s">
        <v>59</v>
      </c>
      <c r="Y55" s="463" t="s">
        <v>53</v>
      </c>
      <c r="Z55" s="38">
        <v>36300000</v>
      </c>
      <c r="AA55" s="38">
        <v>121</v>
      </c>
      <c r="AC55" s="458">
        <v>45458</v>
      </c>
      <c r="AD55" t="s">
        <v>939</v>
      </c>
      <c r="AE55" t="s">
        <v>995</v>
      </c>
      <c r="AF55"/>
      <c r="AG55" t="s">
        <v>54</v>
      </c>
      <c r="AH55" t="s">
        <v>58</v>
      </c>
      <c r="AI55">
        <v>42600000</v>
      </c>
      <c r="AK55" s="98">
        <v>2024</v>
      </c>
      <c r="AL55" s="98">
        <v>12</v>
      </c>
      <c r="AM55" s="98" t="s">
        <v>55</v>
      </c>
      <c r="AN55" s="98" t="s">
        <v>60</v>
      </c>
      <c r="AO55">
        <v>150000000</v>
      </c>
      <c r="AP55">
        <v>0</v>
      </c>
      <c r="AQ55">
        <v>0</v>
      </c>
      <c r="AS55" s="457">
        <v>45458</v>
      </c>
      <c r="AT55" s="98" t="s">
        <v>939</v>
      </c>
      <c r="AU55" s="98" t="s">
        <v>54</v>
      </c>
      <c r="AV55" s="98" t="s">
        <v>995</v>
      </c>
      <c r="AW55" s="98" t="s">
        <v>932</v>
      </c>
      <c r="AX55" s="98">
        <v>7</v>
      </c>
      <c r="AY55" s="98" t="s">
        <v>55</v>
      </c>
      <c r="AZ55"/>
      <c r="BA55"/>
      <c r="BB55" s="98" t="s">
        <v>58</v>
      </c>
      <c r="BC55" s="98" t="s">
        <v>59</v>
      </c>
      <c r="BD55" s="98" t="s">
        <v>55</v>
      </c>
      <c r="BE55" s="98" t="s">
        <v>998</v>
      </c>
      <c r="BF55">
        <v>42600000</v>
      </c>
    </row>
    <row r="56" spans="8:58" x14ac:dyDescent="0.3">
      <c r="H56" s="459">
        <v>45458</v>
      </c>
      <c r="I56" s="38" t="s">
        <v>932</v>
      </c>
      <c r="J56" s="38"/>
      <c r="K56" s="38"/>
      <c r="L56" s="38"/>
      <c r="M56" s="38"/>
      <c r="N56" s="38"/>
      <c r="O56" s="38" t="s">
        <v>62</v>
      </c>
      <c r="P56" s="38">
        <v>95</v>
      </c>
      <c r="S56" s="462">
        <v>45397</v>
      </c>
      <c r="T56" s="38"/>
      <c r="U56" s="38"/>
      <c r="V56" s="38"/>
      <c r="W56" s="463" t="s">
        <v>62</v>
      </c>
      <c r="X56" s="463" t="s">
        <v>63</v>
      </c>
      <c r="Y56" s="463" t="s">
        <v>53</v>
      </c>
      <c r="Z56" s="38">
        <v>48500000</v>
      </c>
      <c r="AA56" s="38">
        <v>97</v>
      </c>
      <c r="AC56" s="458">
        <v>45458</v>
      </c>
      <c r="AD56" t="s">
        <v>939</v>
      </c>
      <c r="AE56" t="s">
        <v>995</v>
      </c>
      <c r="AF56"/>
      <c r="AG56" t="s">
        <v>54</v>
      </c>
      <c r="AH56" t="s">
        <v>62</v>
      </c>
      <c r="AI56">
        <v>47500000</v>
      </c>
      <c r="AK56" s="98">
        <v>2024</v>
      </c>
      <c r="AL56" s="98">
        <v>12</v>
      </c>
      <c r="AM56" s="98" t="s">
        <v>54</v>
      </c>
      <c r="AN56" s="98" t="s">
        <v>55</v>
      </c>
      <c r="AO56">
        <v>300000000</v>
      </c>
      <c r="AP56">
        <v>340900000</v>
      </c>
      <c r="AQ56">
        <v>1.1363333333333334</v>
      </c>
      <c r="AS56" s="457">
        <v>45458</v>
      </c>
      <c r="AT56" s="98" t="s">
        <v>939</v>
      </c>
      <c r="AU56" s="98" t="s">
        <v>54</v>
      </c>
      <c r="AV56" s="98" t="s">
        <v>995</v>
      </c>
      <c r="AW56" s="98" t="s">
        <v>932</v>
      </c>
      <c r="AX56" s="98">
        <v>7</v>
      </c>
      <c r="AY56" s="98" t="s">
        <v>55</v>
      </c>
      <c r="AZ56"/>
      <c r="BA56"/>
      <c r="BB56" s="98" t="s">
        <v>62</v>
      </c>
      <c r="BC56" s="98" t="s">
        <v>63</v>
      </c>
      <c r="BD56" s="98" t="s">
        <v>55</v>
      </c>
      <c r="BE56" s="98" t="s">
        <v>998</v>
      </c>
      <c r="BF56">
        <v>47500000</v>
      </c>
    </row>
    <row r="57" spans="8:58" x14ac:dyDescent="0.3">
      <c r="H57" s="459">
        <v>45468</v>
      </c>
      <c r="I57" s="38" t="s">
        <v>931</v>
      </c>
      <c r="J57" s="38" t="s">
        <v>996</v>
      </c>
      <c r="K57" s="38" t="s">
        <v>988</v>
      </c>
      <c r="L57" s="38" t="s">
        <v>966</v>
      </c>
      <c r="M57" s="38">
        <v>11</v>
      </c>
      <c r="N57" s="38">
        <v>129400000</v>
      </c>
      <c r="O57" s="38" t="s">
        <v>29</v>
      </c>
      <c r="P57" s="38">
        <v>196</v>
      </c>
      <c r="S57" s="462">
        <v>45407</v>
      </c>
      <c r="T57" s="463" t="s">
        <v>995</v>
      </c>
      <c r="U57" s="463" t="s">
        <v>960</v>
      </c>
      <c r="V57" s="463" t="s">
        <v>989</v>
      </c>
      <c r="W57" s="463" t="s">
        <v>29</v>
      </c>
      <c r="X57" s="463" t="s">
        <v>52</v>
      </c>
      <c r="Y57" s="463" t="s">
        <v>53</v>
      </c>
      <c r="Z57" s="38">
        <v>34200000</v>
      </c>
      <c r="AA57" s="38">
        <v>171</v>
      </c>
      <c r="AC57" s="458">
        <v>45468</v>
      </c>
      <c r="AD57" t="s">
        <v>939</v>
      </c>
      <c r="AE57" t="s">
        <v>996</v>
      </c>
      <c r="AF57">
        <v>129400000</v>
      </c>
      <c r="AG57" t="s">
        <v>54</v>
      </c>
      <c r="AH57" t="s">
        <v>29</v>
      </c>
      <c r="AI57">
        <v>39200000</v>
      </c>
      <c r="AK57" s="98">
        <v>2024</v>
      </c>
      <c r="AL57" s="98">
        <v>12</v>
      </c>
      <c r="AM57" s="98" t="s">
        <v>65</v>
      </c>
      <c r="AN57" s="98" t="s">
        <v>55</v>
      </c>
      <c r="AO57">
        <v>150000000</v>
      </c>
      <c r="AP57">
        <v>169900000</v>
      </c>
      <c r="AQ57">
        <v>1.1326666666666667</v>
      </c>
      <c r="AS57" s="457">
        <v>45468</v>
      </c>
      <c r="AT57" s="98" t="s">
        <v>939</v>
      </c>
      <c r="AU57" s="98" t="s">
        <v>54</v>
      </c>
      <c r="AV57" s="98" t="s">
        <v>996</v>
      </c>
      <c r="AW57" s="98" t="s">
        <v>931</v>
      </c>
      <c r="AX57" s="98">
        <v>11</v>
      </c>
      <c r="AY57" s="98" t="s">
        <v>55</v>
      </c>
      <c r="AZ57" s="98">
        <v>0</v>
      </c>
      <c r="BA57" s="98">
        <v>129400000</v>
      </c>
      <c r="BB57" s="98" t="s">
        <v>29</v>
      </c>
      <c r="BC57" s="98" t="s">
        <v>52</v>
      </c>
      <c r="BD57" s="98" t="s">
        <v>55</v>
      </c>
      <c r="BE57" s="98" t="s">
        <v>998</v>
      </c>
      <c r="BF57">
        <v>39200000</v>
      </c>
    </row>
    <row r="58" spans="8:58" x14ac:dyDescent="0.3">
      <c r="H58" s="459">
        <v>45468</v>
      </c>
      <c r="I58" s="38" t="s">
        <v>931</v>
      </c>
      <c r="J58" s="38"/>
      <c r="K58" s="38"/>
      <c r="L58" s="38"/>
      <c r="M58" s="38"/>
      <c r="N58" s="38"/>
      <c r="O58" s="38" t="s">
        <v>58</v>
      </c>
      <c r="P58" s="38">
        <v>139</v>
      </c>
      <c r="S58" s="462">
        <v>45407</v>
      </c>
      <c r="T58" s="38"/>
      <c r="U58" s="38"/>
      <c r="V58" s="38"/>
      <c r="W58" s="463" t="s">
        <v>58</v>
      </c>
      <c r="X58" s="463" t="s">
        <v>59</v>
      </c>
      <c r="Y58" s="463" t="s">
        <v>53</v>
      </c>
      <c r="Z58" s="38">
        <v>38100000</v>
      </c>
      <c r="AA58" s="38">
        <v>127</v>
      </c>
      <c r="AC58" s="458">
        <v>45468</v>
      </c>
      <c r="AD58" t="s">
        <v>939</v>
      </c>
      <c r="AE58" t="s">
        <v>996</v>
      </c>
      <c r="AF58"/>
      <c r="AG58" t="s">
        <v>54</v>
      </c>
      <c r="AH58" t="s">
        <v>58</v>
      </c>
      <c r="AI58">
        <v>41700000</v>
      </c>
      <c r="AS58" s="457">
        <v>45468</v>
      </c>
      <c r="AT58" s="98" t="s">
        <v>939</v>
      </c>
      <c r="AU58" s="98" t="s">
        <v>54</v>
      </c>
      <c r="AV58" s="98" t="s">
        <v>996</v>
      </c>
      <c r="AW58" s="98" t="s">
        <v>931</v>
      </c>
      <c r="AX58" s="98">
        <v>11</v>
      </c>
      <c r="AY58" s="98" t="s">
        <v>55</v>
      </c>
      <c r="AZ58"/>
      <c r="BA58"/>
      <c r="BB58" s="98" t="s">
        <v>58</v>
      </c>
      <c r="BC58" s="98" t="s">
        <v>59</v>
      </c>
      <c r="BD58" s="98" t="s">
        <v>55</v>
      </c>
      <c r="BE58" s="98" t="s">
        <v>998</v>
      </c>
      <c r="BF58">
        <v>41700000</v>
      </c>
    </row>
    <row r="59" spans="8:58" x14ac:dyDescent="0.3">
      <c r="H59" s="459">
        <v>45468</v>
      </c>
      <c r="I59" s="38" t="s">
        <v>931</v>
      </c>
      <c r="J59" s="38"/>
      <c r="K59" s="38"/>
      <c r="L59" s="38"/>
      <c r="M59" s="38"/>
      <c r="N59" s="38"/>
      <c r="O59" s="38" t="s">
        <v>62</v>
      </c>
      <c r="P59" s="38">
        <v>97</v>
      </c>
      <c r="S59" s="462">
        <v>45407</v>
      </c>
      <c r="T59" s="38"/>
      <c r="U59" s="38"/>
      <c r="V59" s="38"/>
      <c r="W59" s="463" t="s">
        <v>62</v>
      </c>
      <c r="X59" s="463" t="s">
        <v>63</v>
      </c>
      <c r="Y59" s="463" t="s">
        <v>53</v>
      </c>
      <c r="Z59" s="38">
        <v>49000000</v>
      </c>
      <c r="AA59" s="38">
        <v>98</v>
      </c>
      <c r="AC59" s="458">
        <v>45468</v>
      </c>
      <c r="AD59" t="s">
        <v>939</v>
      </c>
      <c r="AE59" t="s">
        <v>996</v>
      </c>
      <c r="AF59"/>
      <c r="AG59" t="s">
        <v>54</v>
      </c>
      <c r="AH59" t="s">
        <v>62</v>
      </c>
      <c r="AI59">
        <v>48500000</v>
      </c>
      <c r="AS59" s="457">
        <v>45468</v>
      </c>
      <c r="AT59" s="98" t="s">
        <v>939</v>
      </c>
      <c r="AU59" s="98" t="s">
        <v>54</v>
      </c>
      <c r="AV59" s="98" t="s">
        <v>996</v>
      </c>
      <c r="AW59" s="98" t="s">
        <v>931</v>
      </c>
      <c r="AX59" s="98">
        <v>11</v>
      </c>
      <c r="AY59" s="98" t="s">
        <v>55</v>
      </c>
      <c r="AZ59"/>
      <c r="BA59"/>
      <c r="BB59" s="98" t="s">
        <v>62</v>
      </c>
      <c r="BC59" s="98" t="s">
        <v>63</v>
      </c>
      <c r="BD59" s="98" t="s">
        <v>55</v>
      </c>
      <c r="BE59" s="98" t="s">
        <v>998</v>
      </c>
      <c r="BF59">
        <v>48500000</v>
      </c>
    </row>
    <row r="60" spans="8:58" x14ac:dyDescent="0.3">
      <c r="H60" s="459">
        <v>45478</v>
      </c>
      <c r="I60" s="38" t="s">
        <v>930</v>
      </c>
      <c r="J60" s="38" t="s">
        <v>996</v>
      </c>
      <c r="K60" s="38" t="s">
        <v>987</v>
      </c>
      <c r="L60" s="38" t="s">
        <v>967</v>
      </c>
      <c r="M60" s="38">
        <v>16</v>
      </c>
      <c r="N60" s="38">
        <v>130900000</v>
      </c>
      <c r="O60" s="38" t="s">
        <v>29</v>
      </c>
      <c r="P60" s="38">
        <v>198</v>
      </c>
      <c r="S60"/>
      <c r="T60"/>
      <c r="U60"/>
      <c r="V60"/>
      <c r="W60"/>
      <c r="X60"/>
      <c r="Y60"/>
      <c r="Z60"/>
      <c r="AA60"/>
      <c r="AC60" s="458">
        <v>45478</v>
      </c>
      <c r="AD60" t="s">
        <v>942</v>
      </c>
      <c r="AE60" t="s">
        <v>996</v>
      </c>
      <c r="AF60">
        <v>130900000</v>
      </c>
      <c r="AG60" t="s">
        <v>65</v>
      </c>
      <c r="AH60" t="s">
        <v>29</v>
      </c>
      <c r="AI60">
        <v>39600000</v>
      </c>
      <c r="AS60" s="457">
        <v>45478</v>
      </c>
      <c r="AT60" s="98" t="s">
        <v>942</v>
      </c>
      <c r="AU60" s="98" t="s">
        <v>65</v>
      </c>
      <c r="AV60" s="98" t="s">
        <v>996</v>
      </c>
      <c r="AW60" s="98" t="s">
        <v>930</v>
      </c>
      <c r="AX60" s="98">
        <v>16</v>
      </c>
      <c r="AY60" s="98" t="s">
        <v>55</v>
      </c>
      <c r="AZ60" s="98">
        <v>0</v>
      </c>
      <c r="BA60" s="98">
        <v>130900000</v>
      </c>
      <c r="BB60" s="98" t="s">
        <v>29</v>
      </c>
      <c r="BC60" s="98" t="s">
        <v>52</v>
      </c>
      <c r="BD60" s="98" t="s">
        <v>55</v>
      </c>
      <c r="BE60" s="98" t="s">
        <v>998</v>
      </c>
      <c r="BF60">
        <v>39600000</v>
      </c>
    </row>
    <row r="61" spans="8:58" x14ac:dyDescent="0.3">
      <c r="H61" s="459">
        <v>45478</v>
      </c>
      <c r="I61" s="38" t="s">
        <v>930</v>
      </c>
      <c r="J61" s="38"/>
      <c r="K61" s="38"/>
      <c r="L61" s="38"/>
      <c r="M61" s="38"/>
      <c r="N61" s="38"/>
      <c r="O61" s="38" t="s">
        <v>58</v>
      </c>
      <c r="P61" s="38">
        <v>136</v>
      </c>
      <c r="S61"/>
      <c r="T61"/>
      <c r="U61"/>
      <c r="V61"/>
      <c r="W61"/>
      <c r="X61"/>
      <c r="Y61"/>
      <c r="Z61"/>
      <c r="AA61"/>
      <c r="AC61" s="458">
        <v>45478</v>
      </c>
      <c r="AD61" t="s">
        <v>942</v>
      </c>
      <c r="AE61" t="s">
        <v>996</v>
      </c>
      <c r="AF61"/>
      <c r="AG61" t="s">
        <v>65</v>
      </c>
      <c r="AH61" t="s">
        <v>58</v>
      </c>
      <c r="AI61">
        <v>40800000</v>
      </c>
      <c r="AS61" s="457">
        <v>45478</v>
      </c>
      <c r="AT61" s="98" t="s">
        <v>942</v>
      </c>
      <c r="AU61" s="98" t="s">
        <v>65</v>
      </c>
      <c r="AV61" s="98" t="s">
        <v>996</v>
      </c>
      <c r="AW61" s="98" t="s">
        <v>930</v>
      </c>
      <c r="AX61" s="98">
        <v>16</v>
      </c>
      <c r="AY61" s="98" t="s">
        <v>55</v>
      </c>
      <c r="AZ61"/>
      <c r="BA61"/>
      <c r="BB61" s="98" t="s">
        <v>58</v>
      </c>
      <c r="BC61" s="98" t="s">
        <v>59</v>
      </c>
      <c r="BD61" s="98" t="s">
        <v>55</v>
      </c>
      <c r="BE61" s="98" t="s">
        <v>998</v>
      </c>
      <c r="BF61">
        <v>40800000</v>
      </c>
    </row>
    <row r="62" spans="8:58" x14ac:dyDescent="0.3">
      <c r="H62" s="459">
        <v>45478</v>
      </c>
      <c r="I62" s="38" t="s">
        <v>930</v>
      </c>
      <c r="J62" s="38"/>
      <c r="K62" s="38"/>
      <c r="L62" s="38"/>
      <c r="M62" s="38"/>
      <c r="N62" s="38"/>
      <c r="O62" s="38" t="s">
        <v>62</v>
      </c>
      <c r="P62" s="38">
        <v>101</v>
      </c>
      <c r="S62"/>
      <c r="T62"/>
      <c r="U62"/>
      <c r="V62"/>
      <c r="W62"/>
      <c r="X62"/>
      <c r="Y62"/>
      <c r="Z62"/>
      <c r="AA62"/>
      <c r="AC62" s="458">
        <v>45478</v>
      </c>
      <c r="AD62" t="s">
        <v>942</v>
      </c>
      <c r="AE62" t="s">
        <v>996</v>
      </c>
      <c r="AF62"/>
      <c r="AG62" t="s">
        <v>65</v>
      </c>
      <c r="AH62" t="s">
        <v>62</v>
      </c>
      <c r="AI62">
        <v>50500000</v>
      </c>
      <c r="AS62" s="457">
        <v>45478</v>
      </c>
      <c r="AT62" s="98" t="s">
        <v>942</v>
      </c>
      <c r="AU62" s="98" t="s">
        <v>65</v>
      </c>
      <c r="AV62" s="98" t="s">
        <v>996</v>
      </c>
      <c r="AW62" s="98" t="s">
        <v>930</v>
      </c>
      <c r="AX62" s="98">
        <v>16</v>
      </c>
      <c r="AY62" s="98" t="s">
        <v>55</v>
      </c>
      <c r="AZ62"/>
      <c r="BA62"/>
      <c r="BB62" s="98" t="s">
        <v>62</v>
      </c>
      <c r="BC62" s="98" t="s">
        <v>63</v>
      </c>
      <c r="BD62" s="98" t="s">
        <v>55</v>
      </c>
      <c r="BE62" s="98" t="s">
        <v>998</v>
      </c>
      <c r="BF62">
        <v>50500000</v>
      </c>
    </row>
    <row r="63" spans="8:58" x14ac:dyDescent="0.3">
      <c r="H63" s="459">
        <v>45488</v>
      </c>
      <c r="I63" s="38" t="s">
        <v>929</v>
      </c>
      <c r="J63" s="38" t="s">
        <v>995</v>
      </c>
      <c r="K63" s="38" t="s">
        <v>986</v>
      </c>
      <c r="L63" s="38" t="s">
        <v>968</v>
      </c>
      <c r="M63" s="38">
        <v>13</v>
      </c>
      <c r="N63" s="38">
        <v>131700000</v>
      </c>
      <c r="O63" s="38" t="s">
        <v>29</v>
      </c>
      <c r="P63" s="38">
        <v>202</v>
      </c>
      <c r="S63"/>
      <c r="T63"/>
      <c r="U63"/>
      <c r="V63"/>
      <c r="W63"/>
      <c r="X63"/>
      <c r="Y63"/>
      <c r="Z63"/>
      <c r="AA63"/>
      <c r="AC63" s="458">
        <v>45488</v>
      </c>
      <c r="AD63" t="s">
        <v>56</v>
      </c>
      <c r="AE63" t="s">
        <v>995</v>
      </c>
      <c r="AF63">
        <v>131700000</v>
      </c>
      <c r="AG63" t="s">
        <v>54</v>
      </c>
      <c r="AH63" t="s">
        <v>29</v>
      </c>
      <c r="AI63">
        <v>40400000</v>
      </c>
      <c r="AS63" s="457">
        <v>45488</v>
      </c>
      <c r="AT63" s="98" t="s">
        <v>56</v>
      </c>
      <c r="AU63" s="98" t="s">
        <v>54</v>
      </c>
      <c r="AV63" s="98" t="s">
        <v>995</v>
      </c>
      <c r="AW63" s="98" t="s">
        <v>929</v>
      </c>
      <c r="AX63" s="98">
        <v>13</v>
      </c>
      <c r="AY63" s="98" t="s">
        <v>55</v>
      </c>
      <c r="AZ63" s="98">
        <v>0</v>
      </c>
      <c r="BA63" s="98">
        <v>131700000</v>
      </c>
      <c r="BB63" s="98" t="s">
        <v>29</v>
      </c>
      <c r="BC63" s="98" t="s">
        <v>52</v>
      </c>
      <c r="BD63" s="98" t="s">
        <v>55</v>
      </c>
      <c r="BE63" s="98" t="s">
        <v>998</v>
      </c>
      <c r="BF63">
        <v>40400000</v>
      </c>
    </row>
    <row r="64" spans="8:58" x14ac:dyDescent="0.3">
      <c r="H64" s="459">
        <v>45488</v>
      </c>
      <c r="I64" s="38" t="s">
        <v>929</v>
      </c>
      <c r="J64" s="38"/>
      <c r="K64" s="38"/>
      <c r="L64" s="38"/>
      <c r="M64" s="38"/>
      <c r="N64" s="38"/>
      <c r="O64" s="38" t="s">
        <v>58</v>
      </c>
      <c r="P64" s="38">
        <v>136</v>
      </c>
      <c r="S64"/>
      <c r="T64"/>
      <c r="U64"/>
      <c r="V64"/>
      <c r="W64"/>
      <c r="X64"/>
      <c r="Y64"/>
      <c r="Z64"/>
      <c r="AA64"/>
      <c r="AC64" s="458">
        <v>45488</v>
      </c>
      <c r="AD64" t="s">
        <v>56</v>
      </c>
      <c r="AE64" t="s">
        <v>995</v>
      </c>
      <c r="AF64"/>
      <c r="AG64" t="s">
        <v>54</v>
      </c>
      <c r="AH64" t="s">
        <v>58</v>
      </c>
      <c r="AI64">
        <v>40800000</v>
      </c>
      <c r="AS64" s="457">
        <v>45488</v>
      </c>
      <c r="AT64" s="98" t="s">
        <v>56</v>
      </c>
      <c r="AU64" s="98" t="s">
        <v>54</v>
      </c>
      <c r="AV64" s="98" t="s">
        <v>995</v>
      </c>
      <c r="AW64" s="98" t="s">
        <v>929</v>
      </c>
      <c r="AX64" s="98">
        <v>13</v>
      </c>
      <c r="AY64" s="98" t="s">
        <v>55</v>
      </c>
      <c r="AZ64"/>
      <c r="BA64"/>
      <c r="BB64" s="98" t="s">
        <v>58</v>
      </c>
      <c r="BC64" s="98" t="s">
        <v>59</v>
      </c>
      <c r="BD64" s="98" t="s">
        <v>55</v>
      </c>
      <c r="BE64" s="98" t="s">
        <v>998</v>
      </c>
      <c r="BF64">
        <v>40800000</v>
      </c>
    </row>
    <row r="65" spans="8:58" x14ac:dyDescent="0.3">
      <c r="H65" s="459">
        <v>45488</v>
      </c>
      <c r="I65" s="38" t="s">
        <v>929</v>
      </c>
      <c r="J65" s="38"/>
      <c r="K65" s="38"/>
      <c r="L65" s="38"/>
      <c r="M65" s="38"/>
      <c r="N65" s="38"/>
      <c r="O65" s="38" t="s">
        <v>62</v>
      </c>
      <c r="P65" s="38">
        <v>101</v>
      </c>
      <c r="S65"/>
      <c r="T65"/>
      <c r="U65"/>
      <c r="V65"/>
      <c r="W65"/>
      <c r="X65"/>
      <c r="Y65"/>
      <c r="Z65"/>
      <c r="AA65"/>
      <c r="AC65" s="458">
        <v>45488</v>
      </c>
      <c r="AD65" t="s">
        <v>56</v>
      </c>
      <c r="AE65" t="s">
        <v>995</v>
      </c>
      <c r="AF65"/>
      <c r="AG65" t="s">
        <v>54</v>
      </c>
      <c r="AH65" t="s">
        <v>62</v>
      </c>
      <c r="AI65">
        <v>50500000</v>
      </c>
      <c r="AS65" s="457">
        <v>45488</v>
      </c>
      <c r="AT65" s="98" t="s">
        <v>56</v>
      </c>
      <c r="AU65" s="98" t="s">
        <v>54</v>
      </c>
      <c r="AV65" s="98" t="s">
        <v>995</v>
      </c>
      <c r="AW65" s="98" t="s">
        <v>929</v>
      </c>
      <c r="AX65" s="98">
        <v>13</v>
      </c>
      <c r="AY65" s="98" t="s">
        <v>55</v>
      </c>
      <c r="AZ65"/>
      <c r="BA65"/>
      <c r="BB65" s="98" t="s">
        <v>62</v>
      </c>
      <c r="BC65" s="98" t="s">
        <v>63</v>
      </c>
      <c r="BD65" s="98" t="s">
        <v>55</v>
      </c>
      <c r="BE65" s="98" t="s">
        <v>998</v>
      </c>
      <c r="BF65">
        <v>50500000</v>
      </c>
    </row>
    <row r="66" spans="8:58" x14ac:dyDescent="0.3">
      <c r="H66" s="459">
        <v>45498</v>
      </c>
      <c r="I66" s="38" t="s">
        <v>932</v>
      </c>
      <c r="J66" s="38" t="s">
        <v>995</v>
      </c>
      <c r="K66" s="38" t="s">
        <v>989</v>
      </c>
      <c r="L66" s="38" t="s">
        <v>969</v>
      </c>
      <c r="M66" s="38">
        <v>8</v>
      </c>
      <c r="N66" s="38">
        <v>134300000</v>
      </c>
      <c r="O66" s="38" t="s">
        <v>29</v>
      </c>
      <c r="P66" s="38">
        <v>212</v>
      </c>
      <c r="S66"/>
      <c r="T66"/>
      <c r="U66"/>
      <c r="V66"/>
      <c r="W66"/>
      <c r="X66"/>
      <c r="Y66"/>
      <c r="Z66"/>
      <c r="AA66"/>
      <c r="AC66" s="458">
        <v>45498</v>
      </c>
      <c r="AD66" t="s">
        <v>940</v>
      </c>
      <c r="AE66" t="s">
        <v>995</v>
      </c>
      <c r="AF66">
        <v>134300000</v>
      </c>
      <c r="AG66" t="s">
        <v>54</v>
      </c>
      <c r="AH66" t="s">
        <v>29</v>
      </c>
      <c r="AI66">
        <v>42400000</v>
      </c>
      <c r="AS66" s="457">
        <v>45498</v>
      </c>
      <c r="AT66" s="98" t="s">
        <v>940</v>
      </c>
      <c r="AU66" s="98" t="s">
        <v>54</v>
      </c>
      <c r="AV66" s="98" t="s">
        <v>995</v>
      </c>
      <c r="AW66" s="98" t="s">
        <v>932</v>
      </c>
      <c r="AX66" s="98">
        <v>8</v>
      </c>
      <c r="AY66" s="98" t="s">
        <v>55</v>
      </c>
      <c r="AZ66" s="98">
        <v>0</v>
      </c>
      <c r="BA66" s="98">
        <v>134300000</v>
      </c>
      <c r="BB66" s="98" t="s">
        <v>29</v>
      </c>
      <c r="BC66" s="98" t="s">
        <v>52</v>
      </c>
      <c r="BD66" s="98" t="s">
        <v>55</v>
      </c>
      <c r="BE66" s="98" t="s">
        <v>998</v>
      </c>
      <c r="BF66">
        <v>42400000</v>
      </c>
    </row>
    <row r="67" spans="8:58" x14ac:dyDescent="0.3">
      <c r="H67" s="459">
        <v>45498</v>
      </c>
      <c r="I67" s="38" t="s">
        <v>932</v>
      </c>
      <c r="J67" s="38"/>
      <c r="K67" s="38"/>
      <c r="L67" s="38"/>
      <c r="M67" s="38"/>
      <c r="N67" s="38"/>
      <c r="O67" s="38" t="s">
        <v>58</v>
      </c>
      <c r="P67" s="38">
        <v>133</v>
      </c>
      <c r="S67"/>
      <c r="T67"/>
      <c r="U67"/>
      <c r="V67"/>
      <c r="W67"/>
      <c r="X67"/>
      <c r="Y67"/>
      <c r="Z67"/>
      <c r="AA67"/>
      <c r="AC67" s="458">
        <v>45498</v>
      </c>
      <c r="AD67" t="s">
        <v>940</v>
      </c>
      <c r="AE67" t="s">
        <v>995</v>
      </c>
      <c r="AF67"/>
      <c r="AG67" t="s">
        <v>54</v>
      </c>
      <c r="AH67" t="s">
        <v>58</v>
      </c>
      <c r="AI67">
        <v>39900000</v>
      </c>
      <c r="AS67" s="457">
        <v>45498</v>
      </c>
      <c r="AT67" s="98" t="s">
        <v>940</v>
      </c>
      <c r="AU67" s="98" t="s">
        <v>54</v>
      </c>
      <c r="AV67" s="98" t="s">
        <v>995</v>
      </c>
      <c r="AW67" s="98" t="s">
        <v>932</v>
      </c>
      <c r="AX67" s="98">
        <v>8</v>
      </c>
      <c r="AY67" s="98" t="s">
        <v>55</v>
      </c>
      <c r="AZ67"/>
      <c r="BA67"/>
      <c r="BB67" s="98" t="s">
        <v>58</v>
      </c>
      <c r="BC67" s="98" t="s">
        <v>59</v>
      </c>
      <c r="BD67" s="98" t="s">
        <v>55</v>
      </c>
      <c r="BE67" s="98" t="s">
        <v>998</v>
      </c>
      <c r="BF67">
        <v>39900000</v>
      </c>
    </row>
    <row r="68" spans="8:58" x14ac:dyDescent="0.3">
      <c r="H68" s="459">
        <v>45498</v>
      </c>
      <c r="I68" s="38" t="s">
        <v>932</v>
      </c>
      <c r="J68" s="38"/>
      <c r="K68" s="38"/>
      <c r="L68" s="38"/>
      <c r="M68" s="38"/>
      <c r="N68" s="38"/>
      <c r="O68" s="38" t="s">
        <v>62</v>
      </c>
      <c r="P68" s="38">
        <v>104</v>
      </c>
      <c r="S68"/>
      <c r="T68"/>
      <c r="U68"/>
      <c r="V68"/>
      <c r="W68"/>
      <c r="X68"/>
      <c r="Y68"/>
      <c r="Z68"/>
      <c r="AA68"/>
      <c r="AC68" s="458">
        <v>45498</v>
      </c>
      <c r="AD68" t="s">
        <v>940</v>
      </c>
      <c r="AE68" t="s">
        <v>995</v>
      </c>
      <c r="AF68"/>
      <c r="AG68" t="s">
        <v>54</v>
      </c>
      <c r="AH68" t="s">
        <v>62</v>
      </c>
      <c r="AI68">
        <v>52000000</v>
      </c>
      <c r="AS68" s="457">
        <v>45498</v>
      </c>
      <c r="AT68" s="98" t="s">
        <v>940</v>
      </c>
      <c r="AU68" s="98" t="s">
        <v>54</v>
      </c>
      <c r="AV68" s="98" t="s">
        <v>995</v>
      </c>
      <c r="AW68" s="98" t="s">
        <v>932</v>
      </c>
      <c r="AX68" s="98">
        <v>8</v>
      </c>
      <c r="AY68" s="98" t="s">
        <v>55</v>
      </c>
      <c r="AZ68"/>
      <c r="BA68"/>
      <c r="BB68" s="98" t="s">
        <v>62</v>
      </c>
      <c r="BC68" s="98" t="s">
        <v>63</v>
      </c>
      <c r="BD68" s="98" t="s">
        <v>55</v>
      </c>
      <c r="BE68" s="98" t="s">
        <v>998</v>
      </c>
      <c r="BF68">
        <v>52000000</v>
      </c>
    </row>
    <row r="69" spans="8:58" x14ac:dyDescent="0.3">
      <c r="H69" s="459">
        <v>45509</v>
      </c>
      <c r="I69" s="38" t="s">
        <v>933</v>
      </c>
      <c r="J69" s="38" t="s">
        <v>996</v>
      </c>
      <c r="K69" s="38" t="s">
        <v>990</v>
      </c>
      <c r="L69" s="38" t="s">
        <v>970</v>
      </c>
      <c r="M69" s="38">
        <v>6</v>
      </c>
      <c r="N69" s="38">
        <v>136900000</v>
      </c>
      <c r="O69" s="38" t="s">
        <v>29</v>
      </c>
      <c r="P69" s="38">
        <v>223</v>
      </c>
      <c r="S69"/>
      <c r="T69"/>
      <c r="U69"/>
      <c r="V69"/>
      <c r="W69"/>
      <c r="X69"/>
      <c r="Y69"/>
      <c r="Z69"/>
      <c r="AA69"/>
      <c r="AC69" s="458">
        <v>45509</v>
      </c>
      <c r="AD69" t="s">
        <v>939</v>
      </c>
      <c r="AE69" t="s">
        <v>996</v>
      </c>
      <c r="AF69">
        <v>136900000</v>
      </c>
      <c r="AG69" t="s">
        <v>54</v>
      </c>
      <c r="AH69" t="s">
        <v>29</v>
      </c>
      <c r="AI69">
        <v>44600000</v>
      </c>
      <c r="AS69" s="457">
        <v>45509</v>
      </c>
      <c r="AT69" s="98" t="s">
        <v>939</v>
      </c>
      <c r="AU69" s="98" t="s">
        <v>54</v>
      </c>
      <c r="AV69" s="98" t="s">
        <v>996</v>
      </c>
      <c r="AW69" s="98" t="s">
        <v>933</v>
      </c>
      <c r="AX69" s="98">
        <v>6</v>
      </c>
      <c r="AY69" s="98" t="s">
        <v>55</v>
      </c>
      <c r="AZ69" s="98">
        <v>0</v>
      </c>
      <c r="BA69" s="98">
        <v>136900000</v>
      </c>
      <c r="BB69" s="98" t="s">
        <v>29</v>
      </c>
      <c r="BC69" s="98" t="s">
        <v>52</v>
      </c>
      <c r="BD69" s="98" t="s">
        <v>55</v>
      </c>
      <c r="BE69" s="98" t="s">
        <v>998</v>
      </c>
      <c r="BF69">
        <v>44600000</v>
      </c>
    </row>
    <row r="70" spans="8:58" x14ac:dyDescent="0.3">
      <c r="H70" s="459">
        <v>45509</v>
      </c>
      <c r="I70" s="38" t="s">
        <v>933</v>
      </c>
      <c r="J70" s="38"/>
      <c r="K70" s="38"/>
      <c r="L70" s="38"/>
      <c r="M70" s="38"/>
      <c r="N70" s="38"/>
      <c r="O70" s="38" t="s">
        <v>58</v>
      </c>
      <c r="P70" s="38">
        <v>136</v>
      </c>
      <c r="S70"/>
      <c r="T70"/>
      <c r="U70"/>
      <c r="V70"/>
      <c r="W70"/>
      <c r="X70"/>
      <c r="Y70"/>
      <c r="Z70"/>
      <c r="AA70"/>
      <c r="AC70" s="458">
        <v>45509</v>
      </c>
      <c r="AD70" t="s">
        <v>939</v>
      </c>
      <c r="AE70" t="s">
        <v>996</v>
      </c>
      <c r="AF70"/>
      <c r="AG70" t="s">
        <v>54</v>
      </c>
      <c r="AH70" t="s">
        <v>58</v>
      </c>
      <c r="AI70">
        <v>40800000</v>
      </c>
      <c r="AS70" s="457">
        <v>45509</v>
      </c>
      <c r="AT70" s="98" t="s">
        <v>939</v>
      </c>
      <c r="AU70" s="98" t="s">
        <v>54</v>
      </c>
      <c r="AV70" s="98" t="s">
        <v>996</v>
      </c>
      <c r="AW70" s="98" t="s">
        <v>933</v>
      </c>
      <c r="AX70" s="98">
        <v>6</v>
      </c>
      <c r="AY70" s="98" t="s">
        <v>55</v>
      </c>
      <c r="AZ70"/>
      <c r="BA70"/>
      <c r="BB70" s="98" t="s">
        <v>58</v>
      </c>
      <c r="BC70" s="98" t="s">
        <v>59</v>
      </c>
      <c r="BD70" s="98" t="s">
        <v>55</v>
      </c>
      <c r="BE70" s="98" t="s">
        <v>998</v>
      </c>
      <c r="BF70">
        <v>40800000</v>
      </c>
    </row>
    <row r="71" spans="8:58" x14ac:dyDescent="0.3">
      <c r="H71" s="459">
        <v>45509</v>
      </c>
      <c r="I71" s="38" t="s">
        <v>933</v>
      </c>
      <c r="J71" s="38"/>
      <c r="K71" s="38"/>
      <c r="L71" s="38"/>
      <c r="M71" s="38"/>
      <c r="N71" s="38"/>
      <c r="O71" s="38" t="s">
        <v>62</v>
      </c>
      <c r="P71" s="38">
        <v>103</v>
      </c>
      <c r="S71"/>
      <c r="T71"/>
      <c r="U71"/>
      <c r="V71"/>
      <c r="W71"/>
      <c r="X71"/>
      <c r="Y71"/>
      <c r="Z71"/>
      <c r="AA71"/>
      <c r="AC71" s="458">
        <v>45509</v>
      </c>
      <c r="AD71" t="s">
        <v>939</v>
      </c>
      <c r="AE71" t="s">
        <v>996</v>
      </c>
      <c r="AF71"/>
      <c r="AG71" t="s">
        <v>54</v>
      </c>
      <c r="AH71" t="s">
        <v>62</v>
      </c>
      <c r="AI71">
        <v>51500000</v>
      </c>
      <c r="AS71" s="457">
        <v>45509</v>
      </c>
      <c r="AT71" s="98" t="s">
        <v>939</v>
      </c>
      <c r="AU71" s="98" t="s">
        <v>54</v>
      </c>
      <c r="AV71" s="98" t="s">
        <v>996</v>
      </c>
      <c r="AW71" s="98" t="s">
        <v>933</v>
      </c>
      <c r="AX71" s="98">
        <v>6</v>
      </c>
      <c r="AY71" s="98" t="s">
        <v>55</v>
      </c>
      <c r="AZ71"/>
      <c r="BA71"/>
      <c r="BB71" s="98" t="s">
        <v>62</v>
      </c>
      <c r="BC71" s="98" t="s">
        <v>63</v>
      </c>
      <c r="BD71" s="98" t="s">
        <v>55</v>
      </c>
      <c r="BE71" s="98" t="s">
        <v>998</v>
      </c>
      <c r="BF71">
        <v>51500000</v>
      </c>
    </row>
    <row r="72" spans="8:58" x14ac:dyDescent="0.3">
      <c r="H72" s="459">
        <v>45519</v>
      </c>
      <c r="I72" s="38" t="s">
        <v>930</v>
      </c>
      <c r="J72" s="38" t="s">
        <v>996</v>
      </c>
      <c r="K72" s="38" t="s">
        <v>987</v>
      </c>
      <c r="L72" s="38" t="s">
        <v>971</v>
      </c>
      <c r="M72" s="38">
        <v>17</v>
      </c>
      <c r="N72" s="38">
        <v>140200000</v>
      </c>
      <c r="O72" s="38" t="s">
        <v>29</v>
      </c>
      <c r="P72" s="38">
        <v>234</v>
      </c>
      <c r="S72"/>
      <c r="T72"/>
      <c r="U72"/>
      <c r="V72"/>
      <c r="W72"/>
      <c r="X72"/>
      <c r="Y72"/>
      <c r="Z72"/>
      <c r="AA72"/>
      <c r="AC72" s="458">
        <v>45519</v>
      </c>
      <c r="AD72" t="s">
        <v>941</v>
      </c>
      <c r="AE72" t="s">
        <v>996</v>
      </c>
      <c r="AF72">
        <v>140200000</v>
      </c>
      <c r="AG72" t="s">
        <v>65</v>
      </c>
      <c r="AH72" t="s">
        <v>29</v>
      </c>
      <c r="AI72">
        <v>46800000</v>
      </c>
      <c r="AS72" s="457">
        <v>45519</v>
      </c>
      <c r="AT72" s="98" t="s">
        <v>941</v>
      </c>
      <c r="AU72" s="98" t="s">
        <v>65</v>
      </c>
      <c r="AV72" s="98" t="s">
        <v>996</v>
      </c>
      <c r="AW72" s="98" t="s">
        <v>930</v>
      </c>
      <c r="AX72" s="98">
        <v>17</v>
      </c>
      <c r="AY72" s="98" t="s">
        <v>55</v>
      </c>
      <c r="AZ72" s="98">
        <v>0</v>
      </c>
      <c r="BA72" s="98">
        <v>140200000</v>
      </c>
      <c r="BB72" s="98" t="s">
        <v>29</v>
      </c>
      <c r="BC72" s="98" t="s">
        <v>52</v>
      </c>
      <c r="BD72" s="98" t="s">
        <v>55</v>
      </c>
      <c r="BE72" s="98" t="s">
        <v>998</v>
      </c>
      <c r="BF72">
        <v>46800000</v>
      </c>
    </row>
    <row r="73" spans="8:58" x14ac:dyDescent="0.3">
      <c r="H73" s="459">
        <v>45519</v>
      </c>
      <c r="I73" s="38" t="s">
        <v>930</v>
      </c>
      <c r="J73" s="38"/>
      <c r="K73" s="38"/>
      <c r="L73" s="38"/>
      <c r="M73" s="38"/>
      <c r="N73" s="38"/>
      <c r="O73" s="38" t="s">
        <v>58</v>
      </c>
      <c r="P73" s="38">
        <v>133</v>
      </c>
      <c r="S73"/>
      <c r="T73"/>
      <c r="U73"/>
      <c r="V73"/>
      <c r="W73"/>
      <c r="X73"/>
      <c r="Y73"/>
      <c r="Z73"/>
      <c r="AA73"/>
      <c r="AC73" s="458">
        <v>45519</v>
      </c>
      <c r="AD73" t="s">
        <v>941</v>
      </c>
      <c r="AE73" t="s">
        <v>996</v>
      </c>
      <c r="AF73"/>
      <c r="AG73" t="s">
        <v>65</v>
      </c>
      <c r="AH73" t="s">
        <v>58</v>
      </c>
      <c r="AI73">
        <v>39900000</v>
      </c>
      <c r="AS73" s="457">
        <v>45519</v>
      </c>
      <c r="AT73" s="98" t="s">
        <v>941</v>
      </c>
      <c r="AU73" s="98" t="s">
        <v>65</v>
      </c>
      <c r="AV73" s="98" t="s">
        <v>996</v>
      </c>
      <c r="AW73" s="98" t="s">
        <v>930</v>
      </c>
      <c r="AX73" s="98">
        <v>17</v>
      </c>
      <c r="AY73" s="98" t="s">
        <v>55</v>
      </c>
      <c r="AZ73"/>
      <c r="BA73"/>
      <c r="BB73" s="98" t="s">
        <v>58</v>
      </c>
      <c r="BC73" s="98" t="s">
        <v>59</v>
      </c>
      <c r="BD73" s="98" t="s">
        <v>55</v>
      </c>
      <c r="BE73" s="98" t="s">
        <v>998</v>
      </c>
      <c r="BF73">
        <v>39900000</v>
      </c>
    </row>
    <row r="74" spans="8:58" x14ac:dyDescent="0.3">
      <c r="H74" s="459">
        <v>45519</v>
      </c>
      <c r="I74" s="38" t="s">
        <v>930</v>
      </c>
      <c r="J74" s="38"/>
      <c r="K74" s="38"/>
      <c r="L74" s="38"/>
      <c r="M74" s="38"/>
      <c r="N74" s="38"/>
      <c r="O74" s="38" t="s">
        <v>62</v>
      </c>
      <c r="P74" s="38">
        <v>107</v>
      </c>
      <c r="S74"/>
      <c r="T74"/>
      <c r="U74"/>
      <c r="V74"/>
      <c r="W74"/>
      <c r="X74"/>
      <c r="Y74"/>
      <c r="Z74"/>
      <c r="AA74"/>
      <c r="AC74" s="458">
        <v>45519</v>
      </c>
      <c r="AD74" t="s">
        <v>941</v>
      </c>
      <c r="AE74" t="s">
        <v>996</v>
      </c>
      <c r="AF74"/>
      <c r="AG74" t="s">
        <v>65</v>
      </c>
      <c r="AH74" t="s">
        <v>62</v>
      </c>
      <c r="AI74">
        <v>53500000</v>
      </c>
      <c r="AS74" s="457">
        <v>45519</v>
      </c>
      <c r="AT74" s="98" t="s">
        <v>941</v>
      </c>
      <c r="AU74" s="98" t="s">
        <v>65</v>
      </c>
      <c r="AV74" s="98" t="s">
        <v>996</v>
      </c>
      <c r="AW74" s="98" t="s">
        <v>930</v>
      </c>
      <c r="AX74" s="98">
        <v>17</v>
      </c>
      <c r="AY74" s="98" t="s">
        <v>55</v>
      </c>
      <c r="AZ74"/>
      <c r="BA74"/>
      <c r="BB74" s="98" t="s">
        <v>62</v>
      </c>
      <c r="BC74" s="98" t="s">
        <v>63</v>
      </c>
      <c r="BD74" s="98" t="s">
        <v>55</v>
      </c>
      <c r="BE74" s="98" t="s">
        <v>998</v>
      </c>
      <c r="BF74">
        <v>53500000</v>
      </c>
    </row>
    <row r="75" spans="8:58" x14ac:dyDescent="0.3">
      <c r="H75" s="459">
        <v>45529</v>
      </c>
      <c r="I75" s="38" t="s">
        <v>929</v>
      </c>
      <c r="J75" s="38" t="s">
        <v>995</v>
      </c>
      <c r="K75" s="38" t="s">
        <v>986</v>
      </c>
      <c r="L75" s="38" t="s">
        <v>972</v>
      </c>
      <c r="M75" s="38">
        <v>14</v>
      </c>
      <c r="N75" s="38">
        <v>143900000</v>
      </c>
      <c r="O75" s="38" t="s">
        <v>29</v>
      </c>
      <c r="P75" s="38">
        <v>239</v>
      </c>
      <c r="S75"/>
      <c r="T75"/>
      <c r="U75"/>
      <c r="V75"/>
      <c r="W75"/>
      <c r="X75"/>
      <c r="Y75"/>
      <c r="Z75"/>
      <c r="AA75"/>
      <c r="AC75" s="458">
        <v>45529</v>
      </c>
      <c r="AD75" t="s">
        <v>939</v>
      </c>
      <c r="AE75" t="s">
        <v>995</v>
      </c>
      <c r="AF75">
        <v>143900000</v>
      </c>
      <c r="AG75" t="s">
        <v>54</v>
      </c>
      <c r="AH75" t="s">
        <v>29</v>
      </c>
      <c r="AI75">
        <v>47800000</v>
      </c>
      <c r="AS75" s="457">
        <v>45529</v>
      </c>
      <c r="AT75" s="98" t="s">
        <v>939</v>
      </c>
      <c r="AU75" s="98" t="s">
        <v>54</v>
      </c>
      <c r="AV75" s="98" t="s">
        <v>995</v>
      </c>
      <c r="AW75" s="98" t="s">
        <v>929</v>
      </c>
      <c r="AX75" s="98">
        <v>14</v>
      </c>
      <c r="AY75" s="98" t="s">
        <v>55</v>
      </c>
      <c r="AZ75" s="98">
        <v>0</v>
      </c>
      <c r="BA75" s="98">
        <v>143900000</v>
      </c>
      <c r="BB75" s="98" t="s">
        <v>29</v>
      </c>
      <c r="BC75" s="98" t="s">
        <v>52</v>
      </c>
      <c r="BD75" s="98" t="s">
        <v>55</v>
      </c>
      <c r="BE75" s="98" t="s">
        <v>998</v>
      </c>
      <c r="BF75">
        <v>47800000</v>
      </c>
    </row>
    <row r="76" spans="8:58" x14ac:dyDescent="0.3">
      <c r="H76" s="459">
        <v>45529</v>
      </c>
      <c r="I76" s="38" t="s">
        <v>929</v>
      </c>
      <c r="J76" s="38"/>
      <c r="K76" s="38"/>
      <c r="L76" s="38"/>
      <c r="M76" s="38"/>
      <c r="N76" s="38"/>
      <c r="O76" s="38" t="s">
        <v>58</v>
      </c>
      <c r="P76" s="38">
        <v>137</v>
      </c>
      <c r="S76"/>
      <c r="T76"/>
      <c r="U76"/>
      <c r="V76"/>
      <c r="W76"/>
      <c r="X76"/>
      <c r="Y76"/>
      <c r="Z76"/>
      <c r="AA76"/>
      <c r="AC76" s="458">
        <v>45529</v>
      </c>
      <c r="AD76" t="s">
        <v>939</v>
      </c>
      <c r="AE76" t="s">
        <v>995</v>
      </c>
      <c r="AF76"/>
      <c r="AG76" t="s">
        <v>54</v>
      </c>
      <c r="AH76" t="s">
        <v>58</v>
      </c>
      <c r="AI76">
        <v>41100000</v>
      </c>
      <c r="AS76" s="457">
        <v>45529</v>
      </c>
      <c r="AT76" s="98" t="s">
        <v>939</v>
      </c>
      <c r="AU76" s="98" t="s">
        <v>54</v>
      </c>
      <c r="AV76" s="98" t="s">
        <v>995</v>
      </c>
      <c r="AW76" s="98" t="s">
        <v>929</v>
      </c>
      <c r="AX76" s="98">
        <v>14</v>
      </c>
      <c r="AY76" s="98" t="s">
        <v>55</v>
      </c>
      <c r="AZ76"/>
      <c r="BA76"/>
      <c r="BB76" s="98" t="s">
        <v>58</v>
      </c>
      <c r="BC76" s="98" t="s">
        <v>59</v>
      </c>
      <c r="BD76" s="98" t="s">
        <v>55</v>
      </c>
      <c r="BE76" s="98" t="s">
        <v>998</v>
      </c>
      <c r="BF76">
        <v>41100000</v>
      </c>
    </row>
    <row r="77" spans="8:58" x14ac:dyDescent="0.3">
      <c r="H77" s="459">
        <v>45529</v>
      </c>
      <c r="I77" s="38" t="s">
        <v>929</v>
      </c>
      <c r="J77" s="38"/>
      <c r="K77" s="38"/>
      <c r="L77" s="38"/>
      <c r="M77" s="38"/>
      <c r="N77" s="38"/>
      <c r="O77" s="38" t="s">
        <v>62</v>
      </c>
      <c r="P77" s="38">
        <v>110</v>
      </c>
      <c r="S77"/>
      <c r="T77"/>
      <c r="U77"/>
      <c r="V77"/>
      <c r="W77"/>
      <c r="X77"/>
      <c r="Y77"/>
      <c r="Z77"/>
      <c r="AA77"/>
      <c r="AC77" s="458">
        <v>45529</v>
      </c>
      <c r="AD77" t="s">
        <v>939</v>
      </c>
      <c r="AE77" t="s">
        <v>995</v>
      </c>
      <c r="AF77"/>
      <c r="AG77" t="s">
        <v>54</v>
      </c>
      <c r="AH77" t="s">
        <v>62</v>
      </c>
      <c r="AI77">
        <v>55000000</v>
      </c>
      <c r="AS77" s="457">
        <v>45529</v>
      </c>
      <c r="AT77" s="98" t="s">
        <v>939</v>
      </c>
      <c r="AU77" s="98" t="s">
        <v>54</v>
      </c>
      <c r="AV77" s="98" t="s">
        <v>995</v>
      </c>
      <c r="AW77" s="98" t="s">
        <v>929</v>
      </c>
      <c r="AX77" s="98">
        <v>14</v>
      </c>
      <c r="AY77" s="98" t="s">
        <v>55</v>
      </c>
      <c r="AZ77"/>
      <c r="BA77"/>
      <c r="BB77" s="98" t="s">
        <v>62</v>
      </c>
      <c r="BC77" s="98" t="s">
        <v>63</v>
      </c>
      <c r="BD77" s="98" t="s">
        <v>55</v>
      </c>
      <c r="BE77" s="98" t="s">
        <v>998</v>
      </c>
      <c r="BF77">
        <v>55000000</v>
      </c>
    </row>
    <row r="78" spans="8:58" x14ac:dyDescent="0.3">
      <c r="H78" s="459">
        <v>45540</v>
      </c>
      <c r="I78" s="38" t="s">
        <v>931</v>
      </c>
      <c r="J78" s="38" t="s">
        <v>996</v>
      </c>
      <c r="K78" s="38" t="s">
        <v>988</v>
      </c>
      <c r="L78" s="38" t="s">
        <v>973</v>
      </c>
      <c r="M78" s="38">
        <v>12</v>
      </c>
      <c r="N78" s="38">
        <v>146100000</v>
      </c>
      <c r="O78" s="38" t="s">
        <v>29</v>
      </c>
      <c r="P78" s="38">
        <v>251</v>
      </c>
      <c r="S78"/>
      <c r="T78"/>
      <c r="U78"/>
      <c r="V78"/>
      <c r="W78"/>
      <c r="X78"/>
      <c r="Y78"/>
      <c r="Z78"/>
      <c r="AA78"/>
      <c r="AC78"/>
      <c r="AD78"/>
      <c r="AE78"/>
      <c r="AF78"/>
      <c r="AG78"/>
      <c r="AH78"/>
      <c r="AI78"/>
      <c r="AS78" s="457">
        <v>45540</v>
      </c>
      <c r="AT78" s="98" t="s">
        <v>60</v>
      </c>
      <c r="AU78" s="98" t="s">
        <v>65</v>
      </c>
      <c r="AV78" s="98" t="s">
        <v>996</v>
      </c>
      <c r="AW78" s="98" t="s">
        <v>931</v>
      </c>
      <c r="AX78" s="98">
        <v>12</v>
      </c>
      <c r="AY78" s="98" t="s">
        <v>55</v>
      </c>
      <c r="AZ78" s="98">
        <v>0</v>
      </c>
      <c r="BA78" s="98">
        <v>146100000</v>
      </c>
      <c r="BB78" s="98" t="s">
        <v>29</v>
      </c>
      <c r="BC78" s="98" t="s">
        <v>52</v>
      </c>
      <c r="BD78" s="98" t="s">
        <v>55</v>
      </c>
      <c r="BE78" s="98" t="s">
        <v>998</v>
      </c>
      <c r="BF78">
        <v>50200000</v>
      </c>
    </row>
    <row r="79" spans="8:58" x14ac:dyDescent="0.3">
      <c r="H79" s="459">
        <v>45540</v>
      </c>
      <c r="I79" s="38" t="s">
        <v>931</v>
      </c>
      <c r="J79" s="38"/>
      <c r="K79" s="38"/>
      <c r="L79" s="38"/>
      <c r="M79" s="38"/>
      <c r="N79" s="38"/>
      <c r="O79" s="38" t="s">
        <v>58</v>
      </c>
      <c r="P79" s="38">
        <v>138</v>
      </c>
      <c r="S79"/>
      <c r="T79"/>
      <c r="U79"/>
      <c r="V79"/>
      <c r="W79"/>
      <c r="X79"/>
      <c r="Y79"/>
      <c r="Z79"/>
      <c r="AA79"/>
      <c r="AC79"/>
      <c r="AD79"/>
      <c r="AE79"/>
      <c r="AF79"/>
      <c r="AG79"/>
      <c r="AH79"/>
      <c r="AI79"/>
      <c r="AS79" s="457">
        <v>45540</v>
      </c>
      <c r="AT79" s="98" t="s">
        <v>60</v>
      </c>
      <c r="AU79" s="98" t="s">
        <v>65</v>
      </c>
      <c r="AV79" s="98" t="s">
        <v>996</v>
      </c>
      <c r="AW79" s="98" t="s">
        <v>931</v>
      </c>
      <c r="AX79" s="98">
        <v>12</v>
      </c>
      <c r="AY79" s="98" t="s">
        <v>55</v>
      </c>
      <c r="AZ79"/>
      <c r="BA79"/>
      <c r="BB79" s="98" t="s">
        <v>58</v>
      </c>
      <c r="BC79" s="98" t="s">
        <v>59</v>
      </c>
      <c r="BD79" s="98" t="s">
        <v>55</v>
      </c>
      <c r="BE79" s="98" t="s">
        <v>998</v>
      </c>
      <c r="BF79">
        <v>41400000</v>
      </c>
    </row>
    <row r="80" spans="8:58" x14ac:dyDescent="0.3">
      <c r="H80" s="459">
        <v>45540</v>
      </c>
      <c r="I80" s="38" t="s">
        <v>931</v>
      </c>
      <c r="J80" s="38"/>
      <c r="K80" s="38"/>
      <c r="L80" s="38"/>
      <c r="M80" s="38"/>
      <c r="N80" s="38"/>
      <c r="O80" s="38" t="s">
        <v>62</v>
      </c>
      <c r="P80" s="38">
        <v>109</v>
      </c>
      <c r="S80"/>
      <c r="T80"/>
      <c r="U80"/>
      <c r="V80"/>
      <c r="W80"/>
      <c r="X80"/>
      <c r="Y80"/>
      <c r="Z80"/>
      <c r="AA80"/>
      <c r="AC80"/>
      <c r="AD80"/>
      <c r="AE80"/>
      <c r="AF80"/>
      <c r="AG80"/>
      <c r="AH80"/>
      <c r="AI80"/>
      <c r="AS80" s="457">
        <v>45540</v>
      </c>
      <c r="AT80" s="98" t="s">
        <v>60</v>
      </c>
      <c r="AU80" s="98" t="s">
        <v>65</v>
      </c>
      <c r="AV80" s="98" t="s">
        <v>996</v>
      </c>
      <c r="AW80" s="98" t="s">
        <v>931</v>
      </c>
      <c r="AX80" s="98">
        <v>12</v>
      </c>
      <c r="AY80" s="98" t="s">
        <v>55</v>
      </c>
      <c r="AZ80"/>
      <c r="BA80"/>
      <c r="BB80" s="98" t="s">
        <v>62</v>
      </c>
      <c r="BC80" s="98" t="s">
        <v>63</v>
      </c>
      <c r="BD80" s="98" t="s">
        <v>55</v>
      </c>
      <c r="BE80" s="98" t="s">
        <v>998</v>
      </c>
      <c r="BF80">
        <v>54500000</v>
      </c>
    </row>
    <row r="81" spans="8:58" x14ac:dyDescent="0.3">
      <c r="H81" s="459">
        <v>45550</v>
      </c>
      <c r="I81" s="38" t="s">
        <v>933</v>
      </c>
      <c r="J81" s="38" t="s">
        <v>996</v>
      </c>
      <c r="K81" s="38" t="s">
        <v>990</v>
      </c>
      <c r="L81" s="38" t="s">
        <v>974</v>
      </c>
      <c r="M81" s="38">
        <v>7</v>
      </c>
      <c r="N81" s="38">
        <v>146700000</v>
      </c>
      <c r="O81" s="38" t="s">
        <v>29</v>
      </c>
      <c r="P81" s="38">
        <v>256</v>
      </c>
      <c r="S81"/>
      <c r="T81"/>
      <c r="U81"/>
      <c r="V81"/>
      <c r="W81"/>
      <c r="X81"/>
      <c r="Y81"/>
      <c r="Z81"/>
      <c r="AA81"/>
      <c r="AC81"/>
      <c r="AD81"/>
      <c r="AE81"/>
      <c r="AF81"/>
      <c r="AG81"/>
      <c r="AH81"/>
      <c r="AI81"/>
      <c r="AS81" s="457">
        <v>45550</v>
      </c>
      <c r="AT81" s="98" t="s">
        <v>60</v>
      </c>
      <c r="AU81" s="98" t="s">
        <v>54</v>
      </c>
      <c r="AV81" s="98" t="s">
        <v>996</v>
      </c>
      <c r="AW81" s="98" t="s">
        <v>933</v>
      </c>
      <c r="AX81" s="98">
        <v>7</v>
      </c>
      <c r="AY81" s="98" t="s">
        <v>55</v>
      </c>
      <c r="AZ81" s="98">
        <v>0</v>
      </c>
      <c r="BA81" s="98">
        <v>146700000</v>
      </c>
      <c r="BB81" s="98" t="s">
        <v>29</v>
      </c>
      <c r="BC81" s="98" t="s">
        <v>52</v>
      </c>
      <c r="BD81" s="98" t="s">
        <v>55</v>
      </c>
      <c r="BE81" s="98" t="s">
        <v>998</v>
      </c>
      <c r="BF81">
        <v>51200000</v>
      </c>
    </row>
    <row r="82" spans="8:58" x14ac:dyDescent="0.3">
      <c r="H82" s="459">
        <v>45550</v>
      </c>
      <c r="I82" s="38" t="s">
        <v>933</v>
      </c>
      <c r="J82" s="38"/>
      <c r="K82" s="38"/>
      <c r="L82" s="38"/>
      <c r="M82" s="38"/>
      <c r="N82" s="38"/>
      <c r="O82" s="38" t="s">
        <v>58</v>
      </c>
      <c r="P82" s="38">
        <v>135</v>
      </c>
      <c r="S82"/>
      <c r="T82"/>
      <c r="U82"/>
      <c r="V82"/>
      <c r="W82"/>
      <c r="X82"/>
      <c r="Y82"/>
      <c r="Z82"/>
      <c r="AA82"/>
      <c r="AC82"/>
      <c r="AD82"/>
      <c r="AE82"/>
      <c r="AF82"/>
      <c r="AG82"/>
      <c r="AH82"/>
      <c r="AI82"/>
      <c r="AS82" s="457">
        <v>45550</v>
      </c>
      <c r="AT82" s="98" t="s">
        <v>60</v>
      </c>
      <c r="AU82" s="98" t="s">
        <v>54</v>
      </c>
      <c r="AV82" s="98" t="s">
        <v>996</v>
      </c>
      <c r="AW82" s="98" t="s">
        <v>933</v>
      </c>
      <c r="AX82" s="98">
        <v>7</v>
      </c>
      <c r="AY82" s="98" t="s">
        <v>55</v>
      </c>
      <c r="AZ82"/>
      <c r="BA82"/>
      <c r="BB82" s="98" t="s">
        <v>58</v>
      </c>
      <c r="BC82" s="98" t="s">
        <v>59</v>
      </c>
      <c r="BD82" s="98" t="s">
        <v>55</v>
      </c>
      <c r="BE82" s="98" t="s">
        <v>998</v>
      </c>
      <c r="BF82">
        <v>40500000</v>
      </c>
    </row>
    <row r="83" spans="8:58" x14ac:dyDescent="0.3">
      <c r="H83" s="459">
        <v>45550</v>
      </c>
      <c r="I83" s="38" t="s">
        <v>933</v>
      </c>
      <c r="J83" s="38"/>
      <c r="K83" s="38"/>
      <c r="L83" s="38"/>
      <c r="M83" s="38"/>
      <c r="N83" s="38"/>
      <c r="O83" s="38" t="s">
        <v>62</v>
      </c>
      <c r="P83" s="38">
        <v>110</v>
      </c>
      <c r="S83"/>
      <c r="T83"/>
      <c r="U83"/>
      <c r="V83"/>
      <c r="W83"/>
      <c r="X83"/>
      <c r="Y83"/>
      <c r="Z83"/>
      <c r="AA83"/>
      <c r="AC83"/>
      <c r="AD83"/>
      <c r="AE83"/>
      <c r="AF83"/>
      <c r="AG83"/>
      <c r="AH83"/>
      <c r="AI83"/>
      <c r="AS83" s="457">
        <v>45550</v>
      </c>
      <c r="AT83" s="98" t="s">
        <v>60</v>
      </c>
      <c r="AU83" s="98" t="s">
        <v>54</v>
      </c>
      <c r="AV83" s="98" t="s">
        <v>996</v>
      </c>
      <c r="AW83" s="98" t="s">
        <v>933</v>
      </c>
      <c r="AX83" s="98">
        <v>7</v>
      </c>
      <c r="AY83" s="98" t="s">
        <v>55</v>
      </c>
      <c r="AZ83"/>
      <c r="BA83"/>
      <c r="BB83" s="98" t="s">
        <v>62</v>
      </c>
      <c r="BC83" s="98" t="s">
        <v>63</v>
      </c>
      <c r="BD83" s="98" t="s">
        <v>55</v>
      </c>
      <c r="BE83" s="98" t="s">
        <v>998</v>
      </c>
      <c r="BF83">
        <v>55000000</v>
      </c>
    </row>
    <row r="84" spans="8:58" x14ac:dyDescent="0.3">
      <c r="H84" s="459">
        <v>45560</v>
      </c>
      <c r="I84" s="38" t="s">
        <v>929</v>
      </c>
      <c r="J84" s="38" t="s">
        <v>995</v>
      </c>
      <c r="K84" s="38" t="s">
        <v>986</v>
      </c>
      <c r="L84" s="38" t="s">
        <v>975</v>
      </c>
      <c r="M84" s="38">
        <v>15</v>
      </c>
      <c r="N84" s="38">
        <v>149900000</v>
      </c>
      <c r="O84" s="38" t="s">
        <v>29</v>
      </c>
      <c r="P84" s="38">
        <v>251</v>
      </c>
      <c r="S84"/>
      <c r="T84"/>
      <c r="U84"/>
      <c r="V84"/>
      <c r="W84"/>
      <c r="X84"/>
      <c r="Y84"/>
      <c r="Z84"/>
      <c r="AA84"/>
      <c r="AC84"/>
      <c r="AD84"/>
      <c r="AE84"/>
      <c r="AF84"/>
      <c r="AG84"/>
      <c r="AH84"/>
      <c r="AI84"/>
      <c r="AS84" s="457">
        <v>45560</v>
      </c>
      <c r="AT84" s="98" t="s">
        <v>939</v>
      </c>
      <c r="AU84" s="98" t="s">
        <v>54</v>
      </c>
      <c r="AV84" s="98" t="s">
        <v>995</v>
      </c>
      <c r="AW84" s="98" t="s">
        <v>929</v>
      </c>
      <c r="AX84" s="98">
        <v>15</v>
      </c>
      <c r="AY84" s="98" t="s">
        <v>55</v>
      </c>
      <c r="AZ84" s="98">
        <v>0</v>
      </c>
      <c r="BA84" s="98">
        <v>149900000</v>
      </c>
      <c r="BB84" s="98" t="s">
        <v>29</v>
      </c>
      <c r="BC84" s="98" t="s">
        <v>52</v>
      </c>
      <c r="BD84" s="98" t="s">
        <v>55</v>
      </c>
      <c r="BE84" s="98" t="s">
        <v>998</v>
      </c>
      <c r="BF84">
        <v>50200000</v>
      </c>
    </row>
    <row r="85" spans="8:58" x14ac:dyDescent="0.3">
      <c r="H85" s="459">
        <v>45560</v>
      </c>
      <c r="I85" s="38" t="s">
        <v>929</v>
      </c>
      <c r="J85" s="38"/>
      <c r="K85" s="38"/>
      <c r="L85" s="38"/>
      <c r="M85" s="38"/>
      <c r="N85" s="38"/>
      <c r="O85" s="38" t="s">
        <v>58</v>
      </c>
      <c r="P85" s="38">
        <v>139</v>
      </c>
      <c r="S85"/>
      <c r="T85"/>
      <c r="U85"/>
      <c r="V85"/>
      <c r="W85"/>
      <c r="X85"/>
      <c r="Y85"/>
      <c r="Z85"/>
      <c r="AA85"/>
      <c r="AC85"/>
      <c r="AD85"/>
      <c r="AE85"/>
      <c r="AF85"/>
      <c r="AG85"/>
      <c r="AH85"/>
      <c r="AI85"/>
      <c r="AS85" s="457">
        <v>45560</v>
      </c>
      <c r="AT85" s="98" t="s">
        <v>939</v>
      </c>
      <c r="AU85" s="98" t="s">
        <v>54</v>
      </c>
      <c r="AV85" s="98" t="s">
        <v>995</v>
      </c>
      <c r="AW85" s="98" t="s">
        <v>929</v>
      </c>
      <c r="AX85" s="98">
        <v>15</v>
      </c>
      <c r="AY85" s="98" t="s">
        <v>55</v>
      </c>
      <c r="AZ85"/>
      <c r="BA85"/>
      <c r="BB85" s="98" t="s">
        <v>58</v>
      </c>
      <c r="BC85" s="98" t="s">
        <v>59</v>
      </c>
      <c r="BD85" s="98" t="s">
        <v>55</v>
      </c>
      <c r="BE85" s="98" t="s">
        <v>998</v>
      </c>
      <c r="BF85">
        <v>41700000</v>
      </c>
    </row>
    <row r="86" spans="8:58" x14ac:dyDescent="0.3">
      <c r="H86" s="459">
        <v>45560</v>
      </c>
      <c r="I86" s="38" t="s">
        <v>929</v>
      </c>
      <c r="J86" s="38"/>
      <c r="K86" s="38"/>
      <c r="L86" s="38"/>
      <c r="M86" s="38"/>
      <c r="N86" s="38"/>
      <c r="O86" s="38" t="s">
        <v>62</v>
      </c>
      <c r="P86" s="38">
        <v>116</v>
      </c>
      <c r="S86"/>
      <c r="T86"/>
      <c r="U86"/>
      <c r="V86"/>
      <c r="W86"/>
      <c r="X86"/>
      <c r="Y86"/>
      <c r="Z86"/>
      <c r="AA86"/>
      <c r="AC86"/>
      <c r="AD86"/>
      <c r="AE86"/>
      <c r="AF86"/>
      <c r="AG86"/>
      <c r="AH86"/>
      <c r="AI86"/>
      <c r="AS86" s="457">
        <v>45560</v>
      </c>
      <c r="AT86" s="98" t="s">
        <v>939</v>
      </c>
      <c r="AU86" s="98" t="s">
        <v>54</v>
      </c>
      <c r="AV86" s="98" t="s">
        <v>995</v>
      </c>
      <c r="AW86" s="98" t="s">
        <v>929</v>
      </c>
      <c r="AX86" s="98">
        <v>15</v>
      </c>
      <c r="AY86" s="98" t="s">
        <v>55</v>
      </c>
      <c r="AZ86"/>
      <c r="BA86"/>
      <c r="BB86" s="98" t="s">
        <v>62</v>
      </c>
      <c r="BC86" s="98" t="s">
        <v>63</v>
      </c>
      <c r="BD86" s="98" t="s">
        <v>55</v>
      </c>
      <c r="BE86" s="98" t="s">
        <v>998</v>
      </c>
      <c r="BF86">
        <v>58000000</v>
      </c>
    </row>
    <row r="87" spans="8:58" x14ac:dyDescent="0.3">
      <c r="H87" s="459">
        <v>45570</v>
      </c>
      <c r="I87" s="38" t="s">
        <v>930</v>
      </c>
      <c r="J87" s="38" t="s">
        <v>996</v>
      </c>
      <c r="K87" s="38" t="s">
        <v>987</v>
      </c>
      <c r="L87" s="38" t="s">
        <v>976</v>
      </c>
      <c r="M87" s="38">
        <v>18</v>
      </c>
      <c r="N87" s="38">
        <v>155100000</v>
      </c>
      <c r="O87" s="38" t="s">
        <v>29</v>
      </c>
      <c r="P87" s="38">
        <v>254</v>
      </c>
      <c r="S87"/>
      <c r="T87"/>
      <c r="U87"/>
      <c r="V87"/>
      <c r="W87"/>
      <c r="X87"/>
      <c r="Y87"/>
      <c r="Z87"/>
      <c r="AA87"/>
      <c r="AC87"/>
      <c r="AD87"/>
      <c r="AE87"/>
      <c r="AF87"/>
      <c r="AG87"/>
      <c r="AH87"/>
      <c r="AI87"/>
      <c r="AS87" s="457">
        <v>45570</v>
      </c>
      <c r="AT87" s="98" t="s">
        <v>56</v>
      </c>
      <c r="AU87" s="98" t="s">
        <v>54</v>
      </c>
      <c r="AV87" s="98" t="s">
        <v>996</v>
      </c>
      <c r="AW87" s="98" t="s">
        <v>930</v>
      </c>
      <c r="AX87" s="98">
        <v>18</v>
      </c>
      <c r="AY87" s="98" t="s">
        <v>55</v>
      </c>
      <c r="AZ87" s="98">
        <v>0</v>
      </c>
      <c r="BA87" s="98">
        <v>155100000</v>
      </c>
      <c r="BB87" s="98" t="s">
        <v>29</v>
      </c>
      <c r="BC87" s="98" t="s">
        <v>52</v>
      </c>
      <c r="BD87" s="98" t="s">
        <v>55</v>
      </c>
      <c r="BE87" s="98" t="s">
        <v>998</v>
      </c>
      <c r="BF87">
        <v>50800000</v>
      </c>
    </row>
    <row r="88" spans="8:58" x14ac:dyDescent="0.3">
      <c r="H88" s="459">
        <v>45570</v>
      </c>
      <c r="I88" s="38" t="s">
        <v>930</v>
      </c>
      <c r="J88" s="38"/>
      <c r="K88" s="38"/>
      <c r="L88" s="38"/>
      <c r="M88" s="38"/>
      <c r="N88" s="38"/>
      <c r="O88" s="38" t="s">
        <v>58</v>
      </c>
      <c r="P88" s="38">
        <v>146</v>
      </c>
      <c r="S88"/>
      <c r="T88"/>
      <c r="U88"/>
      <c r="V88"/>
      <c r="W88"/>
      <c r="X88"/>
      <c r="Y88"/>
      <c r="Z88"/>
      <c r="AA88"/>
      <c r="AC88"/>
      <c r="AD88"/>
      <c r="AE88"/>
      <c r="AF88"/>
      <c r="AG88"/>
      <c r="AH88"/>
      <c r="AI88"/>
      <c r="AS88" s="457">
        <v>45570</v>
      </c>
      <c r="AT88" s="98" t="s">
        <v>56</v>
      </c>
      <c r="AU88" s="98" t="s">
        <v>54</v>
      </c>
      <c r="AV88" s="98" t="s">
        <v>996</v>
      </c>
      <c r="AW88" s="98" t="s">
        <v>930</v>
      </c>
      <c r="AX88" s="98">
        <v>18</v>
      </c>
      <c r="AY88" s="98" t="s">
        <v>55</v>
      </c>
      <c r="AZ88"/>
      <c r="BA88"/>
      <c r="BB88" s="98" t="s">
        <v>58</v>
      </c>
      <c r="BC88" s="98" t="s">
        <v>59</v>
      </c>
      <c r="BD88" s="98" t="s">
        <v>55</v>
      </c>
      <c r="BE88" s="98" t="s">
        <v>998</v>
      </c>
      <c r="BF88">
        <v>43800000</v>
      </c>
    </row>
    <row r="89" spans="8:58" x14ac:dyDescent="0.3">
      <c r="H89" s="459">
        <v>45570</v>
      </c>
      <c r="I89" s="38" t="s">
        <v>930</v>
      </c>
      <c r="J89" s="38"/>
      <c r="K89" s="38"/>
      <c r="L89" s="38"/>
      <c r="M89" s="38"/>
      <c r="N89" s="38"/>
      <c r="O89" s="38" t="s">
        <v>62</v>
      </c>
      <c r="P89" s="38">
        <v>121</v>
      </c>
      <c r="S89"/>
      <c r="T89"/>
      <c r="U89"/>
      <c r="V89"/>
      <c r="W89"/>
      <c r="X89"/>
      <c r="Y89"/>
      <c r="Z89"/>
      <c r="AA89"/>
      <c r="AC89"/>
      <c r="AD89"/>
      <c r="AE89"/>
      <c r="AF89"/>
      <c r="AG89"/>
      <c r="AH89"/>
      <c r="AI89"/>
      <c r="AS89" s="457">
        <v>45570</v>
      </c>
      <c r="AT89" s="98" t="s">
        <v>56</v>
      </c>
      <c r="AU89" s="98" t="s">
        <v>54</v>
      </c>
      <c r="AV89" s="98" t="s">
        <v>996</v>
      </c>
      <c r="AW89" s="98" t="s">
        <v>930</v>
      </c>
      <c r="AX89" s="98">
        <v>18</v>
      </c>
      <c r="AY89" s="98" t="s">
        <v>55</v>
      </c>
      <c r="AZ89"/>
      <c r="BA89"/>
      <c r="BB89" s="98" t="s">
        <v>62</v>
      </c>
      <c r="BC89" s="98" t="s">
        <v>63</v>
      </c>
      <c r="BD89" s="98" t="s">
        <v>55</v>
      </c>
      <c r="BE89" s="98" t="s">
        <v>998</v>
      </c>
      <c r="BF89">
        <v>60500000</v>
      </c>
    </row>
    <row r="90" spans="8:58" x14ac:dyDescent="0.3">
      <c r="H90" s="459">
        <v>45580</v>
      </c>
      <c r="I90" s="38" t="s">
        <v>932</v>
      </c>
      <c r="J90" s="38" t="s">
        <v>995</v>
      </c>
      <c r="K90" s="38" t="s">
        <v>989</v>
      </c>
      <c r="L90" s="38" t="s">
        <v>977</v>
      </c>
      <c r="M90" s="38">
        <v>9</v>
      </c>
      <c r="N90" s="38">
        <v>155000000</v>
      </c>
      <c r="O90" s="38" t="s">
        <v>29</v>
      </c>
      <c r="P90" s="38">
        <v>257</v>
      </c>
      <c r="S90"/>
      <c r="T90"/>
      <c r="U90"/>
      <c r="V90"/>
      <c r="W90"/>
      <c r="X90"/>
      <c r="Y90"/>
      <c r="Z90"/>
      <c r="AA90"/>
      <c r="AC90"/>
      <c r="AD90"/>
      <c r="AE90"/>
      <c r="AF90"/>
      <c r="AG90"/>
      <c r="AH90"/>
      <c r="AI90"/>
      <c r="AS90" s="457">
        <v>45580</v>
      </c>
      <c r="AT90" s="98" t="s">
        <v>940</v>
      </c>
      <c r="AU90" s="98" t="s">
        <v>65</v>
      </c>
      <c r="AV90" s="98" t="s">
        <v>995</v>
      </c>
      <c r="AW90" s="98" t="s">
        <v>932</v>
      </c>
      <c r="AX90" s="98">
        <v>9</v>
      </c>
      <c r="AY90" s="98" t="s">
        <v>55</v>
      </c>
      <c r="AZ90" s="98">
        <v>0</v>
      </c>
      <c r="BA90" s="98">
        <v>155000000</v>
      </c>
      <c r="BB90" s="98" t="s">
        <v>29</v>
      </c>
      <c r="BC90" s="98" t="s">
        <v>52</v>
      </c>
      <c r="BD90" s="98" t="s">
        <v>55</v>
      </c>
      <c r="BE90" s="98" t="s">
        <v>998</v>
      </c>
      <c r="BF90">
        <v>51400000</v>
      </c>
    </row>
    <row r="91" spans="8:58" x14ac:dyDescent="0.3">
      <c r="H91" s="459">
        <v>45580</v>
      </c>
      <c r="I91" s="38" t="s">
        <v>932</v>
      </c>
      <c r="J91" s="38"/>
      <c r="K91" s="38"/>
      <c r="L91" s="38"/>
      <c r="M91" s="38"/>
      <c r="N91" s="38"/>
      <c r="O91" s="38" t="s">
        <v>58</v>
      </c>
      <c r="P91" s="38">
        <v>147</v>
      </c>
      <c r="S91"/>
      <c r="T91"/>
      <c r="U91"/>
      <c r="V91"/>
      <c r="W91"/>
      <c r="X91"/>
      <c r="Y91"/>
      <c r="Z91"/>
      <c r="AA91"/>
      <c r="AC91"/>
      <c r="AD91"/>
      <c r="AE91"/>
      <c r="AF91"/>
      <c r="AG91"/>
      <c r="AH91"/>
      <c r="AI91"/>
      <c r="AS91" s="457">
        <v>45580</v>
      </c>
      <c r="AT91" s="98" t="s">
        <v>940</v>
      </c>
      <c r="AU91" s="98" t="s">
        <v>65</v>
      </c>
      <c r="AV91" s="98" t="s">
        <v>995</v>
      </c>
      <c r="AW91" s="98" t="s">
        <v>932</v>
      </c>
      <c r="AX91" s="98">
        <v>9</v>
      </c>
      <c r="AY91" s="98" t="s">
        <v>55</v>
      </c>
      <c r="AZ91"/>
      <c r="BA91"/>
      <c r="BB91" s="98" t="s">
        <v>58</v>
      </c>
      <c r="BC91" s="98" t="s">
        <v>59</v>
      </c>
      <c r="BD91" s="98" t="s">
        <v>55</v>
      </c>
      <c r="BE91" s="98" t="s">
        <v>998</v>
      </c>
      <c r="BF91">
        <v>44100000</v>
      </c>
    </row>
    <row r="92" spans="8:58" x14ac:dyDescent="0.3">
      <c r="H92" s="459">
        <v>45580</v>
      </c>
      <c r="I92" s="38" t="s">
        <v>932</v>
      </c>
      <c r="J92" s="38"/>
      <c r="K92" s="38"/>
      <c r="L92" s="38"/>
      <c r="M92" s="38"/>
      <c r="N92" s="38"/>
      <c r="O92" s="38" t="s">
        <v>62</v>
      </c>
      <c r="P92" s="38">
        <v>119</v>
      </c>
      <c r="S92"/>
      <c r="T92"/>
      <c r="U92"/>
      <c r="V92"/>
      <c r="W92"/>
      <c r="X92"/>
      <c r="Y92"/>
      <c r="Z92"/>
      <c r="AA92"/>
      <c r="AC92"/>
      <c r="AD92"/>
      <c r="AE92"/>
      <c r="AF92"/>
      <c r="AG92"/>
      <c r="AH92"/>
      <c r="AI92"/>
      <c r="AS92" s="457">
        <v>45580</v>
      </c>
      <c r="AT92" s="98" t="s">
        <v>940</v>
      </c>
      <c r="AU92" s="98" t="s">
        <v>65</v>
      </c>
      <c r="AV92" s="98" t="s">
        <v>995</v>
      </c>
      <c r="AW92" s="98" t="s">
        <v>932</v>
      </c>
      <c r="AX92" s="98">
        <v>9</v>
      </c>
      <c r="AY92" s="98" t="s">
        <v>55</v>
      </c>
      <c r="AZ92"/>
      <c r="BA92"/>
      <c r="BB92" s="98" t="s">
        <v>62</v>
      </c>
      <c r="BC92" s="98" t="s">
        <v>63</v>
      </c>
      <c r="BD92" s="98" t="s">
        <v>55</v>
      </c>
      <c r="BE92" s="98" t="s">
        <v>998</v>
      </c>
      <c r="BF92">
        <v>59500000</v>
      </c>
    </row>
    <row r="93" spans="8:58" x14ac:dyDescent="0.3">
      <c r="H93" s="459">
        <v>45590</v>
      </c>
      <c r="I93" s="38" t="s">
        <v>931</v>
      </c>
      <c r="J93" s="38" t="s">
        <v>996</v>
      </c>
      <c r="K93" s="38" t="s">
        <v>988</v>
      </c>
      <c r="L93" s="38" t="s">
        <v>978</v>
      </c>
      <c r="M93" s="38">
        <v>13</v>
      </c>
      <c r="N93" s="38">
        <v>159200000</v>
      </c>
      <c r="O93" s="38" t="s">
        <v>29</v>
      </c>
      <c r="P93" s="38">
        <v>270</v>
      </c>
      <c r="S93"/>
      <c r="T93"/>
      <c r="U93"/>
      <c r="V93"/>
      <c r="W93"/>
      <c r="X93"/>
      <c r="Y93"/>
      <c r="Z93"/>
      <c r="AA93"/>
      <c r="AC93"/>
      <c r="AD93"/>
      <c r="AE93"/>
      <c r="AF93"/>
      <c r="AG93"/>
      <c r="AH93"/>
      <c r="AI93"/>
      <c r="AS93" s="457">
        <v>45590</v>
      </c>
      <c r="AT93" s="98" t="s">
        <v>60</v>
      </c>
      <c r="AU93" s="98" t="s">
        <v>54</v>
      </c>
      <c r="AV93" s="98" t="s">
        <v>996</v>
      </c>
      <c r="AW93" s="98" t="s">
        <v>931</v>
      </c>
      <c r="AX93" s="98">
        <v>13</v>
      </c>
      <c r="AY93" s="98" t="s">
        <v>55</v>
      </c>
      <c r="AZ93" s="98">
        <v>0</v>
      </c>
      <c r="BA93" s="98">
        <v>159200000</v>
      </c>
      <c r="BB93" s="98" t="s">
        <v>29</v>
      </c>
      <c r="BC93" s="98" t="s">
        <v>52</v>
      </c>
      <c r="BD93" s="98" t="s">
        <v>55</v>
      </c>
      <c r="BE93" s="98" t="s">
        <v>998</v>
      </c>
      <c r="BF93">
        <v>54000000</v>
      </c>
    </row>
    <row r="94" spans="8:58" x14ac:dyDescent="0.3">
      <c r="H94" s="459">
        <v>45590</v>
      </c>
      <c r="I94" s="38" t="s">
        <v>931</v>
      </c>
      <c r="J94" s="38"/>
      <c r="K94" s="38"/>
      <c r="L94" s="38"/>
      <c r="M94" s="38"/>
      <c r="N94" s="38"/>
      <c r="O94" s="38" t="s">
        <v>58</v>
      </c>
      <c r="P94" s="38">
        <v>154</v>
      </c>
      <c r="S94"/>
      <c r="T94"/>
      <c r="U94"/>
      <c r="V94"/>
      <c r="W94"/>
      <c r="X94"/>
      <c r="Y94"/>
      <c r="Z94"/>
      <c r="AA94"/>
      <c r="AC94"/>
      <c r="AD94"/>
      <c r="AE94"/>
      <c r="AF94"/>
      <c r="AG94"/>
      <c r="AH94"/>
      <c r="AI94"/>
      <c r="AS94" s="457">
        <v>45590</v>
      </c>
      <c r="AT94" s="98" t="s">
        <v>60</v>
      </c>
      <c r="AU94" s="98" t="s">
        <v>54</v>
      </c>
      <c r="AV94" s="98" t="s">
        <v>996</v>
      </c>
      <c r="AW94" s="98" t="s">
        <v>931</v>
      </c>
      <c r="AX94" s="98">
        <v>13</v>
      </c>
      <c r="AY94" s="98" t="s">
        <v>55</v>
      </c>
      <c r="AZ94"/>
      <c r="BA94"/>
      <c r="BB94" s="98" t="s">
        <v>58</v>
      </c>
      <c r="BC94" s="98" t="s">
        <v>59</v>
      </c>
      <c r="BD94" s="98" t="s">
        <v>55</v>
      </c>
      <c r="BE94" s="98" t="s">
        <v>998</v>
      </c>
      <c r="BF94">
        <v>46200000</v>
      </c>
    </row>
    <row r="95" spans="8:58" x14ac:dyDescent="0.3">
      <c r="H95" s="459">
        <v>45590</v>
      </c>
      <c r="I95" s="38" t="s">
        <v>931</v>
      </c>
      <c r="J95" s="38"/>
      <c r="K95" s="38"/>
      <c r="L95" s="38"/>
      <c r="M95" s="38"/>
      <c r="N95" s="38"/>
      <c r="O95" s="38" t="s">
        <v>62</v>
      </c>
      <c r="P95" s="38">
        <v>118</v>
      </c>
      <c r="S95"/>
      <c r="T95"/>
      <c r="U95"/>
      <c r="V95"/>
      <c r="W95"/>
      <c r="X95"/>
      <c r="Y95"/>
      <c r="Z95"/>
      <c r="AA95"/>
      <c r="AC95"/>
      <c r="AD95"/>
      <c r="AE95"/>
      <c r="AF95"/>
      <c r="AG95"/>
      <c r="AH95"/>
      <c r="AI95"/>
      <c r="AS95" s="457">
        <v>45590</v>
      </c>
      <c r="AT95" s="98" t="s">
        <v>60</v>
      </c>
      <c r="AU95" s="98" t="s">
        <v>54</v>
      </c>
      <c r="AV95" s="98" t="s">
        <v>996</v>
      </c>
      <c r="AW95" s="98" t="s">
        <v>931</v>
      </c>
      <c r="AX95" s="98">
        <v>13</v>
      </c>
      <c r="AY95" s="98" t="s">
        <v>55</v>
      </c>
      <c r="AZ95"/>
      <c r="BA95"/>
      <c r="BB95" s="98" t="s">
        <v>62</v>
      </c>
      <c r="BC95" s="98" t="s">
        <v>63</v>
      </c>
      <c r="BD95" s="98" t="s">
        <v>55</v>
      </c>
      <c r="BE95" s="98" t="s">
        <v>998</v>
      </c>
      <c r="BF95">
        <v>59000000</v>
      </c>
    </row>
    <row r="96" spans="8:58" x14ac:dyDescent="0.3">
      <c r="H96" s="459">
        <v>45601</v>
      </c>
      <c r="I96" s="38" t="s">
        <v>929</v>
      </c>
      <c r="J96" s="38" t="s">
        <v>995</v>
      </c>
      <c r="K96" s="38" t="s">
        <v>986</v>
      </c>
      <c r="L96" s="38" t="s">
        <v>979</v>
      </c>
      <c r="M96" s="38">
        <v>16</v>
      </c>
      <c r="N96" s="38">
        <v>154600000</v>
      </c>
      <c r="O96" s="38" t="s">
        <v>29</v>
      </c>
      <c r="P96" s="38">
        <v>265</v>
      </c>
      <c r="S96"/>
      <c r="T96"/>
      <c r="U96"/>
      <c r="V96"/>
      <c r="W96"/>
      <c r="X96"/>
      <c r="Y96"/>
      <c r="Z96"/>
      <c r="AA96"/>
      <c r="AC96"/>
      <c r="AD96"/>
      <c r="AE96"/>
      <c r="AF96"/>
      <c r="AG96"/>
      <c r="AH96"/>
      <c r="AI96"/>
      <c r="AS96" s="457">
        <v>45601</v>
      </c>
      <c r="AT96" s="98" t="s">
        <v>939</v>
      </c>
      <c r="AU96" s="98" t="s">
        <v>54</v>
      </c>
      <c r="AV96" s="98" t="s">
        <v>995</v>
      </c>
      <c r="AW96" s="98" t="s">
        <v>929</v>
      </c>
      <c r="AX96" s="98">
        <v>16</v>
      </c>
      <c r="AY96" s="98" t="s">
        <v>985</v>
      </c>
      <c r="AZ96" s="98">
        <v>5000000</v>
      </c>
      <c r="BA96" s="98">
        <v>154600000</v>
      </c>
      <c r="BB96" s="98" t="s">
        <v>29</v>
      </c>
      <c r="BC96" s="98" t="s">
        <v>52</v>
      </c>
      <c r="BD96" s="98" t="s">
        <v>55</v>
      </c>
      <c r="BE96" s="98" t="s">
        <v>998</v>
      </c>
      <c r="BF96">
        <v>53000000</v>
      </c>
    </row>
    <row r="97" spans="8:58" x14ac:dyDescent="0.3">
      <c r="H97" s="459">
        <v>45601</v>
      </c>
      <c r="I97" s="38" t="s">
        <v>929</v>
      </c>
      <c r="J97" s="38"/>
      <c r="K97" s="38"/>
      <c r="L97" s="38"/>
      <c r="M97" s="38"/>
      <c r="N97" s="38"/>
      <c r="O97" s="38" t="s">
        <v>58</v>
      </c>
      <c r="P97" s="38">
        <v>162</v>
      </c>
      <c r="S97"/>
      <c r="T97"/>
      <c r="U97"/>
      <c r="V97"/>
      <c r="W97"/>
      <c r="X97"/>
      <c r="Y97"/>
      <c r="Z97"/>
      <c r="AA97"/>
      <c r="AC97"/>
      <c r="AD97"/>
      <c r="AE97"/>
      <c r="AF97"/>
      <c r="AG97"/>
      <c r="AH97"/>
      <c r="AI97"/>
      <c r="AS97" s="457">
        <v>45601</v>
      </c>
      <c r="AT97" s="98" t="s">
        <v>939</v>
      </c>
      <c r="AU97" s="98" t="s">
        <v>54</v>
      </c>
      <c r="AV97" s="98" t="s">
        <v>995</v>
      </c>
      <c r="AW97" s="98" t="s">
        <v>929</v>
      </c>
      <c r="AX97" s="98">
        <v>16</v>
      </c>
      <c r="AY97" s="98" t="s">
        <v>985</v>
      </c>
      <c r="AZ97"/>
      <c r="BA97"/>
      <c r="BB97" s="98" t="s">
        <v>58</v>
      </c>
      <c r="BC97" s="98" t="s">
        <v>59</v>
      </c>
      <c r="BD97" s="98" t="s">
        <v>55</v>
      </c>
      <c r="BE97" s="98" t="s">
        <v>998</v>
      </c>
      <c r="BF97">
        <v>48600000</v>
      </c>
    </row>
    <row r="98" spans="8:58" x14ac:dyDescent="0.3">
      <c r="H98" s="459">
        <v>45601</v>
      </c>
      <c r="I98" s="38" t="s">
        <v>929</v>
      </c>
      <c r="J98" s="38"/>
      <c r="K98" s="38"/>
      <c r="L98" s="38"/>
      <c r="M98" s="38"/>
      <c r="N98" s="38"/>
      <c r="O98" s="38" t="s">
        <v>62</v>
      </c>
      <c r="P98" s="38">
        <v>116</v>
      </c>
      <c r="S98"/>
      <c r="T98"/>
      <c r="U98"/>
      <c r="V98"/>
      <c r="W98"/>
      <c r="X98"/>
      <c r="Y98"/>
      <c r="Z98"/>
      <c r="AA98"/>
      <c r="AC98"/>
      <c r="AD98"/>
      <c r="AE98"/>
      <c r="AF98"/>
      <c r="AG98"/>
      <c r="AH98"/>
      <c r="AI98"/>
      <c r="AS98" s="457">
        <v>45601</v>
      </c>
      <c r="AT98" s="98" t="s">
        <v>939</v>
      </c>
      <c r="AU98" s="98" t="s">
        <v>54</v>
      </c>
      <c r="AV98" s="98" t="s">
        <v>995</v>
      </c>
      <c r="AW98" s="98" t="s">
        <v>929</v>
      </c>
      <c r="AX98" s="98">
        <v>16</v>
      </c>
      <c r="AY98" s="98" t="s">
        <v>985</v>
      </c>
      <c r="AZ98"/>
      <c r="BA98"/>
      <c r="BB98" s="98" t="s">
        <v>62</v>
      </c>
      <c r="BC98" s="98" t="s">
        <v>63</v>
      </c>
      <c r="BD98" s="98" t="s">
        <v>55</v>
      </c>
      <c r="BE98" s="98" t="s">
        <v>998</v>
      </c>
      <c r="BF98">
        <v>58000000</v>
      </c>
    </row>
    <row r="99" spans="8:58" x14ac:dyDescent="0.3">
      <c r="H99" s="459">
        <v>45611</v>
      </c>
      <c r="I99" s="38" t="s">
        <v>931</v>
      </c>
      <c r="J99" s="38" t="s">
        <v>996</v>
      </c>
      <c r="K99" s="38" t="s">
        <v>988</v>
      </c>
      <c r="L99" s="38" t="s">
        <v>980</v>
      </c>
      <c r="M99" s="38">
        <v>14</v>
      </c>
      <c r="N99" s="38">
        <v>160000000</v>
      </c>
      <c r="O99" s="38" t="s">
        <v>29</v>
      </c>
      <c r="P99" s="38">
        <v>278</v>
      </c>
      <c r="S99"/>
      <c r="T99"/>
      <c r="U99"/>
      <c r="V99"/>
      <c r="W99"/>
      <c r="X99"/>
      <c r="Y99"/>
      <c r="Z99"/>
      <c r="AA99"/>
      <c r="AC99"/>
      <c r="AD99"/>
      <c r="AE99"/>
      <c r="AF99"/>
      <c r="AG99"/>
      <c r="AH99"/>
      <c r="AI99"/>
      <c r="AS99" s="457">
        <v>45611</v>
      </c>
      <c r="AT99" s="98" t="s">
        <v>939</v>
      </c>
      <c r="AU99" s="98" t="s">
        <v>54</v>
      </c>
      <c r="AV99" s="98" t="s">
        <v>996</v>
      </c>
      <c r="AW99" s="98" t="s">
        <v>931</v>
      </c>
      <c r="AX99" s="98">
        <v>14</v>
      </c>
      <c r="AY99" s="98" t="s">
        <v>985</v>
      </c>
      <c r="AZ99" s="98">
        <v>5000000</v>
      </c>
      <c r="BA99" s="98">
        <v>160000000</v>
      </c>
      <c r="BB99" s="98" t="s">
        <v>29</v>
      </c>
      <c r="BC99" s="98" t="s">
        <v>52</v>
      </c>
      <c r="BD99" s="98" t="s">
        <v>55</v>
      </c>
      <c r="BE99" s="98" t="s">
        <v>998</v>
      </c>
      <c r="BF99">
        <v>55600000</v>
      </c>
    </row>
    <row r="100" spans="8:58" x14ac:dyDescent="0.3">
      <c r="H100" s="459">
        <v>45611</v>
      </c>
      <c r="I100" s="38" t="s">
        <v>931</v>
      </c>
      <c r="J100" s="38"/>
      <c r="K100" s="38"/>
      <c r="L100" s="38"/>
      <c r="M100" s="38"/>
      <c r="N100" s="38"/>
      <c r="O100" s="38" t="s">
        <v>58</v>
      </c>
      <c r="P100" s="38">
        <v>168</v>
      </c>
      <c r="S100"/>
      <c r="T100"/>
      <c r="U100"/>
      <c r="V100"/>
      <c r="W100"/>
      <c r="X100"/>
      <c r="Y100"/>
      <c r="Z100"/>
      <c r="AA100"/>
      <c r="AC100"/>
      <c r="AD100"/>
      <c r="AE100"/>
      <c r="AF100"/>
      <c r="AG100"/>
      <c r="AH100"/>
      <c r="AI100"/>
      <c r="AS100" s="457">
        <v>45611</v>
      </c>
      <c r="AT100" s="98" t="s">
        <v>939</v>
      </c>
      <c r="AU100" s="98" t="s">
        <v>54</v>
      </c>
      <c r="AV100" s="98" t="s">
        <v>996</v>
      </c>
      <c r="AW100" s="98" t="s">
        <v>931</v>
      </c>
      <c r="AX100" s="98">
        <v>14</v>
      </c>
      <c r="AY100" s="98" t="s">
        <v>985</v>
      </c>
      <c r="AZ100"/>
      <c r="BA100"/>
      <c r="BB100" s="98" t="s">
        <v>58</v>
      </c>
      <c r="BC100" s="98" t="s">
        <v>59</v>
      </c>
      <c r="BD100" s="98" t="s">
        <v>55</v>
      </c>
      <c r="BE100" s="98" t="s">
        <v>998</v>
      </c>
      <c r="BF100">
        <v>50400000</v>
      </c>
    </row>
    <row r="101" spans="8:58" x14ac:dyDescent="0.3">
      <c r="H101" s="459">
        <v>45611</v>
      </c>
      <c r="I101" s="38" t="s">
        <v>931</v>
      </c>
      <c r="J101" s="38"/>
      <c r="K101" s="38"/>
      <c r="L101" s="38"/>
      <c r="M101" s="38"/>
      <c r="N101" s="38"/>
      <c r="O101" s="38" t="s">
        <v>62</v>
      </c>
      <c r="P101" s="38">
        <v>118</v>
      </c>
      <c r="S101"/>
      <c r="T101"/>
      <c r="U101"/>
      <c r="V101"/>
      <c r="W101"/>
      <c r="X101"/>
      <c r="Y101"/>
      <c r="Z101"/>
      <c r="AA101"/>
      <c r="AC101"/>
      <c r="AD101"/>
      <c r="AE101"/>
      <c r="AF101"/>
      <c r="AG101"/>
      <c r="AH101"/>
      <c r="AI101"/>
      <c r="AS101" s="457">
        <v>45611</v>
      </c>
      <c r="AT101" s="98" t="s">
        <v>939</v>
      </c>
      <c r="AU101" s="98" t="s">
        <v>54</v>
      </c>
      <c r="AV101" s="98" t="s">
        <v>996</v>
      </c>
      <c r="AW101" s="98" t="s">
        <v>931</v>
      </c>
      <c r="AX101" s="98">
        <v>14</v>
      </c>
      <c r="AY101" s="98" t="s">
        <v>985</v>
      </c>
      <c r="AZ101"/>
      <c r="BA101"/>
      <c r="BB101" s="98" t="s">
        <v>62</v>
      </c>
      <c r="BC101" s="98" t="s">
        <v>63</v>
      </c>
      <c r="BD101" s="98" t="s">
        <v>55</v>
      </c>
      <c r="BE101" s="98" t="s">
        <v>998</v>
      </c>
      <c r="BF101">
        <v>59000000</v>
      </c>
    </row>
    <row r="102" spans="8:58" x14ac:dyDescent="0.3">
      <c r="H102" s="459">
        <v>45621</v>
      </c>
      <c r="I102" s="38" t="s">
        <v>933</v>
      </c>
      <c r="J102" s="38" t="s">
        <v>996</v>
      </c>
      <c r="K102" s="38" t="s">
        <v>990</v>
      </c>
      <c r="L102" s="38" t="s">
        <v>981</v>
      </c>
      <c r="M102" s="38">
        <v>8</v>
      </c>
      <c r="N102" s="38">
        <v>162600000</v>
      </c>
      <c r="O102" s="38" t="s">
        <v>29</v>
      </c>
      <c r="P102" s="38">
        <v>284</v>
      </c>
      <c r="S102"/>
      <c r="T102"/>
      <c r="U102"/>
      <c r="V102"/>
      <c r="W102"/>
      <c r="X102"/>
      <c r="Y102"/>
      <c r="Z102"/>
      <c r="AA102"/>
      <c r="AC102"/>
      <c r="AD102"/>
      <c r="AE102"/>
      <c r="AF102"/>
      <c r="AG102"/>
      <c r="AH102"/>
      <c r="AI102"/>
      <c r="AS102" s="457">
        <v>45621</v>
      </c>
      <c r="AT102" s="98" t="s">
        <v>941</v>
      </c>
      <c r="AU102" s="98" t="s">
        <v>65</v>
      </c>
      <c r="AV102" s="98" t="s">
        <v>996</v>
      </c>
      <c r="AW102" s="98" t="s">
        <v>933</v>
      </c>
      <c r="AX102" s="98">
        <v>8</v>
      </c>
      <c r="AY102" s="98" t="s">
        <v>985</v>
      </c>
      <c r="AZ102" s="98">
        <v>5000000</v>
      </c>
      <c r="BA102" s="98">
        <v>162600000</v>
      </c>
      <c r="BB102" s="98" t="s">
        <v>29</v>
      </c>
      <c r="BC102" s="98" t="s">
        <v>52</v>
      </c>
      <c r="BD102" s="98" t="s">
        <v>55</v>
      </c>
      <c r="BE102" s="98" t="s">
        <v>998</v>
      </c>
      <c r="BF102">
        <v>56800000</v>
      </c>
    </row>
    <row r="103" spans="8:58" x14ac:dyDescent="0.3">
      <c r="H103" s="459">
        <v>45621</v>
      </c>
      <c r="I103" s="38" t="s">
        <v>933</v>
      </c>
      <c r="J103" s="38"/>
      <c r="K103" s="38"/>
      <c r="L103" s="38"/>
      <c r="M103" s="38"/>
      <c r="N103" s="38"/>
      <c r="O103" s="38" t="s">
        <v>58</v>
      </c>
      <c r="P103" s="38">
        <v>171</v>
      </c>
      <c r="S103"/>
      <c r="T103"/>
      <c r="U103"/>
      <c r="V103"/>
      <c r="W103"/>
      <c r="X103"/>
      <c r="Y103"/>
      <c r="Z103"/>
      <c r="AA103"/>
      <c r="AC103"/>
      <c r="AD103"/>
      <c r="AE103"/>
      <c r="AF103"/>
      <c r="AG103"/>
      <c r="AH103"/>
      <c r="AI103"/>
      <c r="AS103" s="457">
        <v>45621</v>
      </c>
      <c r="AT103" s="98" t="s">
        <v>941</v>
      </c>
      <c r="AU103" s="98" t="s">
        <v>65</v>
      </c>
      <c r="AV103" s="98" t="s">
        <v>996</v>
      </c>
      <c r="AW103" s="98" t="s">
        <v>933</v>
      </c>
      <c r="AX103" s="98">
        <v>8</v>
      </c>
      <c r="AY103" s="98" t="s">
        <v>985</v>
      </c>
      <c r="AZ103"/>
      <c r="BA103"/>
      <c r="BB103" s="98" t="s">
        <v>58</v>
      </c>
      <c r="BC103" s="98" t="s">
        <v>59</v>
      </c>
      <c r="BD103" s="98" t="s">
        <v>55</v>
      </c>
      <c r="BE103" s="98" t="s">
        <v>998</v>
      </c>
      <c r="BF103">
        <v>51300000</v>
      </c>
    </row>
    <row r="104" spans="8:58" x14ac:dyDescent="0.3">
      <c r="H104" s="459">
        <v>45621</v>
      </c>
      <c r="I104" s="38" t="s">
        <v>933</v>
      </c>
      <c r="J104" s="38"/>
      <c r="K104" s="38"/>
      <c r="L104" s="38"/>
      <c r="M104" s="38"/>
      <c r="N104" s="38"/>
      <c r="O104" s="38" t="s">
        <v>62</v>
      </c>
      <c r="P104" s="38">
        <v>119</v>
      </c>
      <c r="S104"/>
      <c r="T104"/>
      <c r="U104"/>
      <c r="V104"/>
      <c r="W104"/>
      <c r="X104"/>
      <c r="Y104"/>
      <c r="Z104"/>
      <c r="AA104"/>
      <c r="AC104"/>
      <c r="AD104"/>
      <c r="AE104"/>
      <c r="AF104"/>
      <c r="AG104"/>
      <c r="AH104"/>
      <c r="AI104"/>
      <c r="AS104" s="457">
        <v>45621</v>
      </c>
      <c r="AT104" s="98" t="s">
        <v>941</v>
      </c>
      <c r="AU104" s="98" t="s">
        <v>65</v>
      </c>
      <c r="AV104" s="98" t="s">
        <v>996</v>
      </c>
      <c r="AW104" s="98" t="s">
        <v>933</v>
      </c>
      <c r="AX104" s="98">
        <v>8</v>
      </c>
      <c r="AY104" s="98" t="s">
        <v>985</v>
      </c>
      <c r="AZ104"/>
      <c r="BA104"/>
      <c r="BB104" s="98" t="s">
        <v>62</v>
      </c>
      <c r="BC104" s="98" t="s">
        <v>63</v>
      </c>
      <c r="BD104" s="98" t="s">
        <v>55</v>
      </c>
      <c r="BE104" s="98" t="s">
        <v>998</v>
      </c>
      <c r="BF104">
        <v>59500000</v>
      </c>
    </row>
    <row r="105" spans="8:58" x14ac:dyDescent="0.3">
      <c r="H105" s="459">
        <v>45631</v>
      </c>
      <c r="I105" s="38" t="s">
        <v>934</v>
      </c>
      <c r="J105" s="38" t="s">
        <v>995</v>
      </c>
      <c r="K105" s="38" t="s">
        <v>991</v>
      </c>
      <c r="L105" s="38" t="s">
        <v>982</v>
      </c>
      <c r="M105" s="38">
        <v>4</v>
      </c>
      <c r="N105" s="38">
        <v>162900000</v>
      </c>
      <c r="O105" s="38" t="s">
        <v>29</v>
      </c>
      <c r="P105" s="38">
        <v>281</v>
      </c>
      <c r="S105"/>
      <c r="T105"/>
      <c r="U105"/>
      <c r="V105"/>
      <c r="W105"/>
      <c r="X105"/>
      <c r="Y105"/>
      <c r="Z105"/>
      <c r="AA105"/>
      <c r="AC105"/>
      <c r="AD105"/>
      <c r="AE105"/>
      <c r="AF105"/>
      <c r="AG105"/>
      <c r="AH105"/>
      <c r="AI105"/>
      <c r="AS105" s="457">
        <v>45631</v>
      </c>
      <c r="AT105" s="98" t="s">
        <v>56</v>
      </c>
      <c r="AU105" s="98" t="s">
        <v>54</v>
      </c>
      <c r="AV105" s="98" t="s">
        <v>995</v>
      </c>
      <c r="AW105" s="98" t="s">
        <v>934</v>
      </c>
      <c r="AX105" s="98">
        <v>4</v>
      </c>
      <c r="AY105" s="98" t="s">
        <v>985</v>
      </c>
      <c r="AZ105" s="98">
        <v>5000000</v>
      </c>
      <c r="BA105" s="98">
        <v>162900000</v>
      </c>
      <c r="BB105" s="98" t="s">
        <v>29</v>
      </c>
      <c r="BC105" s="98" t="s">
        <v>52</v>
      </c>
      <c r="BD105" s="98" t="s">
        <v>55</v>
      </c>
      <c r="BE105" s="98" t="s">
        <v>998</v>
      </c>
      <c r="BF105">
        <v>56200000</v>
      </c>
    </row>
    <row r="106" spans="8:58" x14ac:dyDescent="0.3">
      <c r="H106" s="459">
        <v>45631</v>
      </c>
      <c r="I106" s="38" t="s">
        <v>934</v>
      </c>
      <c r="J106" s="38"/>
      <c r="K106" s="38"/>
      <c r="L106" s="38"/>
      <c r="M106" s="38"/>
      <c r="N106" s="38"/>
      <c r="O106" s="38" t="s">
        <v>58</v>
      </c>
      <c r="P106" s="38">
        <v>174</v>
      </c>
      <c r="S106"/>
      <c r="T106"/>
      <c r="U106"/>
      <c r="V106"/>
      <c r="W106"/>
      <c r="X106"/>
      <c r="Y106"/>
      <c r="Z106"/>
      <c r="AA106"/>
      <c r="AC106"/>
      <c r="AD106"/>
      <c r="AE106"/>
      <c r="AF106"/>
      <c r="AG106"/>
      <c r="AH106"/>
      <c r="AI106"/>
      <c r="AS106" s="457">
        <v>45631</v>
      </c>
      <c r="AT106" s="98" t="s">
        <v>56</v>
      </c>
      <c r="AU106" s="98" t="s">
        <v>54</v>
      </c>
      <c r="AV106" s="98" t="s">
        <v>995</v>
      </c>
      <c r="AW106" s="98" t="s">
        <v>934</v>
      </c>
      <c r="AX106" s="98">
        <v>4</v>
      </c>
      <c r="AY106" s="98" t="s">
        <v>985</v>
      </c>
      <c r="AZ106"/>
      <c r="BA106"/>
      <c r="BB106" s="98" t="s">
        <v>58</v>
      </c>
      <c r="BC106" s="98" t="s">
        <v>59</v>
      </c>
      <c r="BD106" s="98" t="s">
        <v>55</v>
      </c>
      <c r="BE106" s="98" t="s">
        <v>998</v>
      </c>
      <c r="BF106">
        <v>52200000</v>
      </c>
    </row>
    <row r="107" spans="8:58" x14ac:dyDescent="0.3">
      <c r="H107" s="459">
        <v>45631</v>
      </c>
      <c r="I107" s="38" t="s">
        <v>934</v>
      </c>
      <c r="J107" s="38"/>
      <c r="K107" s="38"/>
      <c r="L107" s="38"/>
      <c r="M107" s="38"/>
      <c r="N107" s="38"/>
      <c r="O107" s="38" t="s">
        <v>62</v>
      </c>
      <c r="P107" s="38">
        <v>119</v>
      </c>
      <c r="S107"/>
      <c r="T107"/>
      <c r="U107"/>
      <c r="V107"/>
      <c r="W107"/>
      <c r="X107"/>
      <c r="Y107"/>
      <c r="Z107"/>
      <c r="AA107"/>
      <c r="AC107"/>
      <c r="AD107"/>
      <c r="AE107"/>
      <c r="AF107"/>
      <c r="AG107"/>
      <c r="AH107"/>
      <c r="AI107"/>
      <c r="AS107" s="457">
        <v>45631</v>
      </c>
      <c r="AT107" s="98" t="s">
        <v>56</v>
      </c>
      <c r="AU107" s="98" t="s">
        <v>54</v>
      </c>
      <c r="AV107" s="98" t="s">
        <v>995</v>
      </c>
      <c r="AW107" s="98" t="s">
        <v>934</v>
      </c>
      <c r="AX107" s="98">
        <v>4</v>
      </c>
      <c r="AY107" s="98" t="s">
        <v>985</v>
      </c>
      <c r="AZ107"/>
      <c r="BA107"/>
      <c r="BB107" s="98" t="s">
        <v>62</v>
      </c>
      <c r="BC107" s="98" t="s">
        <v>63</v>
      </c>
      <c r="BD107" s="98" t="s">
        <v>55</v>
      </c>
      <c r="BE107" s="98" t="s">
        <v>998</v>
      </c>
      <c r="BF107">
        <v>59500000</v>
      </c>
    </row>
    <row r="108" spans="8:58" x14ac:dyDescent="0.3">
      <c r="H108" s="459">
        <v>45641</v>
      </c>
      <c r="I108" s="38" t="s">
        <v>930</v>
      </c>
      <c r="J108" s="38" t="s">
        <v>996</v>
      </c>
      <c r="K108" s="38" t="s">
        <v>987</v>
      </c>
      <c r="L108" s="38" t="s">
        <v>983</v>
      </c>
      <c r="M108" s="38">
        <v>19</v>
      </c>
      <c r="N108" s="38">
        <v>164900000</v>
      </c>
      <c r="O108" s="38" t="s">
        <v>29</v>
      </c>
      <c r="P108" s="38">
        <v>289</v>
      </c>
      <c r="S108"/>
      <c r="T108"/>
      <c r="U108"/>
      <c r="V108"/>
      <c r="W108"/>
      <c r="X108"/>
      <c r="Y108"/>
      <c r="Z108"/>
      <c r="AA108"/>
      <c r="AC108"/>
      <c r="AD108"/>
      <c r="AE108"/>
      <c r="AF108"/>
      <c r="AG108"/>
      <c r="AH108"/>
      <c r="AI108"/>
      <c r="AS108" s="457">
        <v>45641</v>
      </c>
      <c r="AT108" s="98" t="s">
        <v>940</v>
      </c>
      <c r="AU108" s="98" t="s">
        <v>65</v>
      </c>
      <c r="AV108" s="98" t="s">
        <v>996</v>
      </c>
      <c r="AW108" s="98" t="s">
        <v>930</v>
      </c>
      <c r="AX108" s="98">
        <v>19</v>
      </c>
      <c r="AY108" s="98" t="s">
        <v>985</v>
      </c>
      <c r="AZ108" s="98">
        <v>5000000</v>
      </c>
      <c r="BA108" s="98">
        <v>164900000</v>
      </c>
      <c r="BB108" s="98" t="s">
        <v>29</v>
      </c>
      <c r="BC108" s="98" t="s">
        <v>52</v>
      </c>
      <c r="BD108" s="98" t="s">
        <v>55</v>
      </c>
      <c r="BE108" s="98" t="s">
        <v>998</v>
      </c>
      <c r="BF108">
        <v>57800000</v>
      </c>
    </row>
    <row r="109" spans="8:58" x14ac:dyDescent="0.3">
      <c r="H109" s="459">
        <v>45641</v>
      </c>
      <c r="I109" s="38" t="s">
        <v>930</v>
      </c>
      <c r="J109" s="38"/>
      <c r="K109" s="38"/>
      <c r="L109" s="38"/>
      <c r="M109" s="38"/>
      <c r="N109" s="38"/>
      <c r="O109" s="38" t="s">
        <v>58</v>
      </c>
      <c r="P109" s="38">
        <v>177</v>
      </c>
      <c r="S109"/>
      <c r="T109"/>
      <c r="U109"/>
      <c r="V109"/>
      <c r="W109"/>
      <c r="X109"/>
      <c r="Y109"/>
      <c r="Z109"/>
      <c r="AA109"/>
      <c r="AC109"/>
      <c r="AD109"/>
      <c r="AE109"/>
      <c r="AF109"/>
      <c r="AG109"/>
      <c r="AH109"/>
      <c r="AI109"/>
      <c r="AS109" s="457">
        <v>45641</v>
      </c>
      <c r="AT109" s="98" t="s">
        <v>940</v>
      </c>
      <c r="AU109" s="98" t="s">
        <v>65</v>
      </c>
      <c r="AV109" s="98" t="s">
        <v>996</v>
      </c>
      <c r="AW109" s="98" t="s">
        <v>930</v>
      </c>
      <c r="AX109" s="98">
        <v>19</v>
      </c>
      <c r="AY109" s="98" t="s">
        <v>985</v>
      </c>
      <c r="AZ109"/>
      <c r="BA109"/>
      <c r="BB109" s="98" t="s">
        <v>58</v>
      </c>
      <c r="BC109" s="98" t="s">
        <v>59</v>
      </c>
      <c r="BD109" s="98" t="s">
        <v>55</v>
      </c>
      <c r="BE109" s="98" t="s">
        <v>998</v>
      </c>
      <c r="BF109">
        <v>53100000</v>
      </c>
    </row>
    <row r="110" spans="8:58" x14ac:dyDescent="0.3">
      <c r="H110" s="459">
        <v>45641</v>
      </c>
      <c r="I110" s="38" t="s">
        <v>930</v>
      </c>
      <c r="J110" s="38"/>
      <c r="K110" s="38"/>
      <c r="L110" s="38"/>
      <c r="M110" s="38"/>
      <c r="N110" s="38"/>
      <c r="O110" s="38" t="s">
        <v>62</v>
      </c>
      <c r="P110" s="38">
        <v>118</v>
      </c>
      <c r="S110"/>
      <c r="T110"/>
      <c r="U110"/>
      <c r="V110"/>
      <c r="W110"/>
      <c r="X110"/>
      <c r="Y110"/>
      <c r="Z110"/>
      <c r="AA110"/>
      <c r="AC110"/>
      <c r="AD110"/>
      <c r="AE110"/>
      <c r="AF110"/>
      <c r="AG110"/>
      <c r="AH110"/>
      <c r="AI110"/>
      <c r="AS110" s="457">
        <v>45641</v>
      </c>
      <c r="AT110" s="98" t="s">
        <v>940</v>
      </c>
      <c r="AU110" s="98" t="s">
        <v>65</v>
      </c>
      <c r="AV110" s="98" t="s">
        <v>996</v>
      </c>
      <c r="AW110" s="98" t="s">
        <v>930</v>
      </c>
      <c r="AX110" s="98">
        <v>19</v>
      </c>
      <c r="AY110" s="98" t="s">
        <v>985</v>
      </c>
      <c r="AZ110"/>
      <c r="BA110"/>
      <c r="BB110" s="98" t="s">
        <v>62</v>
      </c>
      <c r="BC110" s="98" t="s">
        <v>63</v>
      </c>
      <c r="BD110" s="98" t="s">
        <v>55</v>
      </c>
      <c r="BE110" s="98" t="s">
        <v>998</v>
      </c>
      <c r="BF110">
        <v>59000000</v>
      </c>
    </row>
    <row r="111" spans="8:58" x14ac:dyDescent="0.3">
      <c r="H111" s="459">
        <v>45651</v>
      </c>
      <c r="I111" s="38" t="s">
        <v>935</v>
      </c>
      <c r="J111" s="38" t="s">
        <v>996</v>
      </c>
      <c r="K111" s="38" t="s">
        <v>992</v>
      </c>
      <c r="L111" s="38" t="s">
        <v>984</v>
      </c>
      <c r="M111" s="38">
        <v>2</v>
      </c>
      <c r="N111" s="38">
        <v>168000000</v>
      </c>
      <c r="O111" s="38" t="s">
        <v>29</v>
      </c>
      <c r="P111" s="38">
        <v>292</v>
      </c>
      <c r="S111"/>
      <c r="T111"/>
      <c r="U111"/>
      <c r="V111"/>
      <c r="W111"/>
      <c r="X111"/>
      <c r="Y111"/>
      <c r="Z111"/>
      <c r="AA111"/>
      <c r="AC111"/>
      <c r="AD111"/>
      <c r="AE111"/>
      <c r="AF111"/>
      <c r="AG111"/>
      <c r="AH111"/>
      <c r="AI111"/>
      <c r="AS111" s="457">
        <v>45651</v>
      </c>
      <c r="AT111" s="98" t="s">
        <v>939</v>
      </c>
      <c r="AU111" s="98" t="s">
        <v>54</v>
      </c>
      <c r="AV111" s="98" t="s">
        <v>996</v>
      </c>
      <c r="AW111" s="98" t="s">
        <v>935</v>
      </c>
      <c r="AX111" s="98">
        <v>2</v>
      </c>
      <c r="AY111" s="98" t="s">
        <v>985</v>
      </c>
      <c r="AZ111" s="98">
        <v>5000000</v>
      </c>
      <c r="BA111" s="98">
        <v>168000000</v>
      </c>
      <c r="BB111" s="98" t="s">
        <v>29</v>
      </c>
      <c r="BC111" s="98" t="s">
        <v>52</v>
      </c>
      <c r="BD111" s="98" t="s">
        <v>55</v>
      </c>
      <c r="BE111" s="98" t="s">
        <v>998</v>
      </c>
      <c r="BF111">
        <v>58400000</v>
      </c>
    </row>
    <row r="112" spans="8:58" x14ac:dyDescent="0.3">
      <c r="H112" s="459">
        <v>45651</v>
      </c>
      <c r="I112" s="38" t="s">
        <v>935</v>
      </c>
      <c r="J112" s="38"/>
      <c r="K112" s="38"/>
      <c r="L112" s="38"/>
      <c r="M112" s="38"/>
      <c r="N112" s="38"/>
      <c r="O112" s="38" t="s">
        <v>58</v>
      </c>
      <c r="P112" s="38">
        <v>182</v>
      </c>
      <c r="S112"/>
      <c r="T112"/>
      <c r="U112"/>
      <c r="V112"/>
      <c r="W112"/>
      <c r="X112"/>
      <c r="Y112"/>
      <c r="Z112"/>
      <c r="AA112"/>
      <c r="AC112"/>
      <c r="AD112"/>
      <c r="AE112"/>
      <c r="AF112"/>
      <c r="AG112"/>
      <c r="AH112"/>
      <c r="AI112"/>
      <c r="AS112" s="457">
        <v>45651</v>
      </c>
      <c r="AT112" s="98" t="s">
        <v>939</v>
      </c>
      <c r="AU112" s="98" t="s">
        <v>54</v>
      </c>
      <c r="AV112" s="98" t="s">
        <v>996</v>
      </c>
      <c r="AW112" s="98" t="s">
        <v>935</v>
      </c>
      <c r="AX112" s="98">
        <v>2</v>
      </c>
      <c r="AY112" s="98" t="s">
        <v>985</v>
      </c>
      <c r="AZ112"/>
      <c r="BA112"/>
      <c r="BB112" s="98" t="s">
        <v>58</v>
      </c>
      <c r="BC112" s="98" t="s">
        <v>59</v>
      </c>
      <c r="BD112" s="98" t="s">
        <v>55</v>
      </c>
      <c r="BE112" s="98" t="s">
        <v>998</v>
      </c>
      <c r="BF112">
        <v>54600000</v>
      </c>
    </row>
    <row r="113" spans="8:58" x14ac:dyDescent="0.3">
      <c r="H113" s="459">
        <v>45651</v>
      </c>
      <c r="I113" s="38" t="s">
        <v>935</v>
      </c>
      <c r="J113" s="38"/>
      <c r="K113" s="38"/>
      <c r="L113" s="38"/>
      <c r="M113" s="38"/>
      <c r="N113" s="38"/>
      <c r="O113" s="38" t="s">
        <v>62</v>
      </c>
      <c r="P113" s="38">
        <v>120</v>
      </c>
      <c r="S113"/>
      <c r="T113"/>
      <c r="U113"/>
      <c r="V113"/>
      <c r="W113"/>
      <c r="X113"/>
      <c r="Y113"/>
      <c r="Z113"/>
      <c r="AA113"/>
      <c r="AC113"/>
      <c r="AD113"/>
      <c r="AE113"/>
      <c r="AF113"/>
      <c r="AG113"/>
      <c r="AH113"/>
      <c r="AI113"/>
      <c r="AS113" s="457">
        <v>45651</v>
      </c>
      <c r="AT113" s="98" t="s">
        <v>939</v>
      </c>
      <c r="AU113" s="98" t="s">
        <v>54</v>
      </c>
      <c r="AV113" s="98" t="s">
        <v>996</v>
      </c>
      <c r="AW113" s="98" t="s">
        <v>935</v>
      </c>
      <c r="AX113" s="98">
        <v>2</v>
      </c>
      <c r="AY113" s="98" t="s">
        <v>985</v>
      </c>
      <c r="AZ113"/>
      <c r="BA113"/>
      <c r="BB113" s="98" t="s">
        <v>62</v>
      </c>
      <c r="BC113" s="98" t="s">
        <v>63</v>
      </c>
      <c r="BD113" s="98" t="s">
        <v>55</v>
      </c>
      <c r="BE113" s="98" t="s">
        <v>998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G55"/>
  <sheetViews>
    <sheetView showGridLines="0" zoomScale="85" zoomScaleNormal="85" workbookViewId="0">
      <selection activeCell="BB6" sqref="BB6"/>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3.25" style="130" hidden="1" customWidth="1" outlineLevel="1"/>
    <col min="12" max="12" width="16.375" style="130" hidden="1" customWidth="1" outlineLevel="1"/>
    <col min="13" max="13" width="11.625" style="130" hidden="1" customWidth="1" outlineLevel="1"/>
    <col min="14" max="14" width="12.75" style="130" hidden="1" customWidth="1" outlineLevel="1"/>
    <col min="15" max="15" width="12.5" style="130" hidden="1" customWidth="1" outlineLevel="1"/>
    <col min="16" max="16" width="13" style="130" hidden="1" customWidth="1" outlineLevel="1"/>
    <col min="17" max="17" width="15.625" style="130" hidden="1" customWidth="1" outlineLevel="1"/>
    <col min="18" max="18" width="15.875" style="130" hidden="1" customWidth="1" outlineLevel="1"/>
    <col min="19" max="19" width="13.25" style="130" hidden="1" customWidth="1" outlineLevel="1"/>
    <col min="20" max="20" width="10.5" style="130" hidden="1" customWidth="1" outlineLevel="1"/>
    <col min="21" max="21" width="13.125" style="130" hidden="1" customWidth="1" outlineLevel="1"/>
    <col min="22" max="22" width="15.25" style="130" hidden="1" customWidth="1" outlineLevel="1"/>
    <col min="23" max="23" width="12" style="130" hidden="1" customWidth="1" outlineLevel="1"/>
    <col min="24" max="24" width="10.125" style="130" hidden="1" customWidth="1" outlineLevel="1"/>
    <col min="25" max="25" width="11.375" style="130" hidden="1" customWidth="1" outlineLevel="1"/>
    <col min="26" max="26" width="9.375" style="130" hidden="1" customWidth="1" outlineLevel="1"/>
    <col min="27" max="27" width="11.625" style="130" hidden="1" customWidth="1" outlineLevel="1"/>
    <col min="28" max="28" width="9" style="130" hidden="1" customWidth="1" outlineLevel="1"/>
    <col min="29" max="29" width="17.625" style="130" hidden="1" customWidth="1" outlineLevel="1"/>
    <col min="30" max="31" width="15.75" style="130" hidden="1" customWidth="1" outlineLevel="1"/>
    <col min="32" max="32" width="12.625" style="130" hidden="1" customWidth="1" outlineLevel="1"/>
    <col min="33" max="33" width="9.125" style="130" hidden="1" customWidth="1" outlineLevel="1"/>
    <col min="34" max="34" width="19.25" style="130" hidden="1" customWidth="1" outlineLevel="1"/>
    <col min="35" max="35" width="16.375" style="130" hidden="1" customWidth="1" outlineLevel="1"/>
    <col min="36" max="36" width="17.75" style="130" hidden="1" customWidth="1" outlineLevel="1"/>
    <col min="37" max="37" width="13.25" style="130" hidden="1" customWidth="1" outlineLevel="1"/>
    <col min="38" max="38" width="14.625" style="130" hidden="1" customWidth="1" outlineLevel="1"/>
    <col min="39" max="39" width="19.875" style="130" hidden="1" customWidth="1" outlineLevel="1"/>
    <col min="40" max="40" width="11.625" style="130" hidden="1" customWidth="1" outlineLevel="1"/>
    <col min="41" max="41" width="16.875" style="130" hidden="1" customWidth="1" outlineLevel="1"/>
    <col min="42" max="43" width="14.75" style="130" hidden="1" customWidth="1" outlineLevel="1"/>
    <col min="44" max="44" width="17" style="130" hidden="1" customWidth="1" outlineLevel="1"/>
    <col min="45" max="45" width="17.625" style="130" hidden="1" customWidth="1" outlineLevel="1"/>
    <col min="46" max="46" width="24.125" style="130" hidden="1" customWidth="1" outlineLevel="1"/>
    <col min="47" max="47" width="19.5" style="130" hidden="1" customWidth="1" outlineLevel="1"/>
    <col min="48" max="48" width="12.75" style="130" hidden="1" customWidth="1" outlineLevel="1"/>
    <col min="49" max="49" width="15.125" style="130" hidden="1" customWidth="1" outlineLevel="1"/>
    <col min="50" max="50" width="15.5" style="130" hidden="1" customWidth="1" outlineLevel="1"/>
    <col min="51" max="51" width="14.75" style="130" hidden="1" customWidth="1" outlineLevel="1"/>
    <col min="52" max="52" width="20.625" style="130" hidden="1" customWidth="1" outlineLevel="1"/>
    <col min="53" max="53" width="9.75" style="130" hidden="1" customWidth="1" outlineLevel="1"/>
    <col min="54" max="54" width="16.5" style="130" hidden="1" customWidth="1" outlineLevel="1"/>
    <col min="55" max="55" width="3" style="130" customWidth="1"/>
    <col min="56" max="56" width="9" style="134"/>
    <col min="57" max="62" width="8" style="130" customWidth="1"/>
    <col min="63" max="63" width="9" style="130"/>
    <col min="64" max="64" width="12.375" style="130" bestFit="1" customWidth="1"/>
    <col min="65" max="68" width="9" style="130"/>
    <col min="69" max="69" width="9.375" style="130" bestFit="1" customWidth="1"/>
    <col min="70" max="91" width="9" style="130"/>
    <col min="92" max="92" width="8" style="132" customWidth="1"/>
    <col min="93" max="93" width="6.625" style="132" bestFit="1" customWidth="1"/>
    <col min="94" max="94" width="10.875" style="132" bestFit="1" customWidth="1"/>
    <col min="95" max="95" width="10.25" style="132" bestFit="1" customWidth="1"/>
    <col min="96" max="96" width="9.125" style="132" bestFit="1" customWidth="1"/>
    <col min="97" max="97" width="9" style="132"/>
    <col min="98" max="98" width="8" style="162" customWidth="1"/>
    <col min="99" max="99" width="9" style="138" customWidth="1"/>
    <col min="100" max="102" width="10.25" style="138" customWidth="1"/>
    <col min="103" max="103" width="10" style="138" bestFit="1" customWidth="1"/>
    <col min="104" max="104" width="6.5" style="138" bestFit="1" customWidth="1"/>
    <col min="105" max="106" width="9" style="138" customWidth="1"/>
    <col min="107" max="108" width="9" style="138"/>
    <col min="109" max="109" width="8.25" style="138" bestFit="1" customWidth="1"/>
    <col min="110" max="110" width="9" style="138"/>
    <col min="111" max="111" width="9" style="132"/>
    <col min="112" max="16384" width="9" style="130"/>
  </cols>
  <sheetData>
    <row r="1" spans="2:109" ht="18" customHeight="1" x14ac:dyDescent="0.3">
      <c r="BD1" s="130"/>
    </row>
    <row r="2" spans="2:109" ht="18" customHeight="1" x14ac:dyDescent="0.3">
      <c r="BD2" s="130"/>
      <c r="CS2" s="136"/>
    </row>
    <row r="3" spans="2:109" ht="18" customHeight="1" x14ac:dyDescent="0.3">
      <c r="BD3" s="130"/>
      <c r="CP3" s="136"/>
      <c r="CS3" s="136"/>
    </row>
    <row r="4" spans="2:109" ht="18" customHeight="1" x14ac:dyDescent="0.3">
      <c r="BD4" s="130"/>
      <c r="CO4" s="132" t="s">
        <v>2</v>
      </c>
      <c r="CP4" s="132" t="s">
        <v>66</v>
      </c>
      <c r="CQ4" s="132" t="s">
        <v>67</v>
      </c>
      <c r="CR4" s="132" t="s">
        <v>22</v>
      </c>
      <c r="CS4" s="132" t="s">
        <v>68</v>
      </c>
      <c r="CU4" s="138" t="s">
        <v>21</v>
      </c>
      <c r="CV4" s="138" t="s">
        <v>69</v>
      </c>
      <c r="CW4" s="138" t="s">
        <v>22</v>
      </c>
      <c r="CX4" s="138" t="s">
        <v>68</v>
      </c>
      <c r="CY4" s="138" t="s">
        <v>70</v>
      </c>
      <c r="DA4" s="138" t="s">
        <v>22</v>
      </c>
      <c r="DB4" s="138" t="s">
        <v>71</v>
      </c>
      <c r="DD4" s="138" t="s">
        <v>72</v>
      </c>
    </row>
    <row r="5" spans="2:109"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D5" s="130"/>
      <c r="BE5" s="134"/>
      <c r="BF5" s="134"/>
      <c r="BG5" s="134"/>
      <c r="BH5" s="134"/>
      <c r="BI5" s="134"/>
      <c r="BJ5" s="134"/>
      <c r="CN5" s="197"/>
      <c r="CO5" s="132">
        <v>2023</v>
      </c>
      <c r="CP5" s="198"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0</v>
      </c>
      <c r="CQ5" s="148" t="str" cm="1">
        <f t="array" ref="CQ5"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f>
        <v/>
      </c>
      <c r="CR5" s="151" t="str">
        <f>IFERROR(TEXT(Dashboard_GiaTriNam[[#This Row],[Giá trị đạt]],LOOKUP(Dashboard_GiaTriNam[[#This Row],[Giá trị đạt]],Pivot!$B$6:$B$12,Pivot!$C$6:$C$12)),"")</f>
        <v/>
      </c>
      <c r="CS5" s="150" t="e"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T5" s="199"/>
      <c r="CU5" s="138" t="s">
        <v>73</v>
      </c>
      <c r="CV5" s="166" cm="1">
        <f t="array" ref="CV5">IFERROR(SUM(_xlfn._xlws.FILTER(Table_Datafeed[Sản lượng],
(Table_Datafeed[Kỳ] &gt;= Pivot!$E$2)*
(Table_Datafeed[Kỳ]&lt;=Pivot!$E$3)
)),0)</f>
        <v>0</v>
      </c>
      <c r="CX5" s="160" t="e">
        <f>CV5/CV6</f>
        <v>#DIV/0!</v>
      </c>
      <c r="CY5" s="138" cm="1">
        <f t="array" ref="CY5">CV5-
IFERROR(SUM(_xlfn._xlws.FILTER(Table_Datafeed[Sản lượng],
(Table_Datafeed[Kỳ] &gt;= DATE(YEAR(Pivot!$E$2)-1,MONTH(Pivot!$E$2),1))*
(Table_Datafeed[Kỳ]&lt;=DATE(YEAR(Pivot!$E$3)-1,MONTH(Pivot!$E$3),1))
)),0)</f>
        <v>0</v>
      </c>
      <c r="DB5" s="160" t="e">
        <f>CV5/(CV5-CY5)-1</f>
        <v>#DIV/0!</v>
      </c>
      <c r="DD5" s="160"/>
    </row>
    <row r="6" spans="2:109"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 xml:space="preserve">
+IFERROR(SUM(
_xlfn._xlws.FILTER(Table_DonBan[Doanh thu ròng],
(ISBLANK(Table_DonBan[Phân bổ từ]))*
(ISBLANK(Table_DonBan[Phân bổ đến]))*
(Table_Main[Ngày lên đơn] &gt;= Table_Datafeed[[#This Row],[Kỳ]])*
(Table_Main[Ngày lên đơn] &lt; DATE(Table_Datafeed[[#This Row],[Năm]],Table_Datafeed[[#This Row],[Tháng]]+1, 1))
)),0)
+IFERROR(SUMPRODUCT(
_xlfn._xlws.FILTER(Table_DonBan[Doanh thu ròng],
(NOT(ISBLANK(Table_DonBan[Phân bổ từ])))*
(NOT(ISBLANK(Table_DonBan[Phân bổ đến])))*
(Table_DonBan[Phân bổ từ]&lt;DATE(Table_Datafeed[[#This Row],[Năm]],Table_Datafeed[[#This Row],[Tháng]]+1, 1))*
(Table_DonBan[Phân bổ đến]&gt;=Table_Datafeed[[#This Row],[Kỳ]])
),
_xlfn._xlws.FILTER(
ROUND((DATE(Table_Datafeed[[#This Row],[Năm]],Table_Datafeed[[#This Row],[Tháng]]+1, 1)- 1 - Table_DonBan[Phân bổ từ]) / (362.25 / 12 ), 0),
(NOT(ISBLANK(Table_DonBan[Phân bổ từ])))*
(NOT(ISBLANK(Table_DonBan[Phân bổ đến])))*
(Table_DonBan[Phân bổ từ]&lt;DATE(Table_Datafeed[[#This Row],[Năm]],Table_Datafeed[[#This Row],[Tháng]]+1, 1))*
(Table_DonBan[Phân bổ đến]&gt;=Table_Datafeed[[#This Row],[Kỳ]])
),
_xlfn._xlws.FILTER(
1/ROUND((Table_DonBan[Phân bổ đến] - Table_DonBan[Phân bổ từ]) / (362.25 / 12 ),0),
(NOT(ISBLANK(Table_DonBan[Phân bổ từ])))*
(NOT(ISBLANK(Table_DonBan[Phân bổ đến])))*
(Table_DonBan[Phân bổ từ]&lt;DATE(Table_Datafeed[[#This Row],[Năm]],Table_Datafeed[[#This Row],[Tháng]]+1, 1))*
(Table_DonBan[Phân bổ đến]&gt;=Table_Datafeed[[#This Row],[Kỳ]])
)),0)</f>
        <v>0</v>
      </c>
      <c r="I6" s="150" t="e">
        <f>(Table_Datafeed[[#This Row],[Doanh thu]]+Table_Datafeed[[#This Row],[Chi phí biến đổi]])/Table_Datafeed[[#This Row],[Doanh thu]]</f>
        <v>#DIV/0!</v>
      </c>
      <c r="J6" s="198">
        <f>SUM(Table_Datafeed[[#This Row],[CP nguyên liệu]:[CP vận chuyển]])</f>
        <v>0</v>
      </c>
      <c r="K6" s="148" cm="1">
        <f t="array" ref="K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L6" s="454" cm="1">
        <f t="array" ref="L6">-
IFERROR(
SUM(
_xlfn._xlws.FILTER(Table_ChiPhiKD[Phân bổ sản xuất],
(Table_ChiPhiKD[Kỳ] = Table_Datafeed[[#This Row],[Kỳ]]) *
(NOT(ISBLANK(Table_ChiPhiKD[Tháng])))*
(VLOOKUP(Table_ChiPhiKD[Nhóm chi phí],Table_ChiPhiKD_PhanNhom[],Sheet_ChiPhiKD!$J$2,0) = "Chưa phân bổ" )
)),0)
- IFERROR(SUMPRODUCT(
_xlfn._xlws.FILTER(Table_ChiPhiKD[Phân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f>
        <v>0</v>
      </c>
      <c r="M6" s="148" cm="1">
        <f t="array" ref="M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N6" s="198" cm="1">
        <f t="array" ref="N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O6" s="198" cm="1">
        <f t="array" ref="O6">-IFERROR(SUM(
_xlfn._xlws.FILTER(Table_ThuChiKD[Phí GD],
(Table_ThuChiKD[Ngày GD] &gt;= Table_Datafeed[[#This Row],[Kỳ]])*
(Table_ThuChiKD[Ngày GD] &lt; DATE(Table_Datafeed[[#This Row],[Năm]],Table_Datafeed[[#This Row],[Tháng]]+1,1))
)),0)</f>
        <v>0</v>
      </c>
      <c r="P6" s="198" cm="1">
        <f t="array" ref="P6">-IFERROR(
SUM(_xlfn._xlws.FILTER(Table_VanDon[Phí ship],
(Table_VanDon[Bên chịu phí] = "Bên bán") *
(Table_VanDon[Ngày lập] &gt;= Table_Datafeed[[#This Row],[Kỳ]]) *
(Table_VanDon[Ngày lập] &lt; DATE(Table_Datafeed[[#This Row],[Năm]],Table_Datafeed[[#This Row],[Tháng]]+1,1))
)),0)</f>
        <v>0</v>
      </c>
      <c r="Q6" s="198">
        <f>+Table_Datafeed[[#This Row],[Doanh thu]]+Table_Datafeed[[#This Row],[Chi phí biến đổi]]</f>
        <v>0</v>
      </c>
      <c r="R6" s="150" t="e">
        <f>Table_Datafeed[[#This Row],[Chi phí cố định]]/(Table_Datafeed[[#This Row],[Chi phí cố định]]+Table_Datafeed[[#This Row],[Chi phí biến đổi]])</f>
        <v>#DIV/0!</v>
      </c>
      <c r="S6" s="198">
        <f>SUM(Table_Datafeed[[#This Row],[CP nhân sự]:[CP khác]])</f>
        <v>0</v>
      </c>
      <c r="T6" s="454" cm="1">
        <f t="array" ref="T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U6" s="454" cm="1">
        <f t="array" ref="U6">-IFERROR(
SUM(_xlfn._xlws.FILTER(Table_TonKho[Chi phí ghi nhận],
(Table_TonKho[Kỳ] = Table_Datafeed[[#This Row],[Kỳ]]) *
(Table_TonKho[Chức năng] = "Văn phòng")
)),0)
-IFERROR(
SUM(
_xlfn._xlws.FILTER(Table_ChiPhiKD[Giá trị]-Table_ChiPhiKD[Phân bổ sản xuất],
(Table_ChiPhiKD[Kỳ] = Table_Datafeed[[#This Row],[Kỳ]])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phí],Table_ChiPhiKD_PhanNhom[],Sheet_ChiPhiKD!$J$2,0) = "Chưa phân bổ" ))
), 0)</f>
        <v>0</v>
      </c>
      <c r="V6" s="162" cm="1">
        <f t="array" ref="V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W6" s="162" cm="1">
        <f t="array" ref="W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X6" s="162" cm="1">
        <f t="array" ref="X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Y6" s="162" cm="1">
        <f t="array" ref="Y6">-IFERROR(SUM(_xlfn._xlws.FILTER(Table_TSCD_KhauHao[Khấu hao],
(Table_TSCD_KhauHao[Kỳ] = Table_Datafeed[[#This Row],[Kỳ]]))),0)</f>
        <v>0</v>
      </c>
      <c r="Z6" s="198" cm="1">
        <f t="array" ref="Z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A6" s="162" cm="1">
        <f t="array" ref="AA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B6" s="198" cm="1">
        <f t="array" ref="AB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C6" s="198">
        <f>+Table_Datafeed[[#This Row],[Lợi nhuận biến đổi]]+Table_Datafeed[[#This Row],[Chi phí cố định]]</f>
        <v>0</v>
      </c>
      <c r="AD6" s="455"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E6" s="198">
        <f>+Table_Datafeed[[#This Row],[Tiền bán hàng]]+Table_Datafeed[[#This Row],[Tiền VAT]]+Table_Datafeed[[#This Row],[Tiền chi kinh doanh]]+Table_Datafeed[[#This Row],[Tiền nộp NN]]</f>
        <v>0</v>
      </c>
      <c r="AF6" s="198" cm="1">
        <f t="array" ref="AF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G6" s="198" cm="1">
        <f t="array" ref="AG6">IFERROR(
SUM(_xlfn._xlws.FILTER(Table_NopNS[Giá trị tính thuế],
(Table_NopNS[Ngân sách] = "Thuế VAT")*
(Table_NopNS[Năm]=Table_Datafeed[[#This Row],[Năm]])*
(Table_NopNS[Tháng] = Table_Datafeed[[#This Row],[Tháng]])
)),0)</f>
        <v>0</v>
      </c>
      <c r="AH6" s="151" t="e">
        <f>(Table_Datafeed[[#This Row],[Doanh thu]]-Table_Datafeed[[#This Row],[Tiền bán hàng]])/Table_Datafeed[[#This Row],[Doanh thu]]</f>
        <v>#DIV/0!</v>
      </c>
      <c r="AI6" s="198">
        <f>+Table_Datafeed[[#This Row],[Tiền mua nguyên liệu]]+Table_Datafeed[[#This Row],[Tiền trả chi phí]]+Table_Datafeed[[#This Row],[Tiền trả lao động]]</f>
        <v>0</v>
      </c>
      <c r="AJ6" s="198" cm="1">
        <f t="array" ref="AJ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K6" s="198" cm="1">
        <f t="array" ref="AK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M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N6" s="198" cm="1">
        <f t="array" ref="AN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O6" s="198">
        <f>+Table_Datafeed[[#This Row],[Tiền trả gốc &amp; lãi]]+Table_Datafeed[[#This Row],[Tiền đầu tư TSCĐ]]+Table_Datafeed[[#This Row],[Tiền đầu tư tài chính]]</f>
        <v>0</v>
      </c>
      <c r="AP6" s="198" cm="1">
        <f t="array" ref="AP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Q6" s="198" cm="1">
        <f t="array" ref="AQ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S6" s="198">
        <f>+Table_Datafeed[[#This Row],[Dòng tiền kinh doanh]]+Table_Datafeed[[#This Row],[Tiền trả gốc &amp; lãi]]</f>
        <v>0</v>
      </c>
      <c r="AT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U6" s="148" cm="1">
        <f t="array" ref="AU6">Sheet_BaoCaoTaiChinh!$D$74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V6" s="198" cm="1">
        <f t="array" ref="AV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W6" s="198" cm="1">
        <f t="array" ref="AW6">+IFERROR(SUM(_xlfn._xlws.FILTER(Table_ThuChiTC[Giá trị GD],
(Table_ThuChiTC[Loại GD]="THU")*
(Table_ThuChiTC[Nội dung GD]=Sheet_ThuChiTC!$F$9)*
(Table_ThuChiTC[Ngày GD]&gt;=Table_Datafeed[[#This Row],[Kỳ]])*
(Table_ThuChiTC[Ngày GD]&lt;DATE(Table_Datafeed[[#This Row],[Năm]],Table_Datafeed[[#This Row],[Tháng]]+1,1))
)),0)</f>
        <v>0</v>
      </c>
      <c r="AX6" s="198" cm="1">
        <f t="array" ref="AX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Y6" s="151" cm="1">
        <f t="array" ref="AY6" xml:space="preserve">
(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(Sheet_BaoCaoTaiChinh!$D$113+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+Sheet_BaoCaoTaiChinh!$D$110
+Sheet_BaoCaoTaiChinh!$D$104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AZ6" s="198">
        <f>+Table_Datafeed[[#This Row],[Số dư tiền mặt vận hành]]+
+SUM(Table_Datafeed[[#This Row],[Tiền lời đầu tư]:[Huy động vốn góp]])</f>
        <v>0</v>
      </c>
      <c r="BA6" s="198" cm="1">
        <f t="array" ref="BA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B6" s="198">
        <f>+Table_Datafeed[[#This Row],[Số dư tiền mặt nguồn vốn]]+Table_Datafeed[[#This Row],[Trả cổ tức]]</f>
        <v>0</v>
      </c>
      <c r="BD6" s="130"/>
      <c r="BE6" s="134"/>
      <c r="BF6" s="134"/>
      <c r="BG6" s="134"/>
      <c r="BH6" s="134"/>
      <c r="BI6" s="134"/>
      <c r="BJ6" s="134"/>
      <c r="CN6" s="197"/>
      <c r="CO6" s="132">
        <v>2024</v>
      </c>
      <c r="CP6" s="162"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0</v>
      </c>
      <c r="CQ6" s="435" t="str" cm="1">
        <f t="array" ref="CQ6" xml:space="preserve">
IFERROR(
_xlfn.IFS(
AND($CU$12=1, Dashboard_GiaTriNam[[#This Row],[Hiệu quả]]&gt;=$BL$18),Dashboard_GiaTriNam[[#This Row],[Giá trị gốc]],
AND($CU$12=2, Dashboard_GiaTriNam[[#This Row],[Hiệu quả]]&gt;=0),Dashboard_GiaTriNam[[#This Row],[Giá trị gốc]],
AND($CU$12=3, Dashboard_GiaTriNam[[#This Row],[Hiệu quả]]&gt;=$BL$24),Dashboard_GiaTriNam[[#This Row],[Giá trị gốc]],
AND($CU$12=4, Dashboard_GiaTriNam[[#This Row],[Hiệu quả]]&gt;=$BL$27),Dashboard_GiaTriNam[[#This Row],[Giá trị gốc]]
),"")</f>
        <v/>
      </c>
      <c r="CR6" s="437" t="str">
        <f>IFERROR(TEXT(Dashboard_GiaTriNam[[#This Row],[Giá trị đạt]],LOOKUP(Dashboard_GiaTriNam[[#This Row],[Giá trị đạt]],Pivot!$B$6:$B$12,Pivot!$C$6:$C$12)),"")</f>
        <v/>
      </c>
      <c r="CS6" s="436" t="e" cm="1" v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gốc]]/($BL$21*12)-1,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T6" s="199"/>
      <c r="CU6" s="138" t="s">
        <v>74</v>
      </c>
      <c r="CV6" s="166" cm="1">
        <f t="array" ref="CV6">IFERROR(SUM(_xlfn._xlws.FILTER(Table_Datafeed[Điểm hòa vốn],
(Table_Datafeed[Kỳ] &gt;= Pivot!$E$2)*
(Table_Datafeed[Kỳ]&lt;=Pivot!$E$3)
)),0)</f>
        <v>0</v>
      </c>
      <c r="DB6" s="160"/>
      <c r="DD6" s="160"/>
      <c r="DE6" s="144"/>
    </row>
    <row r="7" spans="2:109" ht="18" customHeight="1" x14ac:dyDescent="0.3">
      <c r="BD7" s="130"/>
      <c r="BE7" s="134"/>
      <c r="BF7" s="134"/>
      <c r="BG7" s="134"/>
      <c r="BH7" s="134"/>
      <c r="BI7" s="134"/>
      <c r="BJ7" s="134"/>
      <c r="CN7" s="197"/>
      <c r="CT7" s="199"/>
      <c r="CU7" s="138" t="s">
        <v>33</v>
      </c>
      <c r="CV7" s="166" cm="1">
        <f t="array" ref="CV7">IFERROR(SUM(_xlfn._xlws.FILTER(Table_Datafeed[Doanh thu],
(Table_Datafeed[Kỳ] &gt;= Pivot!$E$2)*
(Table_Datafeed[Kỳ]&lt;=Pivot!$E$3)
)),0)</f>
        <v>0</v>
      </c>
      <c r="CW7" s="138" t="str">
        <f>IFERROR(TEXT(CV7,LOOKUP(CV7,Pivot!$B$6:$B$12,Pivot!$C$6:$C$12)),"")</f>
        <v/>
      </c>
      <c r="CY7" s="138" cm="1">
        <f t="array" ref="CY7">CV7-
IFERROR(SUM(_xlfn._xlws.FILTER(Table_Datafeed[Doanh thu],
(Table_Datafeed[Kỳ] &gt;= DATE(YEAR(Pivot!$E$2)-1,MONTH(Pivot!$E$2),1))*
(Table_Datafeed[Kỳ]&lt;=DATE(YEAR(Pivot!$E$3)-1,MONTH(Pivot!$E$3),1))
)),0)</f>
        <v>0</v>
      </c>
      <c r="DA7" s="138" t="str">
        <f>IFERROR(TEXT(CY7,LOOKUP(CY7,Pivot!$B$6:$B$12,Pivot!$C$6:$C$12)),"")</f>
        <v/>
      </c>
      <c r="DB7" s="160" t="e">
        <f>CV7/(CV7-CY7)-1</f>
        <v>#DIV/0!</v>
      </c>
      <c r="DD7" s="160"/>
      <c r="DE7" s="144"/>
    </row>
    <row r="8" spans="2:109" ht="18" customHeight="1" x14ac:dyDescent="0.3">
      <c r="BD8" s="130"/>
      <c r="BE8" s="134"/>
      <c r="BF8" s="134"/>
      <c r="BG8" s="134"/>
      <c r="BH8" s="134"/>
      <c r="BI8" s="134"/>
      <c r="BJ8" s="134"/>
      <c r="CN8" s="197"/>
      <c r="CT8" s="199"/>
      <c r="CU8" s="138" t="s">
        <v>122</v>
      </c>
      <c r="CV8" s="166" cm="1">
        <f t="array" ref="CV8">IFERROR(SUM(_xlfn._xlws.FILTER(Table_Datafeed[Lợi nhuận kinh doanh],
(Table_Datafeed[Kỳ] &gt;= Pivot!$E$2)*
(Table_Datafeed[Kỳ]&lt;=Pivot!$E$3)
)),0)</f>
        <v>0</v>
      </c>
      <c r="CW8" s="138" t="str">
        <f>IFERROR(TEXT(CV8,LOOKUP(CV8,Pivot!$B$6:$B$12,Pivot!$C$6:$C$12)),"")</f>
        <v/>
      </c>
      <c r="CX8" s="179" t="e" cm="1" vm="1">
        <f t="array" ref="CX8">CV8/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+(Sheet_BaoCaoTaiChinh!$D$92+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+Sheet_BaoCaoTaiChinh!$D$83+
IFERROR(
SUM(_xlfn._xlws.FILTER(Table_TonKho[Giá trị cuối kỳ],
Table_TonKho[Kỳ] = DATE(YEAR(Pivot!$E$2), MONTH(Pivot!$E$2)-1,1)
)), 0)
+Sheet_BaoCaoTaiChinh!$D$77+Sheet_BaoCaoTaiChinh!$D$78+Sheet_BaoCaoTaiChinh!$D$79+Sheet_BaoCaoTaiChinh!$D$88+Sheet_BaoCaoTaiChinh!$D$89+Sheet_BaoCaoTaiChinh!$D$90+
IFERROR(
HLOOKUP(DATE(YEAR(Pivot!$E$2), MONTH(Pivot!$E$2)-1,1),Sheet_PhaiThu!$C$1:$XFD$5,Sheet_PhaiThu!$B$2,0
),0)
+IFERROR(
HLOOKUP(
DATE(YEAR(Pivot!$E$2), MONTH(Pivot!$E$2)-1,1),Sheet_PhaiTra!$B$1:$XFD$9,Sheet_PhaiTra!$A$4,0
),0)
+IFERROR(
HLOOKUP(
DATE(YEAR(Pivot!$E$2), MONTH(Pivot!$E$2)-1,1),Sheet_PhaiTra!$B$1:$XFD$9,Sheet_PhaiTra!$A$8,0
),0))
)</f>
        <v>#VALUE!</v>
      </c>
      <c r="CY8" s="138" cm="1">
        <f t="array" ref="CY8">CV8-
IFERROR(SUM(_xlfn._xlws.FILTER(Table_Datafeed[Lợi nhuận kinh doanh],
(Table_Datafeed[Kỳ] &gt;= DATE(YEAR(Pivot!$E$2)-1,MONTH(Pivot!$E$2),1))*
(Table_Datafeed[Kỳ]&lt;=DATE(YEAR(Pivot!$E$3)-1,MONTH(Pivot!$E$3),1))
)),0)</f>
        <v>0</v>
      </c>
      <c r="CZ8" s="138" t="str" cm="1">
        <f t="array" ref="CZ8">IF(CV8-
IFERROR(SUM(_xlfn._xlws.FILTER(Table_Datafeed[Lợi nhuận kinh doanh],
(Table_Datafeed[Kỳ] &gt;= DATE(YEAR(Pivot!$E$2)-1,MONTH(Pivot!$E$2),1))*
(Table_Datafeed[Kỳ]&lt;=DATE(YEAR(Pivot!$E$3)-1,MONTH(Pivot!$E$3),1))
)),0)&gt;0,"tăng",
IF(CV8-
IFERROR(SUM(_xlfn._xlws.FILTER(Table_Datafeed[Lợi nhuận kinh doanh],
(Table_Datafeed[Kỳ] &gt;= DATE(YEAR(Pivot!$E$2)-1,MONTH(Pivot!$E$2),1))*
(Table_Datafeed[Kỳ]&lt;=DATE(YEAR(Pivot!$E$3)-1,MONTH(Pivot!$E$3),1))
)),0)&lt;0,"giảm","không đổi"))</f>
        <v>không đổi</v>
      </c>
      <c r="DA8" s="138" t="str">
        <f>IFERROR(TEXT(ABS(CY8),LOOKUP(ABS(CY8),Pivot!$B$6:$B$12,Pivot!$C$6:$C$12)),"")</f>
        <v/>
      </c>
      <c r="DB8" s="144" t="e" cm="1" vm="2">
        <f t="array" ref="DB8">ABS(CX8-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f>
        <v>#VALUE!</v>
      </c>
      <c r="DC8" s="138" t="e" cm="1" vm="2">
        <f t="array" ref="DC8">IF(CX8-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D8" s="144" cm="1">
        <f t="array" ref="DD8">IFERROR(
SUM(_xlfn._xlws.FILTER(Table_Datafeed[Lợi nhuận biến đổi],
(Table_Datafeed[Kỳ] &gt;=Pivot!$E$2)*
(Table_Datafeed[Kỳ] &lt;=Pivot!$E$3)
)) /
SUM(_xlfn._xlws.FILTER(Table_Datafeed[Doanh thu],
(Table_Datafeed[Kỳ] &gt;=Pivot!$E$2)*
(Table_Datafeed[Kỳ] &lt;=Pivot!$E$3)
)),0)</f>
        <v>0</v>
      </c>
      <c r="DE8" s="166" cm="1">
        <f t="array" ref="DE8">ROUND(1000000*(DD8-IFERROR(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09" ht="18" customHeight="1" x14ac:dyDescent="0.3">
      <c r="BD9" s="130"/>
      <c r="BE9" s="134"/>
      <c r="BF9" s="134"/>
      <c r="BG9" s="134"/>
      <c r="BH9" s="134"/>
      <c r="BI9" s="134"/>
      <c r="BJ9" s="134"/>
      <c r="CN9" s="197"/>
      <c r="CT9" s="199"/>
      <c r="CU9" s="138" t="s">
        <v>123</v>
      </c>
      <c r="CV9" s="166" cm="1">
        <f t="array" ref="CV9">IFERROR(SUM(_xlfn._xlws.FILTER(Table_Datafeed[Dòng tiền vận hành],
(Table_Datafeed[Kỳ] &gt;= Pivot!$E$2)*
(Table_Datafeed[Kỳ]&lt;=Pivot!$E$3)
)),0)</f>
        <v>0</v>
      </c>
      <c r="CW9" s="138" t="str">
        <f>IFERROR(TEXT(CV9,LOOKUP(CV9,Pivot!$B$6:$B$12,Pivot!$C$6:$C$12)),"")</f>
        <v/>
      </c>
      <c r="CX9" s="179" cm="1">
        <f t="array" ref="CX9">CV9/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+(Sheet_BaoCaoTaiChinh!$D$92+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+Sheet_BaoCaoTaiChinh!$D$83+
IFERROR(
SUM(_xlfn._xlws.FILTER(Table_TonKho[Giá trị cuối kỳ],
Table_TonKho[Kỳ] = DATE(YEAR(Pivot!$E$2), MONTH(Pivot!$E$2)-1,1)
)), 0)
+Sheet_BaoCaoTaiChinh!$D$77+Sheet_BaoCaoTaiChinh!$D$78+Sheet_BaoCaoTaiChinh!$D$79+Sheet_BaoCaoTaiChinh!$D$88+Sheet_BaoCaoTaiChinh!$D$89+Sheet_BaoCaoTaiChinh!$D$90+
IFERROR(
HLOOKUP(DATE(YEAR(Pivot!$E$2), MONTH(Pivot!$E$2)-1,1),Sheet_PhaiThu!$C$1:$XFD$5,Sheet_PhaiThu!$B$2,0
),0)
+IFERROR(
HLOOKUP(
DATE(YEAR(Pivot!$E$2), MONTH(Pivot!$E$2)-1,1),Sheet_PhaiTra!$B$1:$XFD$9,Sheet_PhaiTra!$A$4,0
),0)
+IFERROR(
HLOOKUP(
DATE(YEAR(Pivot!$E$2), MONTH(Pivot!$E$2)-1,1),Sheet_PhaiTra!$B$1:$XFD$9,Sheet_PhaiTra!$A$8,0
),0))
)</f>
        <v>0</v>
      </c>
      <c r="CY9" s="138" cm="1">
        <f t="array" ref="CY9">CV9-
IFERROR(SUM(_xlfn._xlws.FILTER(Table_Datafeed[Dòng tiền vận hành],
(Table_Datafeed[Kỳ] &gt;= DATE(YEAR(Pivot!$E$2)-1,MONTH(Pivot!$E$2),1))*
(Table_Datafeed[Kỳ]&lt;=DATE(YEAR(Pivot!$E$3)-1,MONTH(Pivot!$E$3),1))
)),0)</f>
        <v>0</v>
      </c>
      <c r="CZ9" s="138" t="str" cm="1">
        <f t="array" ref="CZ9">IF(CV9-
IFERROR(SUM(_xlfn._xlws.FILTER(Table_Datafeed[Dòng tiền vận hành],
(Table_Datafeed[Kỳ] &gt;= DATE(YEAR(Pivot!$E$2)-1,MONTH(Pivot!$E$2),1))*
(Table_Datafeed[Kỳ]&lt;=DATE(YEAR(Pivot!$E$3)-1,MONTH(Pivot!$E$3),1))
)),0)&gt;0,"tăng",
IF(CV9-
IFERROR(SUM(_xlfn._xlws.FILTER(Table_Datafeed[Dòng tiền vận hành],
(Table_Datafeed[Kỳ] &gt;= DATE(YEAR(Pivot!$E$2)-1,MONTH(Pivot!$E$2),1))*
(Table_Datafeed[Kỳ]&lt;=DATE(YEAR(Pivot!$E$3)-1,MONTH(Pivot!$E$3),1))
)),0)&lt;0,"giảm","không đổi"))</f>
        <v>không đổi</v>
      </c>
      <c r="DA9" s="138" t="str">
        <f>IFERROR(TEXT(ABS(CY9),LOOKUP(ABS(CY9),Pivot!$B$6:$B$12,Pivot!$C$6:$C$12)),"")</f>
        <v/>
      </c>
      <c r="DB9" s="144" cm="1">
        <f t="array" ref="DB9">ABS(CX9-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f>
        <v>0</v>
      </c>
      <c r="DC9" s="138" t="str" cm="1">
        <f t="array" ref="DC9" xml:space="preserve">
IF(CX9-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+(Sheet_BaoCaoTaiChinh!$D$92+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+Sheet_BaoCaoTaiChinh!$D$83+
IFERROR(
SUM(_xlfn._xlws.FILTER(Table_TonKho[Giá trị cuối kỳ],
Table_TonKho[Kỳ] = DATE(YEAR(Pivot!$E$2)-1, MONTH(Pivot!$E$2)-1,1)
)), 0)
+Sheet_BaoCaoTaiChinh!$D$77+Sheet_BaoCaoTaiChinh!$D$78+Sheet_BaoCaoTaiChinh!$D$79+Sheet_BaoCaoTaiChinh!$D$88+Sheet_BaoCaoTaiChinh!$D$89+Sheet_BaoCaoTaiChinh!$D$90+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D9" s="144" cm="1">
        <f t="array" ref="DD9">IFERROR(
SUM(_xlfn._xlws.FILTER(Table_Datafeed[Tiền bán hàng],
(Table_Datafeed[Kỳ] &gt;=Pivot!$E$2)*
(Table_Datafeed[Kỳ] &lt;=Pivot!$E$3)
)) /
SUM(_xlfn._xlws.FILTER(Table_Datafeed[Doanh thu],
(Table_Datafeed[Kỳ] &gt;=Pivot!$E$2)*
(Table_Datafeed[Kỳ] &lt;=Pivot!$E$3)
)),0)</f>
        <v>0</v>
      </c>
      <c r="DE9" s="166" cm="1">
        <f t="array" ref="DE9">ROUND(1000000*(DD9-IFERROR(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09" ht="18" customHeight="1" x14ac:dyDescent="0.3">
      <c r="BD10" s="130"/>
      <c r="BE10" s="134"/>
      <c r="BF10" s="134"/>
      <c r="BG10" s="134"/>
      <c r="BH10" s="134"/>
      <c r="BI10" s="134"/>
      <c r="BJ10" s="134"/>
      <c r="CN10" s="197"/>
      <c r="CT10" s="199"/>
      <c r="CU10" s="142" t="s">
        <v>124</v>
      </c>
      <c r="DC10" s="144"/>
      <c r="DD10" s="144"/>
    </row>
    <row r="11" spans="2:109" ht="18" customHeight="1" x14ac:dyDescent="0.3">
      <c r="BD11" s="130"/>
      <c r="BE11" s="134"/>
      <c r="BF11" s="134"/>
      <c r="BG11" s="134"/>
      <c r="BH11" s="134"/>
      <c r="BI11" s="134"/>
      <c r="BJ11" s="134"/>
      <c r="CN11" s="197"/>
      <c r="CT11" s="199"/>
      <c r="CU11" s="138" t="str" cm="1">
        <f t="array" ref="CU11">_xlfn.IFS(
($CU$12)=1, "sản lượng trong kỳ",
($CU$12)=2, "doanh thu trong kỳ",
($CU$12)=3, "lợi nhuận trong kỳ",
($CU$12)=4, "dòng tiền trong kỳ"
)</f>
        <v>sản lượng trong kỳ</v>
      </c>
      <c r="CW11" s="138">
        <f>COUNTIF(Dashboard_BCQT!$CW$14:$CW$25, "&gt;0")</f>
        <v>0</v>
      </c>
      <c r="DC11" s="144"/>
      <c r="DD11" s="144"/>
    </row>
    <row r="12" spans="2:109" ht="18" customHeight="1" x14ac:dyDescent="0.3">
      <c r="BD12" s="130"/>
      <c r="BE12" s="134"/>
      <c r="BF12" s="134"/>
      <c r="BG12" s="134"/>
      <c r="BH12" s="134"/>
      <c r="BI12" s="134"/>
      <c r="BJ12" s="134"/>
      <c r="CN12" s="197"/>
      <c r="CT12" s="199"/>
      <c r="CU12" s="138">
        <v>1</v>
      </c>
      <c r="CW12" s="144" t="e">
        <f>SUM(Dashboard_BCQT!$CW$14:$CW$25)/SUM(Dashboard_BCQT!$CV$14:$CV$25)</f>
        <v>#DIV/0!</v>
      </c>
      <c r="DC12" s="144"/>
      <c r="DD12" s="144"/>
    </row>
    <row r="13" spans="2:109" ht="18" customHeight="1" x14ac:dyDescent="0.3">
      <c r="BD13" s="130"/>
      <c r="BE13" s="134"/>
      <c r="BF13" s="134"/>
      <c r="BG13" s="134"/>
      <c r="BH13" s="134"/>
      <c r="BI13" s="134"/>
      <c r="BJ13" s="134"/>
      <c r="CN13" s="197"/>
      <c r="CT13" s="199"/>
      <c r="CU13" s="138" t="s">
        <v>1</v>
      </c>
      <c r="CV13" s="138" t="s">
        <v>66</v>
      </c>
      <c r="CW13" s="138" t="s">
        <v>125</v>
      </c>
      <c r="CX13" s="138" t="s">
        <v>126</v>
      </c>
      <c r="CY13" s="138" t="s">
        <v>68</v>
      </c>
      <c r="DC13" s="144"/>
      <c r="DD13" s="144"/>
    </row>
    <row r="14" spans="2:109" ht="18" customHeight="1" x14ac:dyDescent="0.3">
      <c r="BD14" s="130"/>
      <c r="BE14" s="134"/>
      <c r="BF14" s="134"/>
      <c r="BG14" s="134"/>
      <c r="BH14" s="134"/>
      <c r="BI14" s="134"/>
      <c r="BJ14" s="134"/>
      <c r="CN14" s="197"/>
      <c r="CT14" s="199"/>
      <c r="CU14" s="138">
        <v>1</v>
      </c>
      <c r="CV14" s="138" cm="1">
        <f t="array" ref="CV14">IFERROR(
_xlfn.IFS(
($CU$12)=1,
SUM(_xlfn._xlws.FILTER(Table_Datafeed[Sản lượng],
(Table_Datafeed[Kỳ]&gt;=Pivot!$E$2)*
(Table_Datafeed[Kỳ]&lt;=Pivot!$E$3)*
(Table_Datafeed[Tháng] = $CU14))),
($CU$12)=2,
SUM(_xlfn._xlws.FILTER(Table_Datafeed[Doanh thu],
(Table_Datafeed[Kỳ]&gt;=Pivot!$E$2)*
(Table_Datafeed[Kỳ]&lt;=Pivot!$E$3)*
(Table_Datafeed[Tháng] = $CU14))),
($CU$12)=3,
SUM(_xlfn._xlws.FILTER(Table_Datafeed[Lợi nhuận kinh doanh],
(Table_Datafeed[Kỳ]&gt;=Pivot!$E$2)*
(Table_Datafeed[Kỳ]&lt;=Pivot!$E$3)*
(Table_Datafeed[Tháng] =$CU14))),
($CU$12)=4,
SUM(_xlfn._xlws.FILTER(Table_Datafeed[Dòng tiền vận hành],
(Table_Datafeed[Kỳ]&gt;=Pivot!$E$2)*
(Table_Datafeed[Kỳ]&lt;=Pivot!$E$3)*
(Table_Datafeed[Tháng] = $CU14)))
),0)</f>
        <v>0</v>
      </c>
      <c r="CW14" s="138" cm="1">
        <f t="array" ref="CW14" xml:space="preserve">
IFERROR(
_xlfn.IFS(
AND($CU$12=1, $CY14&gt;=$BL$18),$CV14,
AND($CU$12=2, $CY14&gt;=0),$CV14,
AND($CU$12=3, $CY14&gt;=$BL$24),$CV14,
AND($CU$12=4, $CY14&gt;=$BL$27),$CV14
),"")</f>
        <v>0</v>
      </c>
      <c r="CX14" s="138" t="str">
        <f>IFERROR(TEXT($CW14,LOOKUP($CW14,Pivot!$B$6:$B$12,Pivot!$C$6:$C$12)),"")</f>
        <v/>
      </c>
      <c r="CY14" s="138" t="str" cm="1">
        <f t="array" ref="CY14">IFERROR(
_xlfn.IFS(
$CU$12=1,
AVERAGE(_xlfn._xlws.FILTER(Table_Datafeed[Tỷ lệ hòa vốn],
(Table_Datafeed[Kỳ] &gt;= Pivot!$E$2)*
(Table_Datafeed[Kỳ] &lt;= Pivot!$E$3)*
(Table_Datafeed[Tháng] = $CU14))),
$CU$12=2, $CV14/$BL$21-1,
$CU$12=3,
AVERAGE(_xlfn._xlws.FILTER(Table_Datafeed[Hiệu quả lợi nhuận],
(Table_Datafeed[Kỳ] &gt;= Pivot!$E$2)*
(Table_Datafeed[Kỳ] &lt;= Pivot!$E$3)*
(Table_Datafeed[Tháng] = $CU14))),
$CU$12=4,
AVERAGE(_xlfn._xlws.FILTER(Table_Datafeed[Hiệu quả dòng tiền kinh doanh],
(Table_Datafeed[Kỳ] &gt;= Pivot!$E$2)*
(Table_Datafeed[Kỳ] &lt;= Pivot!$E$3)*
(Table_Datafeed[Tháng] = $CU14)))
),"")</f>
        <v/>
      </c>
      <c r="CZ14" s="144"/>
      <c r="DC14" s="144"/>
      <c r="DD14" s="144"/>
    </row>
    <row r="15" spans="2:109" ht="18" customHeight="1" x14ac:dyDescent="0.3">
      <c r="BD15" s="130"/>
      <c r="BE15" s="134"/>
      <c r="BF15" s="134"/>
      <c r="BG15" s="134"/>
      <c r="BH15" s="134"/>
      <c r="BI15" s="134"/>
      <c r="BJ15" s="134"/>
      <c r="BL15" s="152" t="s">
        <v>127</v>
      </c>
      <c r="CN15" s="197"/>
      <c r="CT15" s="199"/>
      <c r="CU15" s="138">
        <v>2</v>
      </c>
      <c r="CV15" s="138" cm="1">
        <f t="array" ref="CV15">IFERROR(
_xlfn.IFS(
($CU$12)=1,
SUM(_xlfn._xlws.FILTER(Table_Datafeed[Sản lượng],
(Table_Datafeed[Kỳ]&gt;=Pivot!$E$2)*
(Table_Datafeed[Kỳ]&lt;=Pivot!$E$3)*
(Table_Datafeed[Tháng] = $CU15))),
($CU$12)=2,
SUM(_xlfn._xlws.FILTER(Table_Datafeed[Doanh thu],
(Table_Datafeed[Kỳ]&gt;=Pivot!$E$2)*
(Table_Datafeed[Kỳ]&lt;=Pivot!$E$3)*
(Table_Datafeed[Tháng] = $CU15))),
($CU$12)=3,
SUM(_xlfn._xlws.FILTER(Table_Datafeed[Lợi nhuận kinh doanh],
(Table_Datafeed[Kỳ]&gt;=Pivot!$E$2)*
(Table_Datafeed[Kỳ]&lt;=Pivot!$E$3)*
(Table_Datafeed[Tháng] =$CU15))),
($CU$12)=4,
SUM(_xlfn._xlws.FILTER(Table_Datafeed[Dòng tiền vận hành],
(Table_Datafeed[Kỳ]&gt;=Pivot!$E$2)*
(Table_Datafeed[Kỳ]&lt;=Pivot!$E$3)*
(Table_Datafeed[Tháng] = $CU15)))
),0)</f>
        <v>0</v>
      </c>
      <c r="CW15" s="138" cm="1">
        <f t="array" ref="CW15" xml:space="preserve">
IFERROR(
_xlfn.IFS(
AND($CU$12=1, $CY15&gt;=$BL$18),$CV15,
AND($CU$12=2, $CY15&gt;=0),$CV15,
AND($CU$12=3, $CY15&gt;=$BL$24),$CV15,
AND($CU$12=4, $CY15&gt;=$BL$27),$CV15
),"")</f>
        <v>0</v>
      </c>
      <c r="CX15" s="138" t="str">
        <f>IFERROR(TEXT($CW15,LOOKUP($CW15,Pivot!$B$6:$B$12,Pivot!$C$6:$C$12)),"")</f>
        <v/>
      </c>
      <c r="CY15" s="138" t="str" cm="1">
        <f t="array" ref="CY15">IFERROR(
_xlfn.IFS(
$CU$12=1,
AVERAGE(_xlfn._xlws.FILTER(Table_Datafeed[Tỷ lệ hòa vốn],
(Table_Datafeed[Kỳ] &gt;= Pivot!$E$2)*
(Table_Datafeed[Kỳ] &lt;= Pivot!$E$3)*
(Table_Datafeed[Tháng] = $CU15))),
$CU$12=2, $CV15/$BL$21-1,
$CU$12=3,
AVERAGE(_xlfn._xlws.FILTER(Table_Datafeed[Hiệu quả lợi nhuận],
(Table_Datafeed[Kỳ] &gt;= Pivot!$E$2)*
(Table_Datafeed[Kỳ] &lt;= Pivot!$E$3)*
(Table_Datafeed[Tháng] = $CU15))),
$CU$12=4,
AVERAGE(_xlfn._xlws.FILTER(Table_Datafeed[Hiệu quả dòng tiền kinh doanh],
(Table_Datafeed[Kỳ] &gt;= Pivot!$E$2)*
(Table_Datafeed[Kỳ] &lt;= Pivot!$E$3)*
(Table_Datafeed[Tháng] = $CU15)))
),"")</f>
        <v/>
      </c>
      <c r="CZ15" s="144"/>
      <c r="DC15" s="144"/>
      <c r="DD15" s="144"/>
    </row>
    <row r="16" spans="2:109" ht="18" customHeight="1" x14ac:dyDescent="0.3">
      <c r="BD16" s="130"/>
      <c r="BE16" s="134"/>
      <c r="BF16" s="134"/>
      <c r="BG16" s="134"/>
      <c r="BH16" s="134"/>
      <c r="BI16" s="134"/>
      <c r="BJ16" s="134"/>
      <c r="BL16" s="200"/>
      <c r="BQ16" s="201"/>
      <c r="BR16" s="201"/>
      <c r="CN16" s="197"/>
      <c r="CT16" s="199"/>
      <c r="CU16" s="138">
        <v>3</v>
      </c>
      <c r="CV16" s="138" cm="1">
        <f t="array" ref="CV16">IFERROR(
_xlfn.IFS(
($CU$12)=1,
SUM(_xlfn._xlws.FILTER(Table_Datafeed[Sản lượng],
(Table_Datafeed[Kỳ]&gt;=Pivot!$E$2)*
(Table_Datafeed[Kỳ]&lt;=Pivot!$E$3)*
(Table_Datafeed[Tháng] = $CU16))),
($CU$12)=2,
SUM(_xlfn._xlws.FILTER(Table_Datafeed[Doanh thu],
(Table_Datafeed[Kỳ]&gt;=Pivot!$E$2)*
(Table_Datafeed[Kỳ]&lt;=Pivot!$E$3)*
(Table_Datafeed[Tháng] = $CU16))),
($CU$12)=3,
SUM(_xlfn._xlws.FILTER(Table_Datafeed[Lợi nhuận kinh doanh],
(Table_Datafeed[Kỳ]&gt;=Pivot!$E$2)*
(Table_Datafeed[Kỳ]&lt;=Pivot!$E$3)*
(Table_Datafeed[Tháng] =$CU16))),
($CU$12)=4,
SUM(_xlfn._xlws.FILTER(Table_Datafeed[Dòng tiền vận hành],
(Table_Datafeed[Kỳ]&gt;=Pivot!$E$2)*
(Table_Datafeed[Kỳ]&lt;=Pivot!$E$3)*
(Table_Datafeed[Tháng] = $CU16)))
),0)</f>
        <v>0</v>
      </c>
      <c r="CW16" s="138" cm="1">
        <f t="array" ref="CW16" xml:space="preserve">
IFERROR(
_xlfn.IFS(
AND($CU$12=1, $CY16&gt;=$BL$18),$CV16,
AND($CU$12=2, $CY16&gt;=0),$CV16,
AND($CU$12=3, $CY16&gt;=$BL$24),$CV16,
AND($CU$12=4, $CY16&gt;=$BL$27),$CV16
),"")</f>
        <v>0</v>
      </c>
      <c r="CX16" s="138" t="str">
        <f>IFERROR(TEXT($CW16,LOOKUP($CW16,Pivot!$B$6:$B$12,Pivot!$C$6:$C$12)),"")</f>
        <v/>
      </c>
      <c r="CY16" s="138" t="str" cm="1">
        <f t="array" ref="CY16">IFERROR(
_xlfn.IFS(
$CU$12=1,
AVERAGE(_xlfn._xlws.FILTER(Table_Datafeed[Tỷ lệ hòa vốn],
(Table_Datafeed[Kỳ] &gt;= Pivot!$E$2)*
(Table_Datafeed[Kỳ] &lt;= Pivot!$E$3)*
(Table_Datafeed[Tháng] = $CU16))),
$CU$12=2, $CV16/$BL$21-1,
$CU$12=3,
AVERAGE(_xlfn._xlws.FILTER(Table_Datafeed[Hiệu quả lợi nhuận],
(Table_Datafeed[Kỳ] &gt;= Pivot!$E$2)*
(Table_Datafeed[Kỳ] &lt;= Pivot!$E$3)*
(Table_Datafeed[Tháng] = $CU16))),
$CU$12=4,
AVERAGE(_xlfn._xlws.FILTER(Table_Datafeed[Hiệu quả dòng tiền kinh doanh],
(Table_Datafeed[Kỳ] &gt;= Pivot!$E$2)*
(Table_Datafeed[Kỳ] &lt;= Pivot!$E$3)*
(Table_Datafeed[Tháng] = $CU16)))
),"")</f>
        <v/>
      </c>
      <c r="CZ16" s="144"/>
      <c r="DC16" s="144"/>
      <c r="DD16" s="144"/>
    </row>
    <row r="17" spans="56:108" ht="18" customHeight="1" x14ac:dyDescent="0.3">
      <c r="BD17" s="130"/>
      <c r="BE17" s="134"/>
      <c r="BF17" s="134"/>
      <c r="BG17" s="134"/>
      <c r="BH17" s="134"/>
      <c r="BI17" s="134"/>
      <c r="BJ17" s="134"/>
      <c r="BL17" s="153" t="s">
        <v>75</v>
      </c>
      <c r="CN17" s="197"/>
      <c r="CT17" s="199"/>
      <c r="CU17" s="138">
        <v>4</v>
      </c>
      <c r="CV17" s="138" cm="1">
        <f t="array" ref="CV17">IFERROR(
_xlfn.IFS(
($CU$12)=1,
SUM(_xlfn._xlws.FILTER(Table_Datafeed[Sản lượng],
(Table_Datafeed[Kỳ]&gt;=Pivot!$E$2)*
(Table_Datafeed[Kỳ]&lt;=Pivot!$E$3)*
(Table_Datafeed[Tháng] = $CU17))),
($CU$12)=2,
SUM(_xlfn._xlws.FILTER(Table_Datafeed[Doanh thu],
(Table_Datafeed[Kỳ]&gt;=Pivot!$E$2)*
(Table_Datafeed[Kỳ]&lt;=Pivot!$E$3)*
(Table_Datafeed[Tháng] = $CU17))),
($CU$12)=3,
SUM(_xlfn._xlws.FILTER(Table_Datafeed[Lợi nhuận kinh doanh],
(Table_Datafeed[Kỳ]&gt;=Pivot!$E$2)*
(Table_Datafeed[Kỳ]&lt;=Pivot!$E$3)*
(Table_Datafeed[Tháng] =$CU17))),
($CU$12)=4,
SUM(_xlfn._xlws.FILTER(Table_Datafeed[Dòng tiền vận hành],
(Table_Datafeed[Kỳ]&gt;=Pivot!$E$2)*
(Table_Datafeed[Kỳ]&lt;=Pivot!$E$3)*
(Table_Datafeed[Tháng] = $CU17)))
),0)</f>
        <v>0</v>
      </c>
      <c r="CW17" s="138" cm="1">
        <f t="array" ref="CW17" xml:space="preserve">
IFERROR(
_xlfn.IFS(
AND($CU$12=1, $CY17&gt;=$BL$18),$CV17,
AND($CU$12=2, $CY17&gt;=0),$CV17,
AND($CU$12=3, $CY17&gt;=$BL$24),$CV17,
AND($CU$12=4, $CY17&gt;=$BL$27),$CV17
),"")</f>
        <v>0</v>
      </c>
      <c r="CX17" s="138" t="str">
        <f>IFERROR(TEXT($CW17,LOOKUP($CW17,Pivot!$B$6:$B$12,Pivot!$C$6:$C$12)),"")</f>
        <v/>
      </c>
      <c r="CY17" s="138" t="str" cm="1">
        <f t="array" ref="CY17">IFERROR(
_xlfn.IFS(
$CU$12=1,
AVERAGE(_xlfn._xlws.FILTER(Table_Datafeed[Tỷ lệ hòa vốn],
(Table_Datafeed[Kỳ] &gt;= Pivot!$E$2)*
(Table_Datafeed[Kỳ] &lt;= Pivot!$E$3)*
(Table_Datafeed[Tháng] = $CU17))),
$CU$12=2, $CV17/$BL$21-1,
$CU$12=3,
AVERAGE(_xlfn._xlws.FILTER(Table_Datafeed[Hiệu quả lợi nhuận],
(Table_Datafeed[Kỳ] &gt;= Pivot!$E$2)*
(Table_Datafeed[Kỳ] &lt;= Pivot!$E$3)*
(Table_Datafeed[Tháng] = $CU17))),
$CU$12=4,
AVERAGE(_xlfn._xlws.FILTER(Table_Datafeed[Hiệu quả dòng tiền kinh doanh],
(Table_Datafeed[Kỳ] &gt;= Pivot!$E$2)*
(Table_Datafeed[Kỳ] &lt;= Pivot!$E$3)*
(Table_Datafeed[Tháng] = $CU17)))
),"")</f>
        <v/>
      </c>
      <c r="CZ17" s="144"/>
      <c r="DC17" s="144"/>
      <c r="DD17" s="144"/>
    </row>
    <row r="18" spans="56:108" ht="18" customHeight="1" x14ac:dyDescent="0.3">
      <c r="BD18" s="130"/>
      <c r="BE18" s="134"/>
      <c r="BF18" s="134"/>
      <c r="BG18" s="134"/>
      <c r="BH18" s="134"/>
      <c r="BI18" s="134"/>
      <c r="BJ18" s="134"/>
      <c r="BL18" s="154">
        <v>0.05</v>
      </c>
      <c r="CN18" s="197"/>
      <c r="CT18" s="199"/>
      <c r="CU18" s="138">
        <v>5</v>
      </c>
      <c r="CV18" s="138" cm="1">
        <f t="array" ref="CV18">IFERROR(
_xlfn.IFS(
($CU$12)=1,
SUM(_xlfn._xlws.FILTER(Table_Datafeed[Sản lượng],
(Table_Datafeed[Kỳ]&gt;=Pivot!$E$2)*
(Table_Datafeed[Kỳ]&lt;=Pivot!$E$3)*
(Table_Datafeed[Tháng] = $CU18))),
($CU$12)=2,
SUM(_xlfn._xlws.FILTER(Table_Datafeed[Doanh thu],
(Table_Datafeed[Kỳ]&gt;=Pivot!$E$2)*
(Table_Datafeed[Kỳ]&lt;=Pivot!$E$3)*
(Table_Datafeed[Tháng] = $CU18))),
($CU$12)=3,
SUM(_xlfn._xlws.FILTER(Table_Datafeed[Lợi nhuận kinh doanh],
(Table_Datafeed[Kỳ]&gt;=Pivot!$E$2)*
(Table_Datafeed[Kỳ]&lt;=Pivot!$E$3)*
(Table_Datafeed[Tháng] =$CU18))),
($CU$12)=4,
SUM(_xlfn._xlws.FILTER(Table_Datafeed[Dòng tiền vận hành],
(Table_Datafeed[Kỳ]&gt;=Pivot!$E$2)*
(Table_Datafeed[Kỳ]&lt;=Pivot!$E$3)*
(Table_Datafeed[Tháng] = $CU18)))
),0)</f>
        <v>0</v>
      </c>
      <c r="CW18" s="138" cm="1">
        <f t="array" ref="CW18" xml:space="preserve">
IFERROR(
_xlfn.IFS(
AND($CU$12=1, $CY18&gt;=$BL$18),$CV18,
AND($CU$12=2, $CY18&gt;=0),$CV18,
AND($CU$12=3, $CY18&gt;=$BL$24),$CV18,
AND($CU$12=4, $CY18&gt;=$BL$27),$CV18
),"")</f>
        <v>0</v>
      </c>
      <c r="CX18" s="138" t="str">
        <f>IFERROR(TEXT($CW18,LOOKUP($CW18,Pivot!$B$6:$B$12,Pivot!$C$6:$C$12)),"")</f>
        <v/>
      </c>
      <c r="CY18" s="138" t="str" cm="1">
        <f t="array" ref="CY18">IFERROR(
_xlfn.IFS(
$CU$12=1,
AVERAGE(_xlfn._xlws.FILTER(Table_Datafeed[Tỷ lệ hòa vốn],
(Table_Datafeed[Kỳ] &gt;= Pivot!$E$2)*
(Table_Datafeed[Kỳ] &lt;= Pivot!$E$3)*
(Table_Datafeed[Tháng] = $CU18))),
$CU$12=2, $CV18/$BL$21-1,
$CU$12=3,
AVERAGE(_xlfn._xlws.FILTER(Table_Datafeed[Hiệu quả lợi nhuận],
(Table_Datafeed[Kỳ] &gt;= Pivot!$E$2)*
(Table_Datafeed[Kỳ] &lt;= Pivot!$E$3)*
(Table_Datafeed[Tháng] = $CU18))),
$CU$12=4,
AVERAGE(_xlfn._xlws.FILTER(Table_Datafeed[Hiệu quả dòng tiền kinh doanh],
(Table_Datafeed[Kỳ] &gt;= Pivot!$E$2)*
(Table_Datafeed[Kỳ] &lt;= Pivot!$E$3)*
(Table_Datafeed[Tháng] = $CU18)))
),"")</f>
        <v/>
      </c>
      <c r="CZ18" s="144"/>
    </row>
    <row r="19" spans="56:108" ht="18" customHeight="1" x14ac:dyDescent="0.3">
      <c r="BD19" s="130"/>
      <c r="BE19" s="134"/>
      <c r="BF19" s="134"/>
      <c r="BG19" s="134"/>
      <c r="BH19" s="134"/>
      <c r="BI19" s="134"/>
      <c r="BJ19" s="134"/>
      <c r="BL19" s="200"/>
      <c r="CN19" s="197"/>
      <c r="CT19" s="199"/>
      <c r="CU19" s="138">
        <v>6</v>
      </c>
      <c r="CV19" s="138" cm="1">
        <f t="array" ref="CV19">IFERROR(
_xlfn.IFS(
($CU$12)=1,
SUM(_xlfn._xlws.FILTER(Table_Datafeed[Sản lượng],
(Table_Datafeed[Kỳ]&gt;=Pivot!$E$2)*
(Table_Datafeed[Kỳ]&lt;=Pivot!$E$3)*
(Table_Datafeed[Tháng] = $CU19))),
($CU$12)=2,
SUM(_xlfn._xlws.FILTER(Table_Datafeed[Doanh thu],
(Table_Datafeed[Kỳ]&gt;=Pivot!$E$2)*
(Table_Datafeed[Kỳ]&lt;=Pivot!$E$3)*
(Table_Datafeed[Tháng] = $CU19))),
($CU$12)=3,
SUM(_xlfn._xlws.FILTER(Table_Datafeed[Lợi nhuận kinh doanh],
(Table_Datafeed[Kỳ]&gt;=Pivot!$E$2)*
(Table_Datafeed[Kỳ]&lt;=Pivot!$E$3)*
(Table_Datafeed[Tháng] =$CU19))),
($CU$12)=4,
SUM(_xlfn._xlws.FILTER(Table_Datafeed[Dòng tiền vận hành],
(Table_Datafeed[Kỳ]&gt;=Pivot!$E$2)*
(Table_Datafeed[Kỳ]&lt;=Pivot!$E$3)*
(Table_Datafeed[Tháng] = $CU19)))
),0)</f>
        <v>0</v>
      </c>
      <c r="CW19" s="138" cm="1">
        <f t="array" ref="CW19" xml:space="preserve">
IFERROR(
_xlfn.IFS(
AND($CU$12=1, $CY19&gt;=$BL$18),$CV19,
AND($CU$12=2, $CY19&gt;=0),$CV19,
AND($CU$12=3, $CY19&gt;=$BL$24),$CV19,
AND($CU$12=4, $CY19&gt;=$BL$27),$CV19
),"")</f>
        <v>0</v>
      </c>
      <c r="CX19" s="138" t="str">
        <f>IFERROR(TEXT($CW19,LOOKUP($CW19,Pivot!$B$6:$B$12,Pivot!$C$6:$C$12)),"")</f>
        <v/>
      </c>
      <c r="CY19" s="138" t="str" cm="1">
        <f t="array" ref="CY19">IFERROR(
_xlfn.IFS(
$CU$12=1,
AVERAGE(_xlfn._xlws.FILTER(Table_Datafeed[Tỷ lệ hòa vốn],
(Table_Datafeed[Kỳ] &gt;= Pivot!$E$2)*
(Table_Datafeed[Kỳ] &lt;= Pivot!$E$3)*
(Table_Datafeed[Tháng] = $CU19))),
$CU$12=2, $CV19/$BL$21-1,
$CU$12=3,
AVERAGE(_xlfn._xlws.FILTER(Table_Datafeed[Hiệu quả lợi nhuận],
(Table_Datafeed[Kỳ] &gt;= Pivot!$E$2)*
(Table_Datafeed[Kỳ] &lt;= Pivot!$E$3)*
(Table_Datafeed[Tháng] = $CU19))),
$CU$12=4,
AVERAGE(_xlfn._xlws.FILTER(Table_Datafeed[Hiệu quả dòng tiền kinh doanh],
(Table_Datafeed[Kỳ] &gt;= Pivot!$E$2)*
(Table_Datafeed[Kỳ] &lt;= Pivot!$E$3)*
(Table_Datafeed[Tháng] = $CU19)))
),"")</f>
        <v/>
      </c>
      <c r="CZ19" s="144"/>
    </row>
    <row r="20" spans="56:108" ht="18" customHeight="1" x14ac:dyDescent="0.3">
      <c r="BD20" s="130"/>
      <c r="BE20" s="134"/>
      <c r="BF20" s="134"/>
      <c r="BG20" s="134"/>
      <c r="BH20" s="134"/>
      <c r="BI20" s="134"/>
      <c r="BJ20" s="134"/>
      <c r="BL20" s="153" t="s">
        <v>33</v>
      </c>
      <c r="CN20" s="197"/>
      <c r="CT20" s="199"/>
      <c r="CU20" s="138">
        <v>7</v>
      </c>
      <c r="CV20" s="138" cm="1">
        <f t="array" ref="CV20">IFERROR(
_xlfn.IFS(
($CU$12)=1,
SUM(_xlfn._xlws.FILTER(Table_Datafeed[Sản lượng],
(Table_Datafeed[Kỳ]&gt;=Pivot!$E$2)*
(Table_Datafeed[Kỳ]&lt;=Pivot!$E$3)*
(Table_Datafeed[Tháng] = $CU20))),
($CU$12)=2,
SUM(_xlfn._xlws.FILTER(Table_Datafeed[Doanh thu],
(Table_Datafeed[Kỳ]&gt;=Pivot!$E$2)*
(Table_Datafeed[Kỳ]&lt;=Pivot!$E$3)*
(Table_Datafeed[Tháng] = $CU20))),
($CU$12)=3,
SUM(_xlfn._xlws.FILTER(Table_Datafeed[Lợi nhuận kinh doanh],
(Table_Datafeed[Kỳ]&gt;=Pivot!$E$2)*
(Table_Datafeed[Kỳ]&lt;=Pivot!$E$3)*
(Table_Datafeed[Tháng] =$CU20))),
($CU$12)=4,
SUM(_xlfn._xlws.FILTER(Table_Datafeed[Dòng tiền vận hành],
(Table_Datafeed[Kỳ]&gt;=Pivot!$E$2)*
(Table_Datafeed[Kỳ]&lt;=Pivot!$E$3)*
(Table_Datafeed[Tháng] = $CU20)))
),0)</f>
        <v>0</v>
      </c>
      <c r="CW20" s="138" cm="1">
        <f t="array" ref="CW20" xml:space="preserve">
IFERROR(
_xlfn.IFS(
AND($CU$12=1, $CY20&gt;=$BL$18),$CV20,
AND($CU$12=2, $CY20&gt;=0),$CV20,
AND($CU$12=3, $CY20&gt;=$BL$24),$CV20,
AND($CU$12=4, $CY20&gt;=$BL$27),$CV20
),"")</f>
        <v>0</v>
      </c>
      <c r="CX20" s="138" t="str">
        <f>IFERROR(TEXT($CW20,LOOKUP($CW20,Pivot!$B$6:$B$12,Pivot!$C$6:$C$12)),"")</f>
        <v/>
      </c>
      <c r="CY20" s="138" t="str" cm="1">
        <f t="array" ref="CY20">IFERROR(
_xlfn.IFS(
$CU$12=1,
AVERAGE(_xlfn._xlws.FILTER(Table_Datafeed[Tỷ lệ hòa vốn],
(Table_Datafeed[Kỳ] &gt;= Pivot!$E$2)*
(Table_Datafeed[Kỳ] &lt;= Pivot!$E$3)*
(Table_Datafeed[Tháng] = $CU20))),
$CU$12=2, $CV20/$BL$21-1,
$CU$12=3,
AVERAGE(_xlfn._xlws.FILTER(Table_Datafeed[Hiệu quả lợi nhuận],
(Table_Datafeed[Kỳ] &gt;= Pivot!$E$2)*
(Table_Datafeed[Kỳ] &lt;= Pivot!$E$3)*
(Table_Datafeed[Tháng] = $CU20))),
$CU$12=4,
AVERAGE(_xlfn._xlws.FILTER(Table_Datafeed[Hiệu quả dòng tiền kinh doanh],
(Table_Datafeed[Kỳ] &gt;= Pivot!$E$2)*
(Table_Datafeed[Kỳ] &lt;= Pivot!$E$3)*
(Table_Datafeed[Tháng] = $CU20)))
),"")</f>
        <v/>
      </c>
      <c r="CZ20" s="144"/>
      <c r="DC20" s="144"/>
      <c r="DD20" s="144"/>
    </row>
    <row r="21" spans="56:108" ht="18" customHeight="1" x14ac:dyDescent="0.3">
      <c r="BD21" s="130"/>
      <c r="BE21" s="134"/>
      <c r="BF21" s="134"/>
      <c r="BG21" s="134"/>
      <c r="BH21" s="134"/>
      <c r="BI21" s="134"/>
      <c r="BJ21" s="134"/>
      <c r="BL21" s="202">
        <v>400000000</v>
      </c>
      <c r="CN21" s="197"/>
      <c r="CT21" s="199"/>
      <c r="CU21" s="138">
        <v>8</v>
      </c>
      <c r="CV21" s="138" cm="1">
        <f t="array" ref="CV21">IFERROR(
_xlfn.IFS(
($CU$12)=1,
SUM(_xlfn._xlws.FILTER(Table_Datafeed[Sản lượng],
(Table_Datafeed[Kỳ]&gt;=Pivot!$E$2)*
(Table_Datafeed[Kỳ]&lt;=Pivot!$E$3)*
(Table_Datafeed[Tháng] = $CU21))),
($CU$12)=2,
SUM(_xlfn._xlws.FILTER(Table_Datafeed[Doanh thu],
(Table_Datafeed[Kỳ]&gt;=Pivot!$E$2)*
(Table_Datafeed[Kỳ]&lt;=Pivot!$E$3)*
(Table_Datafeed[Tháng] = $CU21))),
($CU$12)=3,
SUM(_xlfn._xlws.FILTER(Table_Datafeed[Lợi nhuận kinh doanh],
(Table_Datafeed[Kỳ]&gt;=Pivot!$E$2)*
(Table_Datafeed[Kỳ]&lt;=Pivot!$E$3)*
(Table_Datafeed[Tháng] =$CU21))),
($CU$12)=4,
SUM(_xlfn._xlws.FILTER(Table_Datafeed[Dòng tiền vận hành],
(Table_Datafeed[Kỳ]&gt;=Pivot!$E$2)*
(Table_Datafeed[Kỳ]&lt;=Pivot!$E$3)*
(Table_Datafeed[Tháng] = $CU21)))
),0)</f>
        <v>0</v>
      </c>
      <c r="CW21" s="138" cm="1">
        <f t="array" ref="CW21" xml:space="preserve">
IFERROR(
_xlfn.IFS(
AND($CU$12=1, $CY21&gt;=$BL$18),$CV21,
AND($CU$12=2, $CY21&gt;=0),$CV21,
AND($CU$12=3, $CY21&gt;=$BL$24),$CV21,
AND($CU$12=4, $CY21&gt;=$BL$27),$CV21
),"")</f>
        <v>0</v>
      </c>
      <c r="CX21" s="138" t="str">
        <f>IFERROR(TEXT($CW21,LOOKUP($CW21,Pivot!$B$6:$B$12,Pivot!$C$6:$C$12)),"")</f>
        <v/>
      </c>
      <c r="CY21" s="138" t="str" cm="1">
        <f t="array" ref="CY21">IFERROR(
_xlfn.IFS(
$CU$12=1,
AVERAGE(_xlfn._xlws.FILTER(Table_Datafeed[Tỷ lệ hòa vốn],
(Table_Datafeed[Kỳ] &gt;= Pivot!$E$2)*
(Table_Datafeed[Kỳ] &lt;= Pivot!$E$3)*
(Table_Datafeed[Tháng] = $CU21))),
$CU$12=2, $CV21/$BL$21-1,
$CU$12=3,
AVERAGE(_xlfn._xlws.FILTER(Table_Datafeed[Hiệu quả lợi nhuận],
(Table_Datafeed[Kỳ] &gt;= Pivot!$E$2)*
(Table_Datafeed[Kỳ] &lt;= Pivot!$E$3)*
(Table_Datafeed[Tháng] = $CU21))),
$CU$12=4,
AVERAGE(_xlfn._xlws.FILTER(Table_Datafeed[Hiệu quả dòng tiền kinh doanh],
(Table_Datafeed[Kỳ] &gt;= Pivot!$E$2)*
(Table_Datafeed[Kỳ] &lt;= Pivot!$E$3)*
(Table_Datafeed[Tháng] = $CU21)))
),"")</f>
        <v/>
      </c>
      <c r="CZ21" s="144"/>
      <c r="DC21" s="144"/>
      <c r="DD21" s="144"/>
    </row>
    <row r="22" spans="56:108" ht="18" customHeight="1" x14ac:dyDescent="0.3">
      <c r="BD22" s="130"/>
      <c r="BE22" s="134"/>
      <c r="BF22" s="134"/>
      <c r="BG22" s="134"/>
      <c r="BH22" s="134"/>
      <c r="BI22" s="134"/>
      <c r="BJ22" s="134"/>
      <c r="BL22" s="200"/>
      <c r="CN22" s="197"/>
      <c r="CT22" s="199"/>
      <c r="CU22" s="138">
        <v>9</v>
      </c>
      <c r="CV22" s="138" cm="1">
        <f t="array" ref="CV22">IFERROR(
_xlfn.IFS(
($CU$12)=1,
SUM(_xlfn._xlws.FILTER(Table_Datafeed[Sản lượng],
(Table_Datafeed[Kỳ]&gt;=Pivot!$E$2)*
(Table_Datafeed[Kỳ]&lt;=Pivot!$E$3)*
(Table_Datafeed[Tháng] = $CU22))),
($CU$12)=2,
SUM(_xlfn._xlws.FILTER(Table_Datafeed[Doanh thu],
(Table_Datafeed[Kỳ]&gt;=Pivot!$E$2)*
(Table_Datafeed[Kỳ]&lt;=Pivot!$E$3)*
(Table_Datafeed[Tháng] = $CU22))),
($CU$12)=3,
SUM(_xlfn._xlws.FILTER(Table_Datafeed[Lợi nhuận kinh doanh],
(Table_Datafeed[Kỳ]&gt;=Pivot!$E$2)*
(Table_Datafeed[Kỳ]&lt;=Pivot!$E$3)*
(Table_Datafeed[Tháng] =$CU22))),
($CU$12)=4,
SUM(_xlfn._xlws.FILTER(Table_Datafeed[Dòng tiền vận hành],
(Table_Datafeed[Kỳ]&gt;=Pivot!$E$2)*
(Table_Datafeed[Kỳ]&lt;=Pivot!$E$3)*
(Table_Datafeed[Tháng] = $CU22)))
),0)</f>
        <v>0</v>
      </c>
      <c r="CW22" s="138" cm="1">
        <f t="array" ref="CW22" xml:space="preserve">
IFERROR(
_xlfn.IFS(
AND($CU$12=1, $CY22&gt;=$BL$18),$CV22,
AND($CU$12=2, $CY22&gt;=0),$CV22,
AND($CU$12=3, $CY22&gt;=$BL$24),$CV22,
AND($CU$12=4, $CY22&gt;=$BL$27),$CV22
),"")</f>
        <v>0</v>
      </c>
      <c r="CX22" s="138" t="str">
        <f>IFERROR(TEXT($CW22,LOOKUP($CW22,Pivot!$B$6:$B$12,Pivot!$C$6:$C$12)),"")</f>
        <v/>
      </c>
      <c r="CY22" s="138" t="str" cm="1">
        <f t="array" ref="CY22">IFERROR(
_xlfn.IFS(
$CU$12=1,
AVERAGE(_xlfn._xlws.FILTER(Table_Datafeed[Tỷ lệ hòa vốn],
(Table_Datafeed[Kỳ] &gt;= Pivot!$E$2)*
(Table_Datafeed[Kỳ] &lt;= Pivot!$E$3)*
(Table_Datafeed[Tháng] = $CU22))),
$CU$12=2, $CV22/$BL$21-1,
$CU$12=3,
AVERAGE(_xlfn._xlws.FILTER(Table_Datafeed[Hiệu quả lợi nhuận],
(Table_Datafeed[Kỳ] &gt;= Pivot!$E$2)*
(Table_Datafeed[Kỳ] &lt;= Pivot!$E$3)*
(Table_Datafeed[Tháng] = $CU22))),
$CU$12=4,
AVERAGE(_xlfn._xlws.FILTER(Table_Datafeed[Hiệu quả dòng tiền kinh doanh],
(Table_Datafeed[Kỳ] &gt;= Pivot!$E$2)*
(Table_Datafeed[Kỳ] &lt;= Pivot!$E$3)*
(Table_Datafeed[Tháng] = $CU22)))
),"")</f>
        <v/>
      </c>
      <c r="CZ22" s="144"/>
    </row>
    <row r="23" spans="56:108" ht="18" customHeight="1" x14ac:dyDescent="0.3">
      <c r="BD23" s="130"/>
      <c r="BE23" s="134"/>
      <c r="BF23" s="134"/>
      <c r="BG23" s="134"/>
      <c r="BH23" s="134"/>
      <c r="BI23" s="134"/>
      <c r="BJ23" s="134"/>
      <c r="BL23" s="153" t="s">
        <v>97</v>
      </c>
      <c r="CN23" s="197"/>
      <c r="CT23" s="199"/>
      <c r="CU23" s="138">
        <v>10</v>
      </c>
      <c r="CV23" s="138" cm="1">
        <f t="array" ref="CV23">IFERROR(
_xlfn.IFS(
($CU$12)=1,
SUM(_xlfn._xlws.FILTER(Table_Datafeed[Sản lượng],
(Table_Datafeed[Kỳ]&gt;=Pivot!$E$2)*
(Table_Datafeed[Kỳ]&lt;=Pivot!$E$3)*
(Table_Datafeed[Tháng] = $CU23))),
($CU$12)=2,
SUM(_xlfn._xlws.FILTER(Table_Datafeed[Doanh thu],
(Table_Datafeed[Kỳ]&gt;=Pivot!$E$2)*
(Table_Datafeed[Kỳ]&lt;=Pivot!$E$3)*
(Table_Datafeed[Tháng] = $CU23))),
($CU$12)=3,
SUM(_xlfn._xlws.FILTER(Table_Datafeed[Lợi nhuận kinh doanh],
(Table_Datafeed[Kỳ]&gt;=Pivot!$E$2)*
(Table_Datafeed[Kỳ]&lt;=Pivot!$E$3)*
(Table_Datafeed[Tháng] =$CU23))),
($CU$12)=4,
SUM(_xlfn._xlws.FILTER(Table_Datafeed[Dòng tiền vận hành],
(Table_Datafeed[Kỳ]&gt;=Pivot!$E$2)*
(Table_Datafeed[Kỳ]&lt;=Pivot!$E$3)*
(Table_Datafeed[Tháng] = $CU23)))
),0)</f>
        <v>0</v>
      </c>
      <c r="CW23" s="138" cm="1">
        <f t="array" ref="CW23" xml:space="preserve">
IFERROR(
_xlfn.IFS(
AND($CU$12=1, $CY23&gt;=$BL$18),$CV23,
AND($CU$12=2, $CY23&gt;=0),$CV23,
AND($CU$12=3, $CY23&gt;=$BL$24),$CV23,
AND($CU$12=4, $CY23&gt;=$BL$27),$CV23
),"")</f>
        <v>0</v>
      </c>
      <c r="CX23" s="138" t="str">
        <f>IFERROR(TEXT($CW23,LOOKUP($CW23,Pivot!$B$6:$B$12,Pivot!$C$6:$C$12)),"")</f>
        <v/>
      </c>
      <c r="CY23" s="138" t="str" cm="1">
        <f t="array" ref="CY23">IFERROR(
_xlfn.IFS(
$CU$12=1,
AVERAGE(_xlfn._xlws.FILTER(Table_Datafeed[Tỷ lệ hòa vốn],
(Table_Datafeed[Kỳ] &gt;= Pivot!$E$2)*
(Table_Datafeed[Kỳ] &lt;= Pivot!$E$3)*
(Table_Datafeed[Tháng] = $CU23))),
$CU$12=2, $CV23/$BL$21-1,
$CU$12=3,
AVERAGE(_xlfn._xlws.FILTER(Table_Datafeed[Hiệu quả lợi nhuận],
(Table_Datafeed[Kỳ] &gt;= Pivot!$E$2)*
(Table_Datafeed[Kỳ] &lt;= Pivot!$E$3)*
(Table_Datafeed[Tháng] = $CU23))),
$CU$12=4,
AVERAGE(_xlfn._xlws.FILTER(Table_Datafeed[Hiệu quả dòng tiền kinh doanh],
(Table_Datafeed[Kỳ] &gt;= Pivot!$E$2)*
(Table_Datafeed[Kỳ] &lt;= Pivot!$E$3)*
(Table_Datafeed[Tháng] = $CU23)))
),"")</f>
        <v/>
      </c>
      <c r="CZ23" s="144"/>
      <c r="DC23" s="144"/>
      <c r="DD23" s="144"/>
    </row>
    <row r="24" spans="56:108" ht="18" customHeight="1" x14ac:dyDescent="0.3">
      <c r="BD24" s="130"/>
      <c r="BE24" s="134"/>
      <c r="BF24" s="134"/>
      <c r="BG24" s="134"/>
      <c r="BH24" s="134"/>
      <c r="BI24" s="134"/>
      <c r="BJ24" s="134"/>
      <c r="BL24" s="155">
        <v>5.0000000000000001E-3</v>
      </c>
      <c r="BQ24" s="134"/>
      <c r="BR24" s="134"/>
      <c r="BS24" s="134"/>
      <c r="BT24" s="134"/>
      <c r="BU24" s="134"/>
      <c r="BV24" s="134"/>
      <c r="BW24" s="134"/>
      <c r="CN24" s="197"/>
      <c r="CT24" s="199"/>
      <c r="CU24" s="138">
        <v>11</v>
      </c>
      <c r="CV24" s="138" cm="1">
        <f t="array" ref="CV24">IFERROR(
_xlfn.IFS(
($CU$12)=1,
SUM(_xlfn._xlws.FILTER(Table_Datafeed[Sản lượng],
(Table_Datafeed[Kỳ]&gt;=Pivot!$E$2)*
(Table_Datafeed[Kỳ]&lt;=Pivot!$E$3)*
(Table_Datafeed[Tháng] = $CU24))),
($CU$12)=2,
SUM(_xlfn._xlws.FILTER(Table_Datafeed[Doanh thu],
(Table_Datafeed[Kỳ]&gt;=Pivot!$E$2)*
(Table_Datafeed[Kỳ]&lt;=Pivot!$E$3)*
(Table_Datafeed[Tháng] = $CU24))),
($CU$12)=3,
SUM(_xlfn._xlws.FILTER(Table_Datafeed[Lợi nhuận kinh doanh],
(Table_Datafeed[Kỳ]&gt;=Pivot!$E$2)*
(Table_Datafeed[Kỳ]&lt;=Pivot!$E$3)*
(Table_Datafeed[Tháng] =$CU24))),
($CU$12)=4,
SUM(_xlfn._xlws.FILTER(Table_Datafeed[Dòng tiền vận hành],
(Table_Datafeed[Kỳ]&gt;=Pivot!$E$2)*
(Table_Datafeed[Kỳ]&lt;=Pivot!$E$3)*
(Table_Datafeed[Tháng] = $CU24)))
),0)</f>
        <v>0</v>
      </c>
      <c r="CW24" s="138" cm="1">
        <f t="array" ref="CW24" xml:space="preserve">
IFERROR(
_xlfn.IFS(
AND($CU$12=1, $CY24&gt;=$BL$18),$CV24,
AND($CU$12=2, $CY24&gt;=0),$CV24,
AND($CU$12=3, $CY24&gt;=$BL$24),$CV24,
AND($CU$12=4, $CY24&gt;=$BL$27),$CV24
),"")</f>
        <v>0</v>
      </c>
      <c r="CX24" s="138" t="str">
        <f>IFERROR(TEXT($CW24,LOOKUP($CW24,Pivot!$B$6:$B$12,Pivot!$C$6:$C$12)),"")</f>
        <v/>
      </c>
      <c r="CY24" s="138" t="str" cm="1">
        <f t="array" ref="CY24">IFERROR(
_xlfn.IFS(
$CU$12=1,
AVERAGE(_xlfn._xlws.FILTER(Table_Datafeed[Tỷ lệ hòa vốn],
(Table_Datafeed[Kỳ] &gt;= Pivot!$E$2)*
(Table_Datafeed[Kỳ] &lt;= Pivot!$E$3)*
(Table_Datafeed[Tháng] = $CU24))),
$CU$12=2, $CV24/$BL$21-1,
$CU$12=3,
AVERAGE(_xlfn._xlws.FILTER(Table_Datafeed[Hiệu quả lợi nhuận],
(Table_Datafeed[Kỳ] &gt;= Pivot!$E$2)*
(Table_Datafeed[Kỳ] &lt;= Pivot!$E$3)*
(Table_Datafeed[Tháng] = $CU24))),
$CU$12=4,
AVERAGE(_xlfn._xlws.FILTER(Table_Datafeed[Hiệu quả dòng tiền kinh doanh],
(Table_Datafeed[Kỳ] &gt;= Pivot!$E$2)*
(Table_Datafeed[Kỳ] &lt;= Pivot!$E$3)*
(Table_Datafeed[Tháng] = $CU24)))
),"")</f>
        <v/>
      </c>
      <c r="CZ24" s="144"/>
      <c r="DC24" s="144"/>
      <c r="DD24" s="144"/>
    </row>
    <row r="25" spans="56:108" ht="18" customHeight="1" x14ac:dyDescent="0.3">
      <c r="BD25" s="130"/>
      <c r="BE25" s="134"/>
      <c r="BF25" s="134"/>
      <c r="BG25" s="134"/>
      <c r="BH25" s="134"/>
      <c r="BI25" s="134"/>
      <c r="BJ25" s="134"/>
      <c r="BL25" s="200"/>
      <c r="BQ25" s="134"/>
      <c r="BR25" s="134"/>
      <c r="BS25" s="134"/>
      <c r="BT25" s="134"/>
      <c r="BU25" s="134"/>
      <c r="BV25" s="134"/>
      <c r="BW25" s="134"/>
      <c r="CN25" s="197"/>
      <c r="CT25" s="199"/>
      <c r="CU25" s="138">
        <v>12</v>
      </c>
      <c r="CV25" s="138" cm="1">
        <f t="array" ref="CV25">IFERROR(
_xlfn.IFS(
($CU$12)=1,
SUM(_xlfn._xlws.FILTER(Table_Datafeed[Sản lượng],
(Table_Datafeed[Kỳ]&gt;=Pivot!$E$2)*
(Table_Datafeed[Kỳ]&lt;=Pivot!$E$3)*
(Table_Datafeed[Tháng] = $CU25))),
($CU$12)=2,
SUM(_xlfn._xlws.FILTER(Table_Datafeed[Doanh thu],
(Table_Datafeed[Kỳ]&gt;=Pivot!$E$2)*
(Table_Datafeed[Kỳ]&lt;=Pivot!$E$3)*
(Table_Datafeed[Tháng] = $CU25))),
($CU$12)=3,
SUM(_xlfn._xlws.FILTER(Table_Datafeed[Lợi nhuận kinh doanh],
(Table_Datafeed[Kỳ]&gt;=Pivot!$E$2)*
(Table_Datafeed[Kỳ]&lt;=Pivot!$E$3)*
(Table_Datafeed[Tháng] =$CU25))),
($CU$12)=4,
SUM(_xlfn._xlws.FILTER(Table_Datafeed[Dòng tiền vận hành],
(Table_Datafeed[Kỳ]&gt;=Pivot!$E$2)*
(Table_Datafeed[Kỳ]&lt;=Pivot!$E$3)*
(Table_Datafeed[Tháng] = $CU25)))
),0)</f>
        <v>0</v>
      </c>
      <c r="CW25" s="138" cm="1">
        <f t="array" ref="CW25" xml:space="preserve">
IFERROR(
_xlfn.IFS(
AND($CU$12=1, $CY25&gt;=$BL$18),$CV25,
AND($CU$12=2, $CY25&gt;=0),$CV25,
AND($CU$12=3, $CY25&gt;=$BL$24),$CV25,
AND($CU$12=4, $CY25&gt;=$BL$27),$CV25
),"")</f>
        <v>0</v>
      </c>
      <c r="CX25" s="138" t="str">
        <f>IFERROR(TEXT($CW25,LOOKUP($CW25,Pivot!$B$6:$B$12,Pivot!$C$6:$C$12)),"")</f>
        <v/>
      </c>
      <c r="CY25" s="138" t="str" cm="1">
        <f t="array" ref="CY25">IFERROR(
_xlfn.IFS(
$CU$12=1,
AVERAGE(_xlfn._xlws.FILTER(Table_Datafeed[Tỷ lệ hòa vốn],
(Table_Datafeed[Kỳ] &gt;= Pivot!$E$2)*
(Table_Datafeed[Kỳ] &lt;= Pivot!$E$3)*
(Table_Datafeed[Tháng] = $CU25))),
$CU$12=2, $CV25/$BL$21-1,
$CU$12=3,
AVERAGE(_xlfn._xlws.FILTER(Table_Datafeed[Hiệu quả lợi nhuận],
(Table_Datafeed[Kỳ] &gt;= Pivot!$E$2)*
(Table_Datafeed[Kỳ] &lt;= Pivot!$E$3)*
(Table_Datafeed[Tháng] = $CU25))),
$CU$12=4,
AVERAGE(_xlfn._xlws.FILTER(Table_Datafeed[Hiệu quả dòng tiền kinh doanh],
(Table_Datafeed[Kỳ] &gt;= Pivot!$E$2)*
(Table_Datafeed[Kỳ] &lt;= Pivot!$E$3)*
(Table_Datafeed[Tháng] = $CU25)))
),"")</f>
        <v/>
      </c>
      <c r="CZ25" s="144"/>
    </row>
    <row r="26" spans="56:108" ht="18" customHeight="1" x14ac:dyDescent="0.3">
      <c r="BD26" s="130"/>
      <c r="BE26" s="134"/>
      <c r="BF26" s="134"/>
      <c r="BG26" s="134"/>
      <c r="BH26" s="134"/>
      <c r="BI26" s="134"/>
      <c r="BJ26" s="134"/>
      <c r="BL26" s="153" t="s">
        <v>128</v>
      </c>
      <c r="CN26" s="197"/>
      <c r="CT26" s="199"/>
      <c r="CU26" s="142" t="s">
        <v>124</v>
      </c>
    </row>
    <row r="27" spans="56:108" ht="18" customHeight="1" x14ac:dyDescent="0.3">
      <c r="BD27" s="130"/>
      <c r="BE27" s="134"/>
      <c r="BF27" s="134"/>
      <c r="BG27" s="134"/>
      <c r="BH27" s="134"/>
      <c r="BI27" s="134"/>
      <c r="BJ27" s="134"/>
      <c r="BL27" s="154">
        <v>0.04</v>
      </c>
      <c r="CN27" s="197"/>
      <c r="CT27" s="199"/>
      <c r="CU27" s="138" t="s">
        <v>129</v>
      </c>
      <c r="CV27" s="138" t="s">
        <v>21</v>
      </c>
      <c r="CW27" s="138" t="s">
        <v>130</v>
      </c>
    </row>
    <row r="28" spans="56:108" ht="18" customHeight="1" x14ac:dyDescent="0.3">
      <c r="BD28" s="130"/>
      <c r="BE28" s="134"/>
      <c r="BF28" s="134"/>
      <c r="BG28" s="134"/>
      <c r="BH28" s="134"/>
      <c r="BI28" s="134"/>
      <c r="BJ28" s="134"/>
      <c r="CN28" s="197"/>
      <c r="CT28" s="199"/>
      <c r="CU28" s="138" t="s">
        <v>131</v>
      </c>
      <c r="CV28" s="138">
        <f>SUM(CV34:CV41)</f>
        <v>0</v>
      </c>
      <c r="CW28" s="138" t="str">
        <f>IFERROR(TEXT(CV28,LOOKUP(CV28,Pivot!$B$6:$B$12,Pivot!$C$6:$C$12)),"")</f>
        <v/>
      </c>
    </row>
    <row r="29" spans="56:108" ht="18" customHeight="1" x14ac:dyDescent="0.3">
      <c r="BD29" s="130"/>
      <c r="BE29" s="134"/>
      <c r="BF29" s="134"/>
      <c r="BG29" s="134"/>
      <c r="BH29" s="134"/>
      <c r="BI29" s="134"/>
      <c r="BJ29" s="134"/>
      <c r="CN29" s="197"/>
      <c r="CT29" s="199"/>
      <c r="CU29" s="138" t="s">
        <v>132</v>
      </c>
      <c r="CV29" s="138">
        <f>SUM(CV42:CV49)</f>
        <v>0</v>
      </c>
      <c r="CW29" s="138" t="str">
        <f>IFERROR(TEXT(CV29,LOOKUP(CV29,Pivot!$B$6:$B$12,Pivot!$C$6:$C$12)),"")</f>
        <v/>
      </c>
    </row>
    <row r="30" spans="56:108" ht="18" customHeight="1" x14ac:dyDescent="0.3">
      <c r="BD30" s="130"/>
      <c r="CU30" s="142" t="s">
        <v>124</v>
      </c>
    </row>
    <row r="31" spans="56:108" ht="18" customHeight="1" x14ac:dyDescent="0.3">
      <c r="BD31" s="130"/>
      <c r="CU31" s="138" t="b">
        <v>1</v>
      </c>
    </row>
    <row r="32" spans="56:108" ht="18" customHeight="1" x14ac:dyDescent="0.3">
      <c r="BD32" s="130"/>
      <c r="CU32" s="138">
        <v>3</v>
      </c>
      <c r="CW32" s="144" t="e">
        <f>SUM(CW34:CW50)/SUM(CV34:CV50)</f>
        <v>#DIV/0!</v>
      </c>
      <c r="CY32" s="144" t="e">
        <f>SUM(CY34:CY50)/SUM(CX34:CX50)</f>
        <v>#DIV/0!</v>
      </c>
    </row>
    <row r="33" spans="56:106" ht="18" customHeight="1" x14ac:dyDescent="0.3">
      <c r="BD33" s="130"/>
      <c r="CU33" s="138" t="s">
        <v>133</v>
      </c>
      <c r="CV33" s="138" t="s">
        <v>21</v>
      </c>
      <c r="CW33" s="138" t="s">
        <v>134</v>
      </c>
      <c r="CX33" s="138" t="str">
        <f>IF(CU31=FALSE,"tăng", "giảm")</f>
        <v>giảm</v>
      </c>
      <c r="CY33" s="138" t="s">
        <v>135</v>
      </c>
      <c r="CZ33" s="138" t="s">
        <v>136</v>
      </c>
    </row>
    <row r="34" spans="56:106" ht="18" customHeight="1" x14ac:dyDescent="0.3">
      <c r="BD34" s="130"/>
      <c r="CU34" s="138" t="s">
        <v>137</v>
      </c>
      <c r="CV34" s="166" cm="1">
        <f t="array" ref="CV34">-IFERROR(SUM(_xlfn._xlws.FILTER(#REF!,
(Table_Datafeed[Kỳ]&gt;=Pivot!$E$2)*
(Table_Datafeed[Kỳ]&lt;=Pivot!$E$3)
)),0)</f>
        <v>0</v>
      </c>
      <c r="CW34" s="166">
        <f t="shared" ref="CW34:CW50" si="0">IF(_xlfn.RANK.EQ(CV34,$CV$34:$CV$50,0)&lt;=$CU$32,CV34,0)</f>
        <v>0</v>
      </c>
      <c r="CX34" s="138" cm="1">
        <f t="array" ref="CX34" xml:space="preserve">
IF($CU$31=FALSE,
MAX(0,
CV34+IFERROR(SUM(_xlfn._xlws.FILTER(#REF!,
(Table_Datafeed[Kỳ]&gt;=DATE(YEAR(Pivot!$E$2)-1, MONTH(Pivot!$E$2),1))*
(Table_Datafeed[Kỳ]&lt;=DATE(YEAR(Pivot!$E$3)-1,MONTH(Pivot!$E$3),1))
)),0)),
MIN(0,
CV34+IFERROR(SUM(_xlfn._xlws.FILTER(#REF!,
(Table_Datafeed[Kỳ]&gt;=DATE(YEAR(Pivot!$E$2)-1, MONTH(Pivot!$E$2),1))*
(Table_Datafeed[Kỳ]&lt;=DATE(YEAR(Pivot!$E$3)-1,MONTH(Pivot!$E$3),1))
)),0)))</f>
        <v>0</v>
      </c>
      <c r="CY34" s="166">
        <f t="shared" ref="CY34:CY50" si="1">IF($CU$31=FALSE,
IF(_xlfn.RANK.EQ(CX34,$CX$34:$CX$50,0)&lt;=$CU$32,CX34,0),
IF(_xlfn.RANK.EQ(CX34,$CX$34:$CX$50,1)&lt;=$CU$32,CX34,0)
)</f>
        <v>0</v>
      </c>
      <c r="CZ34" s="160">
        <f>IFERROR(CV34/(CV34-CX34)-1,0)</f>
        <v>0</v>
      </c>
      <c r="DA34" s="144"/>
      <c r="DB34" s="144"/>
    </row>
    <row r="35" spans="56:106" ht="18" customHeight="1" x14ac:dyDescent="0.3">
      <c r="BD35" s="130"/>
      <c r="CU35" s="138" t="s">
        <v>138</v>
      </c>
      <c r="CV35" s="166" cm="1">
        <f t="array" ref="CV35">-IFERROR(SUM(_xlfn._xlws.FILTER(Table_Datafeed[CP nguyên liệu],
(Table_Datafeed[Kỳ]&gt;=Pivot!$E$2)*
(Table_Datafeed[Kỳ]&lt;=Pivot!$E$3)
)),0)</f>
        <v>0</v>
      </c>
      <c r="CW35" s="166">
        <f t="shared" si="0"/>
        <v>0</v>
      </c>
      <c r="CX35" s="138" cm="1">
        <f t="array" ref="CX35" xml:space="preserve">
IF($CU$31=FALSE,
MAX(0,
CV35+IFERROR(SUM(_xlfn._xlws.FILTER(Table_Datafeed[CP nguyên liệu],
(Table_Datafeed[Kỳ]&gt;=DATE(YEAR(Pivot!$E$2)-1, MONTH(Pivot!$E$2),1))*
(Table_Datafeed[Kỳ]&lt;=DATE(YEAR(Pivot!$E$3)-1,MONTH(Pivot!$E$3),1))
)),0)),
MIN(0,
CV35+IFERROR(SUM(_xlfn._xlws.FILTER(Table_Datafeed[CP nguyên liệu],
(Table_Datafeed[Kỳ]&gt;=DATE(YEAR(Pivot!$E$2)-1, MONTH(Pivot!$E$2),1))*
(Table_Datafeed[Kỳ]&lt;=DATE(YEAR(Pivot!$E$3)-1,MONTH(Pivot!$E$3),1))
)),0)))</f>
        <v>0</v>
      </c>
      <c r="CY35" s="166">
        <f t="shared" si="1"/>
        <v>0</v>
      </c>
      <c r="CZ35" s="160">
        <f t="shared" ref="CZ35:CZ50" si="2">IFERROR(CV35/(CV35-CX35)-1,0)</f>
        <v>0</v>
      </c>
      <c r="DA35" s="144"/>
      <c r="DB35" s="144"/>
    </row>
    <row r="36" spans="56:106" ht="18" customHeight="1" x14ac:dyDescent="0.3">
      <c r="BD36" s="130"/>
      <c r="CU36" s="138" t="s">
        <v>139</v>
      </c>
      <c r="CV36" s="166" cm="1">
        <f t="array" ref="CV36">-IFERROR(SUM(_xlfn._xlws.FILTER(Table_Datafeed[CP tiện ích sản xuất],
(Table_Datafeed[Kỳ]&gt;=Pivot!$E$2)*
(Table_Datafeed[Kỳ]&lt;=Pivot!$E$3)
)),0)</f>
        <v>0</v>
      </c>
      <c r="CW36" s="166">
        <f t="shared" si="0"/>
        <v>0</v>
      </c>
      <c r="CX36" s="138" cm="1">
        <f t="array" ref="CX36" xml:space="preserve">
IF($CU$31=FALSE,
MAX(0,
CV36+IFERROR(SUM(_xlfn._xlws.FILTER(Table_Datafeed[CP tiện ích sản xuất],
(Table_Datafeed[Kỳ]&gt;=DATE(YEAR(Pivot!$E$2)-1, MONTH(Pivot!$E$2),1))*
(Table_Datafeed[Kỳ]&lt;=DATE(YEAR(Pivot!$E$3)-1,MONTH(Pivot!$E$3),1))
)),0)),
MIN(0,
CV36+IFERROR(SUM(_xlfn._xlws.FILTER(Table_Datafeed[CP tiện ích sản xuất],
(Table_Datafeed[Kỳ]&gt;=DATE(YEAR(Pivot!$E$2)-1, MONTH(Pivot!$E$2),1))*
(Table_Datafeed[Kỳ]&lt;=DATE(YEAR(Pivot!$E$3)-1,MONTH(Pivot!$E$3),1))
)),0)))</f>
        <v>0</v>
      </c>
      <c r="CY36" s="166">
        <f t="shared" si="1"/>
        <v>0</v>
      </c>
      <c r="CZ36" s="160">
        <f t="shared" si="2"/>
        <v>0</v>
      </c>
      <c r="DA36" s="144"/>
      <c r="DB36" s="144"/>
    </row>
    <row r="37" spans="56:106" ht="18" customHeight="1" x14ac:dyDescent="0.3">
      <c r="BD37" s="130"/>
      <c r="CU37" s="138" t="s">
        <v>140</v>
      </c>
      <c r="CV37" s="166" cm="1">
        <f t="array" ref="CV37">-IFERROR(SUM(_xlfn._xlws.FILTER(Table_Datafeed[CP hoa hồng],
(Table_Datafeed[Kỳ]&gt;=Pivot!$E$2)*
(Table_Datafeed[Kỳ]&lt;=Pivot!$E$3)
)),0)</f>
        <v>0</v>
      </c>
      <c r="CW37" s="166">
        <f t="shared" si="0"/>
        <v>0</v>
      </c>
      <c r="CX37" s="138" cm="1">
        <f t="array" ref="CX37" xml:space="preserve">
IF($CU$31=FALSE,
MAX(0,
CV37+IFERROR(SUM(_xlfn._xlws.FILTER(Table_Datafeed[CP hoa hồng],
(Table_Datafeed[Kỳ]&gt;=DATE(YEAR(Pivot!$E$2)-1, MONTH(Pivot!$E$2),1))*
(Table_Datafeed[Kỳ]&lt;=DATE(YEAR(Pivot!$E$3)-1,MONTH(Pivot!$E$3),1))
)),0)),
MIN(0,
CV37+IFERROR(SUM(_xlfn._xlws.FILTER(Table_Datafeed[CP hoa hồng],
(Table_Datafeed[Kỳ]&gt;=DATE(YEAR(Pivot!$E$2)-1, MONTH(Pivot!$E$2),1))*
(Table_Datafeed[Kỳ]&lt;=DATE(YEAR(Pivot!$E$3)-1,MONTH(Pivot!$E$3),1))
)),0)))</f>
        <v>0</v>
      </c>
      <c r="CY37" s="166">
        <f t="shared" si="1"/>
        <v>0</v>
      </c>
      <c r="CZ37" s="160">
        <f t="shared" si="2"/>
        <v>0</v>
      </c>
      <c r="DA37" s="144"/>
      <c r="DB37" s="144"/>
    </row>
    <row r="38" spans="56:106" ht="18" customHeight="1" x14ac:dyDescent="0.3">
      <c r="BD38" s="130"/>
      <c r="CU38" s="138" t="s">
        <v>141</v>
      </c>
      <c r="CV38" s="166" cm="1">
        <f t="array" ref="CV38">-IFERROR(SUM(_xlfn._xlws.FILTER(#REF!,
(Table_Datafeed[Kỳ]&gt;=Pivot!$E$2)*
(Table_Datafeed[Kỳ]&lt;=Pivot!$E$3)
)),0)</f>
        <v>0</v>
      </c>
      <c r="CW38" s="166">
        <f t="shared" si="0"/>
        <v>0</v>
      </c>
      <c r="CX38" s="138" cm="1">
        <f t="array" ref="CX38" xml:space="preserve">
IF($CU$31=FALSE,
MAX(0,
CV38+IFERROR(SUM(_xlfn._xlws.FILTER(#REF!,
(Table_Datafeed[Kỳ]&gt;=DATE(YEAR(Pivot!$E$2)-1, MONTH(Pivot!$E$2),1))*
(Table_Datafeed[Kỳ]&lt;=DATE(YEAR(Pivot!$E$3)-1,MONTH(Pivot!$E$3),1))
)),0)),
MIN(0,
CV38+IFERROR(SUM(_xlfn._xlws.FILTER(#REF!,
(Table_Datafeed[Kỳ]&gt;=DATE(YEAR(Pivot!$E$2)-1, MONTH(Pivot!$E$2),1))*
(Table_Datafeed[Kỳ]&lt;=DATE(YEAR(Pivot!$E$3)-1,MONTH(Pivot!$E$3),1))
)),0)))</f>
        <v>0</v>
      </c>
      <c r="CY38" s="166">
        <f t="shared" si="1"/>
        <v>0</v>
      </c>
      <c r="CZ38" s="160">
        <f t="shared" si="2"/>
        <v>0</v>
      </c>
      <c r="DA38" s="144"/>
      <c r="DB38" s="144"/>
    </row>
    <row r="39" spans="56:106" ht="18" customHeight="1" x14ac:dyDescent="0.3">
      <c r="BD39" s="130"/>
      <c r="CU39" s="138" t="s">
        <v>142</v>
      </c>
      <c r="CV39" s="166" cm="1">
        <f t="array" ref="CV39">-IFERROR(SUM(_xlfn._xlws.FILTER(Table_Datafeed[CP thưởng KPI],
(Table_Datafeed[Kỳ]&gt;=Pivot!$E$2)*
(Table_Datafeed[Kỳ]&lt;=Pivot!$E$3)
)),0)</f>
        <v>0</v>
      </c>
      <c r="CW39" s="166">
        <f t="shared" si="0"/>
        <v>0</v>
      </c>
      <c r="CX39" s="138" cm="1">
        <f t="array" ref="CX39" xml:space="preserve">
IF($CU$31=FALSE,
MAX(0,
CV39+IFERROR(SUM(_xlfn._xlws.FILTER(Table_Datafeed[CP thưởng KPI],
(Table_Datafeed[Kỳ]&gt;=DATE(YEAR(Pivot!$E$2)-1, MONTH(Pivot!$E$2),1))*
(Table_Datafeed[Kỳ]&lt;=DATE(YEAR(Pivot!$E$3)-1,MONTH(Pivot!$E$3),1))
)),0)),
MIN(0,
CV39+IFERROR(SUM(_xlfn._xlws.FILTER(Table_Datafeed[CP thưởng KPI],
(Table_Datafeed[Kỳ]&gt;=DATE(YEAR(Pivot!$E$2)-1, MONTH(Pivot!$E$2),1))*
(Table_Datafeed[Kỳ]&lt;=DATE(YEAR(Pivot!$E$3)-1,MONTH(Pivot!$E$3),1))
)),0)))</f>
        <v>0</v>
      </c>
      <c r="CY39" s="166">
        <f t="shared" si="1"/>
        <v>0</v>
      </c>
      <c r="CZ39" s="160">
        <f t="shared" si="2"/>
        <v>0</v>
      </c>
      <c r="DA39" s="144"/>
      <c r="DB39" s="144"/>
    </row>
    <row r="40" spans="56:106" ht="18" customHeight="1" x14ac:dyDescent="0.3">
      <c r="BD40" s="130"/>
      <c r="CU40" s="138" t="s">
        <v>143</v>
      </c>
      <c r="CV40" s="166" cm="1">
        <f t="array" ref="CV40">-IFERROR(SUM(_xlfn._xlws.FILTER(Table_Datafeed[CP thanh toán],
(Table_Datafeed[Kỳ]&gt;=Pivot!$E$2)*
(Table_Datafeed[Kỳ]&lt;=Pivot!$E$3)
)),0)</f>
        <v>0</v>
      </c>
      <c r="CW40" s="166">
        <f t="shared" si="0"/>
        <v>0</v>
      </c>
      <c r="CX40" s="138" cm="1">
        <f t="array" ref="CX40" xml:space="preserve">
IF($CU$31=FALSE,
MAX(0,
CV40+IFERROR(SUM(_xlfn._xlws.FILTER(Table_Datafeed[CP thanh toán],
(Table_Datafeed[Kỳ]&gt;=DATE(YEAR(Pivot!$E$2)-1, MONTH(Pivot!$E$2),1))*
(Table_Datafeed[Kỳ]&lt;=DATE(YEAR(Pivot!$E$3)-1,MONTH(Pivot!$E$3),1))
)),0)),
MIN(0,
CV40+IFERROR(SUM(_xlfn._xlws.FILTER(Table_Datafeed[CP thanh toán],
(Table_Datafeed[Kỳ]&gt;=DATE(YEAR(Pivot!$E$2)-1, MONTH(Pivot!$E$2),1))*
(Table_Datafeed[Kỳ]&lt;=DATE(YEAR(Pivot!$E$3)-1,MONTH(Pivot!$E$3),1))
)),0)))</f>
        <v>0</v>
      </c>
      <c r="CY40" s="166">
        <f t="shared" si="1"/>
        <v>0</v>
      </c>
      <c r="CZ40" s="160">
        <f t="shared" si="2"/>
        <v>0</v>
      </c>
      <c r="DA40" s="144"/>
      <c r="DB40" s="144"/>
    </row>
    <row r="41" spans="56:106" ht="18" customHeight="1" x14ac:dyDescent="0.3">
      <c r="BD41" s="130"/>
      <c r="CU41" s="138" t="s">
        <v>144</v>
      </c>
      <c r="CV41" s="166" cm="1">
        <f t="array" ref="CV41">-IFERROR(SUM(_xlfn._xlws.FILTER(Table_Datafeed[CP vận chuyển],
(Table_Datafeed[Kỳ]&gt;=Pivot!$E$2)*
(Table_Datafeed[Kỳ]&lt;=Pivot!$E$3)
)),0)</f>
        <v>0</v>
      </c>
      <c r="CW41" s="166">
        <f t="shared" si="0"/>
        <v>0</v>
      </c>
      <c r="CX41" s="138" cm="1">
        <f t="array" ref="CX41" xml:space="preserve">
IF($CU$31=FALSE,
MAX(0,
CV41+IFERROR(SUM(_xlfn._xlws.FILTER(Table_Datafeed[CP vận chuyển],
(Table_Datafeed[Kỳ]&gt;=DATE(YEAR(Pivot!$E$2)-1, MONTH(Pivot!$E$2),1))*
(Table_Datafeed[Kỳ]&lt;=DATE(YEAR(Pivot!$E$3)-1,MONTH(Pivot!$E$3),1))
)),0)),
MIN(0,
CV41+IFERROR(SUM(_xlfn._xlws.FILTER(Table_Datafeed[CP vận chuyển],
(Table_Datafeed[Kỳ]&gt;=DATE(YEAR(Pivot!$E$2)-1, MONTH(Pivot!$E$2),1))*
(Table_Datafeed[Kỳ]&lt;=DATE(YEAR(Pivot!$E$3)-1,MONTH(Pivot!$E$3),1))
)),0)))</f>
        <v>0</v>
      </c>
      <c r="CY41" s="166">
        <f t="shared" si="1"/>
        <v>0</v>
      </c>
      <c r="CZ41" s="160">
        <f t="shared" si="2"/>
        <v>0</v>
      </c>
      <c r="DA41" s="144"/>
      <c r="DB41" s="144"/>
    </row>
    <row r="42" spans="56:106" ht="18" customHeight="1" x14ac:dyDescent="0.3">
      <c r="BD42" s="130"/>
      <c r="CU42" s="138" t="s">
        <v>145</v>
      </c>
      <c r="CV42" s="166" cm="1">
        <f t="array" ref="CV42">-IFERROR(SUM(_xlfn._xlws.FILTER(Table_Datafeed[CP nhân sự],
(Table_Datafeed[Kỳ]&gt;=Pivot!$E$2)*
(Table_Datafeed[Kỳ]&lt;=Pivot!$E$3)
)),0)</f>
        <v>0</v>
      </c>
      <c r="CW42" s="166">
        <f t="shared" si="0"/>
        <v>0</v>
      </c>
      <c r="CX42" s="138" cm="1">
        <f t="array" ref="CX42" xml:space="preserve">
IF($CU$31=FALSE,
MAX(0,
CV42+IFERROR(SUM(_xlfn._xlws.FILTER(Table_Datafeed[CP nhân sự],
(Table_Datafeed[Kỳ]&gt;=DATE(YEAR(Pivot!$E$2)-1, MONTH(Pivot!$E$2),1))*
(Table_Datafeed[Kỳ]&lt;=DATE(YEAR(Pivot!$E$3)-1,MONTH(Pivot!$E$3),1))
)),0)),
MIN(0,
CV42+IFERROR(SUM(_xlfn._xlws.FILTER(Table_Datafeed[CP nhân sự],
(Table_Datafeed[Kỳ]&gt;=DATE(YEAR(Pivot!$E$2)-1, MONTH(Pivot!$E$2),1))*
(Table_Datafeed[Kỳ]&lt;=DATE(YEAR(Pivot!$E$3)-1,MONTH(Pivot!$E$3),1))
)),0)))</f>
        <v>0</v>
      </c>
      <c r="CY42" s="166">
        <f t="shared" si="1"/>
        <v>0</v>
      </c>
      <c r="CZ42" s="160">
        <f t="shared" si="2"/>
        <v>0</v>
      </c>
      <c r="DA42" s="144"/>
      <c r="DB42" s="144"/>
    </row>
    <row r="43" spans="56:106" ht="18" customHeight="1" x14ac:dyDescent="0.3">
      <c r="BD43" s="130"/>
      <c r="CU43" s="138" t="s">
        <v>146</v>
      </c>
      <c r="CV43" s="166" cm="1">
        <f t="array" ref="CV43">-IFERROR(SUM(_xlfn._xlws.FILTER(Table_Datafeed[CP tiêu hao VP],
(Table_Datafeed[Kỳ]&gt;=Pivot!$E$2)*
(Table_Datafeed[Kỳ]&lt;=Pivot!$E$3)
)),0)</f>
        <v>0</v>
      </c>
      <c r="CW43" s="166">
        <f t="shared" si="0"/>
        <v>0</v>
      </c>
      <c r="CX43" s="138" cm="1">
        <f t="array" ref="CX43" xml:space="preserve">
IF($CU$31=FALSE,
MAX(0,
CV43+IFERROR(SUM(_xlfn._xlws.FILTER(Table_Datafeed[CP tiêu hao VP],
(Table_Datafeed[Kỳ]&gt;=DATE(YEAR(Pivot!$E$2)-1, MONTH(Pivot!$E$2),1))*
(Table_Datafeed[Kỳ]&lt;=DATE(YEAR(Pivot!$E$3)-1,MONTH(Pivot!$E$3),1))
)),0)),
MIN(0,
CV43+IFERROR(SUM(_xlfn._xlws.FILTER(Table_Datafeed[CP tiêu hao VP],
(Table_Datafeed[Kỳ]&gt;=DATE(YEAR(Pivot!$E$2)-1, MONTH(Pivot!$E$2),1))*
(Table_Datafeed[Kỳ]&lt;=DATE(YEAR(Pivot!$E$3)-1,MONTH(Pivot!$E$3),1))
)),0)))</f>
        <v>0</v>
      </c>
      <c r="CY43" s="166">
        <f t="shared" si="1"/>
        <v>0</v>
      </c>
      <c r="CZ43" s="160">
        <f t="shared" si="2"/>
        <v>0</v>
      </c>
      <c r="DA43" s="144"/>
      <c r="DB43" s="144"/>
    </row>
    <row r="44" spans="56:106" ht="18" customHeight="1" x14ac:dyDescent="0.3">
      <c r="BD44" s="130"/>
      <c r="CU44" s="138" t="s">
        <v>147</v>
      </c>
      <c r="CV44" s="166" cm="1">
        <f t="array" ref="CV44">-IFERROR(SUM(_xlfn._xlws.FILTER(Table_Datafeed[CP vận hành kênh],
(Table_Datafeed[Kỳ]&gt;=Pivot!$E$2)*
(Table_Datafeed[Kỳ]&lt;=Pivot!$E$3)
)),0)</f>
        <v>0</v>
      </c>
      <c r="CW44" s="166">
        <f t="shared" si="0"/>
        <v>0</v>
      </c>
      <c r="CX44" s="138" cm="1">
        <f t="array" ref="CX44" xml:space="preserve">
IF($CU$31=FALSE,
MAX(0,
CV44+IFERROR(SUM(_xlfn._xlws.FILTER(Table_Datafeed[CP vận hành kênh],
(Table_Datafeed[Kỳ]&gt;=DATE(YEAR(Pivot!$E$2)-1, MONTH(Pivot!$E$2),1))*
(Table_Datafeed[Kỳ]&lt;=DATE(YEAR(Pivot!$E$3)-1,MONTH(Pivot!$E$3),1))
)),0)),
MIN(0,
CV44+IFERROR(SUM(_xlfn._xlws.FILTER(Table_Datafeed[CP vận hành kênh],
(Table_Datafeed[Kỳ]&gt;=DATE(YEAR(Pivot!$E$2)-1, MONTH(Pivot!$E$2),1))*
(Table_Datafeed[Kỳ]&lt;=DATE(YEAR(Pivot!$E$3)-1,MONTH(Pivot!$E$3),1))
)),0)))</f>
        <v>0</v>
      </c>
      <c r="CY44" s="166">
        <f t="shared" si="1"/>
        <v>0</v>
      </c>
      <c r="CZ44" s="160">
        <f t="shared" si="2"/>
        <v>0</v>
      </c>
      <c r="DA44" s="144"/>
      <c r="DB44" s="144"/>
    </row>
    <row r="45" spans="56:106" ht="18" customHeight="1" x14ac:dyDescent="0.3">
      <c r="BD45" s="130"/>
      <c r="CU45" s="138" t="s">
        <v>148</v>
      </c>
      <c r="CV45" s="166" cm="1">
        <f t="array" ref="CV45">-IFERROR(SUM(_xlfn._xlws.FILTER(Table_Datafeed[CP marketing],
(Table_Datafeed[Kỳ]&gt;=Pivot!$E$2)*
(Table_Datafeed[Kỳ]&lt;=Pivot!$E$3)
)),0)</f>
        <v>0</v>
      </c>
      <c r="CW45" s="166">
        <f t="shared" si="0"/>
        <v>0</v>
      </c>
      <c r="CX45" s="138" cm="1">
        <f t="array" ref="CX45" xml:space="preserve">
IF($CU$31=FALSE,
MAX(0,
CV45+IFERROR(SUM(_xlfn._xlws.FILTER(Table_Datafeed[CP marketing],
(Table_Datafeed[Kỳ]&gt;=DATE(YEAR(Pivot!$E$2)-1, MONTH(Pivot!$E$2),1))*
(Table_Datafeed[Kỳ]&lt;=DATE(YEAR(Pivot!$E$3)-1,MONTH(Pivot!$E$3),1))
)),0)),
MIN(0,
CV45+IFERROR(SUM(_xlfn._xlws.FILTER(Table_Datafeed[CP marketing],
(Table_Datafeed[Kỳ]&gt;=DATE(YEAR(Pivot!$E$2)-1, MONTH(Pivot!$E$2),1))*
(Table_Datafeed[Kỳ]&lt;=DATE(YEAR(Pivot!$E$3)-1,MONTH(Pivot!$E$3),1))
)),0)))</f>
        <v>0</v>
      </c>
      <c r="CY45" s="166">
        <f t="shared" si="1"/>
        <v>0</v>
      </c>
      <c r="CZ45" s="160">
        <f t="shared" si="2"/>
        <v>0</v>
      </c>
      <c r="DA45" s="144"/>
      <c r="DB45" s="144"/>
    </row>
    <row r="46" spans="56:106" ht="18" customHeight="1" x14ac:dyDescent="0.3">
      <c r="BD46" s="130"/>
      <c r="CU46" s="138" t="s">
        <v>149</v>
      </c>
      <c r="CV46" s="166" cm="1">
        <f t="array" ref="CV46">-IFERROR(SUM(_xlfn._xlws.FILTER(Table_Datafeed[CP dịch vụ],
(Table_Datafeed[Kỳ]&gt;=Pivot!$E$2)*
(Table_Datafeed[Kỳ]&lt;=Pivot!$E$3)
)),0)</f>
        <v>0</v>
      </c>
      <c r="CW46" s="166">
        <f t="shared" si="0"/>
        <v>0</v>
      </c>
      <c r="CX46" s="138" cm="1">
        <f t="array" ref="CX46" xml:space="preserve">
IF($CU$31=FALSE,
MAX(0,
CV46+IFERROR(SUM(_xlfn._xlws.FILTER(Table_Datafeed[CP dịch vụ],
(Table_Datafeed[Kỳ]&gt;=DATE(YEAR(Pivot!$E$2)-1, MONTH(Pivot!$E$2),1))*
(Table_Datafeed[Kỳ]&lt;=DATE(YEAR(Pivot!$E$3)-1,MONTH(Pivot!$E$3),1))
)),0)),
MIN(0,
CV46+IFERROR(SUM(_xlfn._xlws.FILTER(Table_Datafeed[CP dịch vụ],
(Table_Datafeed[Kỳ]&gt;=DATE(YEAR(Pivot!$E$2)-1, MONTH(Pivot!$E$2),1))*
(Table_Datafeed[Kỳ]&lt;=DATE(YEAR(Pivot!$E$3)-1,MONTH(Pivot!$E$3),1))
)),0)))</f>
        <v>0</v>
      </c>
      <c r="CY46" s="166">
        <f t="shared" si="1"/>
        <v>0</v>
      </c>
      <c r="CZ46" s="160">
        <f t="shared" si="2"/>
        <v>0</v>
      </c>
    </row>
    <row r="47" spans="56:106" ht="18" customHeight="1" x14ac:dyDescent="0.3">
      <c r="BD47" s="130"/>
      <c r="CU47" s="138" t="s">
        <v>150</v>
      </c>
      <c r="CV47" s="166" cm="1">
        <f t="array" ref="CV47">-IFERROR(SUM(_xlfn._xlws.FILTER(Table_Datafeed[CP khấu hao],
(Table_Datafeed[Kỳ]&gt;=Pivot!$E$2)*
(Table_Datafeed[Kỳ]&lt;=Pivot!$E$3)
)),0)</f>
        <v>0</v>
      </c>
      <c r="CW47" s="166">
        <f t="shared" si="0"/>
        <v>0</v>
      </c>
      <c r="CX47" s="138" cm="1">
        <f t="array" ref="CX47" xml:space="preserve">
IF($CU$31=FALSE,
MAX(0,
CV47+IFERROR(SUM(_xlfn._xlws.FILTER(Table_Datafeed[CP khấu hao],
(Table_Datafeed[Kỳ]&gt;=DATE(YEAR(Pivot!$E$2)-1, MONTH(Pivot!$E$2),1))*
(Table_Datafeed[Kỳ]&lt;=DATE(YEAR(Pivot!$E$3)-1,MONTH(Pivot!$E$3),1))
)),0)),
MIN(0,
CV47+IFERROR(SUM(_xlfn._xlws.FILTER(Table_Datafeed[CP khấu hao],
(Table_Datafeed[Kỳ]&gt;=DATE(YEAR(Pivot!$E$2)-1, MONTH(Pivot!$E$2),1))*
(Table_Datafeed[Kỳ]&lt;=DATE(YEAR(Pivot!$E$3)-1,MONTH(Pivot!$E$3),1))
)),0)))</f>
        <v>0</v>
      </c>
      <c r="CY47" s="166">
        <f t="shared" si="1"/>
        <v>0</v>
      </c>
      <c r="CZ47" s="160">
        <f t="shared" si="2"/>
        <v>0</v>
      </c>
    </row>
    <row r="48" spans="56:106" ht="18" customHeight="1" x14ac:dyDescent="0.3">
      <c r="BD48" s="130"/>
      <c r="CU48" s="138" t="s">
        <v>151</v>
      </c>
      <c r="CV48" s="166" cm="1">
        <f t="array" ref="CV48">-IFERROR(SUM(_xlfn._xlws.FILTER(Table_Datafeed[CP lãi vay],
(Table_Datafeed[Kỳ]&gt;=Pivot!$E$2)*
(Table_Datafeed[Kỳ]&lt;=Pivot!$E$3)
)),0)</f>
        <v>0</v>
      </c>
      <c r="CW48" s="166">
        <f t="shared" si="0"/>
        <v>0</v>
      </c>
      <c r="CX48" s="138" cm="1">
        <f t="array" ref="CX48" xml:space="preserve">
IF($CU$31=FALSE,
MAX(0,
CV48+IFERROR(SUM(_xlfn._xlws.FILTER(Table_Datafeed[CP lãi vay],
(Table_Datafeed[Kỳ]&gt;=DATE(YEAR(Pivot!$E$2)-1, MONTH(Pivot!$E$2),1))*
(Table_Datafeed[Kỳ]&lt;=DATE(YEAR(Pivot!$E$3)-1,MONTH(Pivot!$E$3),1))
)),0)),
MIN(0,
CV48+IFERROR(SUM(_xlfn._xlws.FILTER(Table_Datafeed[CP lãi vay],
(Table_Datafeed[Kỳ]&gt;=DATE(YEAR(Pivot!$E$2)-1, MONTH(Pivot!$E$2),1))*
(Table_Datafeed[Kỳ]&lt;=DATE(YEAR(Pivot!$E$3)-1,MONTH(Pivot!$E$3),1))
)),0)))</f>
        <v>0</v>
      </c>
      <c r="CY48" s="166">
        <f t="shared" si="1"/>
        <v>0</v>
      </c>
      <c r="CZ48" s="160">
        <f t="shared" si="2"/>
        <v>0</v>
      </c>
    </row>
    <row r="49" spans="56:104" ht="18" customHeight="1" x14ac:dyDescent="0.3">
      <c r="BD49" s="130"/>
      <c r="CU49" s="138" t="s">
        <v>4</v>
      </c>
      <c r="CV49" s="166" cm="1">
        <f t="array" ref="CV49">-IFERROR(SUM(_xlfn._xlws.FILTER(Table_Datafeed[Thuế phí NN],
(Table_Datafeed[Kỳ]&gt;=Pivot!$E$2)*
(Table_Datafeed[Kỳ]&lt;=Pivot!$E$3)
)),0)</f>
        <v>0</v>
      </c>
      <c r="CW49" s="166">
        <f t="shared" si="0"/>
        <v>0</v>
      </c>
      <c r="CX49" s="138" cm="1">
        <f t="array" ref="CX49" xml:space="preserve">
IF($CU$31=FALSE,
MAX(0,
CV49+IFERROR(SUM(_xlfn._xlws.FILTER(Table_Datafeed[Thuế phí NN],
(Table_Datafeed[Kỳ]&gt;=DATE(YEAR(Pivot!$E$2)-1, MONTH(Pivot!$E$2),1))*
(Table_Datafeed[Kỳ]&lt;=DATE(YEAR(Pivot!$E$3)-1,MONTH(Pivot!$E$3),1))
)),0)),
MIN(0,
CV49+IFERROR(SUM(_xlfn._xlws.FILTER(Table_Datafeed[Thuế phí NN],
(Table_Datafeed[Kỳ]&gt;=DATE(YEAR(Pivot!$E$2)-1, MONTH(Pivot!$E$2),1))*
(Table_Datafeed[Kỳ]&lt;=DATE(YEAR(Pivot!$E$3)-1,MONTH(Pivot!$E$3),1))
)),0)))</f>
        <v>0</v>
      </c>
      <c r="CY49" s="166">
        <f t="shared" si="1"/>
        <v>0</v>
      </c>
      <c r="CZ49" s="160">
        <f t="shared" si="2"/>
        <v>0</v>
      </c>
    </row>
    <row r="50" spans="56:104" ht="18" customHeight="1" x14ac:dyDescent="0.3">
      <c r="BD50" s="130"/>
      <c r="CU50" s="138" t="s">
        <v>152</v>
      </c>
      <c r="CV50" s="166" cm="1">
        <f t="array" ref="CV50">-IFERROR(SUM(_xlfn._xlws.FILTER(Table_Datafeed[CP khác],
(Table_Datafeed[Kỳ]&gt;=Pivot!$E$2)*
(Table_Datafeed[Kỳ]&lt;=Pivot!$E$3)
)),0)</f>
        <v>0</v>
      </c>
      <c r="CW50" s="166">
        <f t="shared" si="0"/>
        <v>0</v>
      </c>
      <c r="CX50" s="138" cm="1">
        <f t="array" ref="CX50" xml:space="preserve">
IF($CU$31=FALSE,
MAX(0,
CV50+IFERROR(SUM(_xlfn._xlws.FILTER(Table_Datafeed[CP khác],
(Table_Datafeed[Kỳ]&gt;=DATE(YEAR(Pivot!$E$2)-1, MONTH(Pivot!$E$2),1))*
(Table_Datafeed[Kỳ]&lt;=DATE(YEAR(Pivot!$E$3)-1,MONTH(Pivot!$E$3),1))
)),0)),
MIN(0,
CV50+IFERROR(SUM(_xlfn._xlws.FILTER(Table_Datafeed[CP khác],
(Table_Datafeed[Kỳ]&gt;=DATE(YEAR(Pivot!$E$2)-1, MONTH(Pivot!$E$2),1))*
(Table_Datafeed[Kỳ]&lt;=DATE(YEAR(Pivot!$E$3)-1,MONTH(Pivot!$E$3),1))
)),0)))</f>
        <v>0</v>
      </c>
      <c r="CY50" s="166">
        <f t="shared" si="1"/>
        <v>0</v>
      </c>
      <c r="CZ50" s="160">
        <f t="shared" si="2"/>
        <v>0</v>
      </c>
    </row>
    <row r="51" spans="56:104" ht="18" customHeight="1" x14ac:dyDescent="0.3">
      <c r="BD51" s="130"/>
      <c r="CU51" s="142" t="s">
        <v>124</v>
      </c>
    </row>
    <row r="52" spans="56:104" ht="18" customHeight="1" x14ac:dyDescent="0.3">
      <c r="BD52" s="130"/>
      <c r="CU52" s="138" t="s">
        <v>153</v>
      </c>
      <c r="CV52" s="138" t="s">
        <v>154</v>
      </c>
      <c r="CW52" s="138" t="s">
        <v>135</v>
      </c>
      <c r="CX52" s="138" t="s">
        <v>155</v>
      </c>
      <c r="CY52" s="138" t="s">
        <v>156</v>
      </c>
    </row>
    <row r="53" spans="56:104" ht="18" customHeight="1" x14ac:dyDescent="0.3">
      <c r="BD53" s="130"/>
      <c r="CU53" s="138">
        <v>1</v>
      </c>
      <c r="CV53" s="138" t="str" cm="1">
        <f t="array" ref="CV53">INDEX($CU$34:$CZ$50,MATCH(CU53,_xlfn.RANK.EQ($CV$34:$CV$50,$CV$34:$CV$50,0),0),1)</f>
        <v>Giảm giá</v>
      </c>
      <c r="CW53" s="138" t="str" cm="1">
        <f t="array" ref="CW53" xml:space="preserve">
IF($CU$31=FALSE,
INDEX($CU$34:$CZ$50,MATCH(CU53,_xlfn.RANK.EQ($CX$34:$CX$50,$CX$34:$CX$50,0),0),1),
INDEX($CU$34:$CZ$50,MATCH(CU53,_xlfn.RANK.EQ($CX$34:$CX$50,$CX$34:$CX$50,1),0),1)
)</f>
        <v>Giảm giá</v>
      </c>
      <c r="CX53" s="138" t="str" cm="1">
        <f t="array" ref="CX53" xml:space="preserve">
IF($CU$31=FALSE,
INDEX($CU$34:$CZ$50,MATCH(CU53,_xlfn.RANK.EQ($CZ$34:$CZ$50,$CZ$34:$CZ$50,0),0),1),
INDEX($CU$34:$CZ$50,MATCH(CU53,_xlfn.RANK.EQ($CZ$34:$CZ$50,$CZ$34:$CZ$50,1),0),1))</f>
        <v>Giảm giá</v>
      </c>
      <c r="CY53" s="160" cm="1">
        <f t="array" ref="CY53">INDEX($CU$34:$CZ$50,MATCH(CX53,$CU$34:$CU$50,0),
COUNTA($CU$33:$CZ$33))</f>
        <v>0</v>
      </c>
    </row>
    <row r="54" spans="56:104" ht="18" customHeight="1" x14ac:dyDescent="0.3">
      <c r="BD54" s="130"/>
      <c r="CU54" s="138">
        <v>2</v>
      </c>
      <c r="CV54" s="138" t="e" cm="1">
        <f t="array" ref="CV54">INDEX($CU$34:$CZ$50,MATCH(CU54,_xlfn.RANK.EQ($CV$34:$CV$50,$CV$34:$CV$50,0),0),1)</f>
        <v>#N/A</v>
      </c>
      <c r="CW54" s="138" t="e" cm="1">
        <f t="array" ref="CW54" xml:space="preserve">
IF($CU$31=FALSE,
INDEX($CU$34:$CZ$50,MATCH(CU54,_xlfn.RANK.EQ($CX$34:$CX$50,$CX$34:$CX$50,0),0),1),
INDEX($CU$34:$CZ$50,MATCH(CU54,_xlfn.RANK.EQ($CX$34:$CX$50,$CX$34:$CX$50,1),0),1)
)</f>
        <v>#N/A</v>
      </c>
      <c r="CX54" s="138" t="e" cm="1">
        <f t="array" ref="CX54" xml:space="preserve">
IF($CU$31=FALSE,
INDEX($CU$34:$CZ$50,MATCH(CU54,_xlfn.RANK.EQ($CZ$34:$CZ$50,$CZ$34:$CZ$50,0),0),1),
INDEX($CU$34:$CZ$50,MATCH(CU54,_xlfn.RANK.EQ($CZ$34:$CZ$50,$CZ$34:$CZ$50,1),0),1))</f>
        <v>#N/A</v>
      </c>
      <c r="CY54" s="160" t="e" cm="1">
        <f t="array" ref="CY54">INDEX($CU$34:$CZ$50,MATCH(CX54,$CU$34:$CU$50,0),
COUNTA($CU$33:$CZ$33))</f>
        <v>#N/A</v>
      </c>
    </row>
    <row r="55" spans="56:104" ht="18" customHeight="1" x14ac:dyDescent="0.3">
      <c r="BD55" s="130"/>
      <c r="CU55" s="138">
        <v>3</v>
      </c>
      <c r="CV55" s="138" t="e" cm="1">
        <f t="array" ref="CV55">INDEX($CU$34:$CZ$50,MATCH(CU55,_xlfn.RANK.EQ($CV$34:$CV$50,$CV$34:$CV$50,0),0),1)</f>
        <v>#N/A</v>
      </c>
      <c r="CW55" s="138" t="e" cm="1">
        <f t="array" ref="CW55" xml:space="preserve">
IF($CU$31=FALSE,
INDEX($CU$34:$CZ$50,MATCH(CU55,_xlfn.RANK.EQ($CX$34:$CX$50,$CX$34:$CX$50,0),0),1),
INDEX($CU$34:$CZ$50,MATCH(CU55,_xlfn.RANK.EQ($CX$34:$CX$50,$CX$34:$CX$50,1),0),1)
)</f>
        <v>#N/A</v>
      </c>
      <c r="CX55" s="138" t="e" cm="1">
        <f t="array" ref="CX55" xml:space="preserve">
IF($CU$31=FALSE,
INDEX($CU$34:$CZ$50,MATCH(CU55,_xlfn.RANK.EQ($CZ$34:$CZ$50,$CZ$34:$CZ$50,0),0),1),
INDEX($CU$34:$CZ$50,MATCH(CU55,_xlfn.RANK.EQ($CZ$34:$CZ$50,$CZ$34:$CZ$50,1),0),1))</f>
        <v>#N/A</v>
      </c>
      <c r="CY55" s="160" t="e" cm="1">
        <f t="array" ref="CY55">INDEX($CU$34:$CZ$50,MATCH(CX55,$CU$34:$CU$50,0),
COUNTA($CU$33:$CZ$33))</f>
        <v>#N/A</v>
      </c>
    </row>
  </sheetData>
  <sheetProtection algorithmName="SHA-512" hashValue="G19bNfRIz9qWph6ZnhXLoaw8NS918J5qRFxMZDoK53nQs8mkHpqzCJk7jbRMbBWq7I1ba+8lGqNfsII2dQ3xYA==" saltValue="6nmYGyyGTsXI3dUG6O0xXg=="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82</xdr:col>
                    <xdr:colOff>266700</xdr:colOff>
                    <xdr:row>1</xdr:row>
                    <xdr:rowOff>171450</xdr:rowOff>
                  </from>
                  <to>
                    <xdr:col>83</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83</xdr:col>
                    <xdr:colOff>409575</xdr:colOff>
                    <xdr:row>1</xdr:row>
                    <xdr:rowOff>171450</xdr:rowOff>
                  </from>
                  <to>
                    <xdr:col>84</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84</xdr:col>
                    <xdr:colOff>552450</xdr:colOff>
                    <xdr:row>1</xdr:row>
                    <xdr:rowOff>171450</xdr:rowOff>
                  </from>
                  <to>
                    <xdr:col>85</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86</xdr:col>
                    <xdr:colOff>9525</xdr:colOff>
                    <xdr:row>1</xdr:row>
                    <xdr:rowOff>171450</xdr:rowOff>
                  </from>
                  <to>
                    <xdr:col>87</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82</xdr:col>
                    <xdr:colOff>295275</xdr:colOff>
                    <xdr:row>29</xdr:row>
                    <xdr:rowOff>38100</xdr:rowOff>
                  </from>
                  <to>
                    <xdr:col>83</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157</v>
      </c>
      <c r="AS2" s="137" t="s">
        <v>158</v>
      </c>
      <c r="AT2" s="137" t="s">
        <v>33</v>
      </c>
      <c r="AU2" s="137" t="s">
        <v>22</v>
      </c>
      <c r="AV2" s="137" t="s">
        <v>159</v>
      </c>
      <c r="AW2" s="137" t="s">
        <v>160</v>
      </c>
      <c r="AX2" s="137" t="s">
        <v>161</v>
      </c>
      <c r="AY2" s="137" t="s">
        <v>22</v>
      </c>
      <c r="AZ2" s="137" t="s">
        <v>162</v>
      </c>
      <c r="BA2" s="137" t="s">
        <v>160</v>
      </c>
      <c r="BB2" s="137" t="s">
        <v>163</v>
      </c>
      <c r="BC2" s="137" t="s">
        <v>164</v>
      </c>
      <c r="BD2" s="137" t="s">
        <v>160</v>
      </c>
      <c r="BE2" s="137" t="s">
        <v>165</v>
      </c>
      <c r="BF2" s="137" t="s">
        <v>166</v>
      </c>
      <c r="BG2" s="137" t="s">
        <v>167</v>
      </c>
      <c r="BH2" s="137" t="s">
        <v>168</v>
      </c>
      <c r="BI2" s="137" t="s">
        <v>22</v>
      </c>
      <c r="BJ2" s="137" t="s">
        <v>169</v>
      </c>
      <c r="BK2" s="137" t="s">
        <v>170</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56" t="s">
        <v>929</v>
      </c>
      <c r="AB4" s="556"/>
      <c r="AC4" s="556"/>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171</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172</v>
      </c>
      <c r="AS7" s="135" t="s">
        <v>33</v>
      </c>
      <c r="AT7" s="135" t="s">
        <v>173</v>
      </c>
      <c r="AU7" s="135" t="s">
        <v>174</v>
      </c>
      <c r="AV7" s="135" t="s">
        <v>175</v>
      </c>
      <c r="AY7" s="135" t="s">
        <v>25</v>
      </c>
      <c r="AZ7" s="135" t="s">
        <v>21</v>
      </c>
      <c r="BA7" s="135" t="s">
        <v>156</v>
      </c>
      <c r="BB7" s="135" t="s">
        <v>71</v>
      </c>
      <c r="BC7" s="135" t="s">
        <v>176</v>
      </c>
      <c r="BD7" s="135"/>
      <c r="BE7" s="135"/>
      <c r="BF7" s="135" t="s">
        <v>26</v>
      </c>
      <c r="BG7" s="135" t="s">
        <v>177</v>
      </c>
      <c r="BH7" s="135"/>
      <c r="BI7" s="135"/>
      <c r="BJ7" s="135" t="s">
        <v>158</v>
      </c>
      <c r="BK7" s="135" t="s">
        <v>21</v>
      </c>
      <c r="BL7" s="135" t="s">
        <v>178</v>
      </c>
      <c r="BO7" s="137" t="s">
        <v>179</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929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995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986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180</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930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38"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996</v>
      </c>
      <c r="AZ9" s="158" t="e">
        <f>VLOOKUP(Dashboard_ThiTruong_PhanKhuc[[#This Row],[Phân khúc]],CJ:CK,2,0)</f>
        <v>#N/A</v>
      </c>
      <c r="BA9" s="158" t="e">
        <f>VLOOKUP(Dashboard_ThiTruong_PhanKhuc[[#This Row],[Phân khúc]],CJ:CM,4,0)</f>
        <v>#N/A</v>
      </c>
      <c r="BB9" s="158" t="e">
        <f>VLOOKUP(Dashboard_ThiTruong_PhanKhuc[[#This Row],[Phân khúc]],CJ:CO,6,0)</f>
        <v>#N/A</v>
      </c>
      <c r="BC9" s="438" t="e">
        <f>VLOOKUP(Dashboard_ThiTruong_PhanKhuc[[#This Row],[Phân khúc]],CJ:CP,7,0)</f>
        <v>#N/A</v>
      </c>
      <c r="BD9" s="133"/>
      <c r="BE9" s="133"/>
      <c r="BF9" s="131" t="s">
        <v>987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181</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931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38"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988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932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38"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989</v>
      </c>
      <c r="BG11" s="158" t="e">
        <f>VLOOKUP(Dashboard_ThiTruong_TinhThanh[[#This Row],[Tỉnh]],CS:CT,2,0)</f>
        <v>#N/A</v>
      </c>
      <c r="BO11" s="142" t="s">
        <v>124</v>
      </c>
      <c r="BP11" s="138"/>
      <c r="BQ11" s="138"/>
      <c r="BR11" s="138"/>
      <c r="BS11" s="138"/>
    </row>
    <row r="12" spans="2:72" ht="16.5" x14ac:dyDescent="0.3">
      <c r="B12" s="134"/>
      <c r="AR12" s="131" t="s">
        <v>933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38"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990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934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38"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991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935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38"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992</v>
      </c>
      <c r="BG14" s="158" t="e">
        <f>VLOOKUP(Dashboard_ThiTruong_TinhThanh[[#This Row],[Tỉnh]],CS:CT,2,0)</f>
        <v>#N/A</v>
      </c>
      <c r="BO14" s="138" t="s">
        <v>1</v>
      </c>
      <c r="BP14" s="138" t="s">
        <v>66</v>
      </c>
      <c r="BQ14" s="138" t="s">
        <v>22</v>
      </c>
      <c r="BR14" s="138" t="s">
        <v>182</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172</v>
      </c>
      <c r="BP30" s="137" t="s">
        <v>25</v>
      </c>
      <c r="BQ30" s="137" t="s">
        <v>183</v>
      </c>
      <c r="BR30" s="137" t="s">
        <v>177</v>
      </c>
      <c r="BS30" s="137" t="s">
        <v>184</v>
      </c>
      <c r="BT30" s="137" t="s">
        <v>185</v>
      </c>
      <c r="BU30" s="137" t="s">
        <v>186</v>
      </c>
      <c r="BV30" s="137" t="s">
        <v>33</v>
      </c>
      <c r="BW30" s="137" t="s">
        <v>187</v>
      </c>
      <c r="BX30" s="137" t="s">
        <v>188</v>
      </c>
      <c r="BY30" s="137" t="s">
        <v>189</v>
      </c>
      <c r="BZ30" s="137" t="s">
        <v>173</v>
      </c>
      <c r="CA30" s="137" t="s">
        <v>190</v>
      </c>
      <c r="CB30" s="137" t="s">
        <v>191</v>
      </c>
      <c r="CC30" s="137" t="s">
        <v>192</v>
      </c>
      <c r="CD30" s="137" t="s">
        <v>163</v>
      </c>
      <c r="CE30" s="137" t="s">
        <v>193</v>
      </c>
      <c r="CF30" s="137" t="s">
        <v>33</v>
      </c>
      <c r="CG30" s="137" t="s">
        <v>194</v>
      </c>
      <c r="CH30" s="137" t="s">
        <v>168</v>
      </c>
      <c r="CJ30" s="137" t="s">
        <v>25</v>
      </c>
      <c r="CK30" s="137" t="s">
        <v>21</v>
      </c>
      <c r="CL30" s="137" t="s">
        <v>22</v>
      </c>
      <c r="CM30" s="137" t="s">
        <v>156</v>
      </c>
      <c r="CN30" s="137" t="s">
        <v>22</v>
      </c>
      <c r="CO30" s="137" t="s">
        <v>71</v>
      </c>
      <c r="CP30" s="137" t="s">
        <v>195</v>
      </c>
      <c r="CQ30" s="137" t="s">
        <v>22</v>
      </c>
      <c r="CS30" s="137" t="s">
        <v>196</v>
      </c>
      <c r="CT30" s="137" t="s">
        <v>177</v>
      </c>
      <c r="CU30" s="137" t="s">
        <v>22</v>
      </c>
      <c r="CW30" s="137" t="s">
        <v>197</v>
      </c>
      <c r="CX30" s="137" t="s">
        <v>198</v>
      </c>
      <c r="CY30" s="137" t="s">
        <v>199</v>
      </c>
    </row>
    <row r="31" spans="2:103" ht="16.5" x14ac:dyDescent="0.3">
      <c r="B31" s="134"/>
      <c r="BO31" s="137" t="str" cm="1">
        <f t="array" ref="BO31:BO33">Table_KhachHang[Mã KH]</f>
        <v>KH3</v>
      </c>
      <c r="BP31" s="137" cm="1">
        <f t="array" ref="BP31:BP33">VLOOKUP(_xlfn.ANCHORARRAY(BO31),Table_KhachHang[Mã KH]:Table_KhachHang[Phân khúc],3,0)</f>
        <v>0</v>
      </c>
      <c r="BQ31" s="137" t="e" cm="1">
        <f t="array" ref="BQ31:BQ33">VLOOKUP(_xlfn.ANCHORARRAY(BO31),Table_KhachHang[Mã KH]:Table_KhachHang[Tỉnh],8,0)</f>
        <v>#REF!</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-800000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t="e">
        <v>#REF!</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300000</v>
      </c>
      <c r="CM32" s="204"/>
      <c r="CO32" s="139"/>
    </row>
    <row r="33" spans="2:86" ht="16.5" x14ac:dyDescent="0.3">
      <c r="B33" s="134"/>
      <c r="BO33" s="137" t="str">
        <v>KH1</v>
      </c>
      <c r="BP33" s="137">
        <v>0</v>
      </c>
      <c r="BQ33" s="137" t="e">
        <v>#REF!</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400000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157</v>
      </c>
      <c r="AS2" s="137" t="s">
        <v>158</v>
      </c>
      <c r="AT2" s="137" t="s">
        <v>33</v>
      </c>
      <c r="AU2" s="137" t="s">
        <v>22</v>
      </c>
      <c r="AV2" s="137" t="s">
        <v>159</v>
      </c>
      <c r="AW2" s="137" t="s">
        <v>160</v>
      </c>
      <c r="AX2" s="137" t="s">
        <v>161</v>
      </c>
      <c r="AY2" s="137" t="s">
        <v>22</v>
      </c>
      <c r="AZ2" s="137" t="s">
        <v>162</v>
      </c>
      <c r="BA2" s="137" t="s">
        <v>160</v>
      </c>
      <c r="BB2" s="137" t="s">
        <v>200</v>
      </c>
      <c r="BC2" s="137" t="s">
        <v>164</v>
      </c>
      <c r="BD2" s="137" t="s">
        <v>160</v>
      </c>
      <c r="BE2" s="137" t="s">
        <v>17</v>
      </c>
      <c r="BF2" s="137" t="s">
        <v>201</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56" t="s">
        <v>63</v>
      </c>
      <c r="AB4" s="556"/>
      <c r="AC4" s="556"/>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173</v>
      </c>
      <c r="AU7" s="135" t="s">
        <v>174</v>
      </c>
      <c r="AV7" s="135" t="s">
        <v>175</v>
      </c>
      <c r="AY7" s="135" t="s">
        <v>25</v>
      </c>
      <c r="AZ7" s="135" t="s">
        <v>21</v>
      </c>
      <c r="BA7" s="135" t="s">
        <v>156</v>
      </c>
      <c r="BB7" s="135" t="s">
        <v>71</v>
      </c>
      <c r="BC7" s="135" t="s">
        <v>176</v>
      </c>
      <c r="BD7" s="135"/>
      <c r="BE7" s="135"/>
      <c r="BF7" s="135" t="s">
        <v>26</v>
      </c>
      <c r="BG7" s="135" t="s">
        <v>177</v>
      </c>
      <c r="BJ7" s="135" t="s">
        <v>25</v>
      </c>
      <c r="BK7" s="135" t="s">
        <v>21</v>
      </c>
      <c r="BL7" s="135" t="s">
        <v>178</v>
      </c>
      <c r="BN7" s="137" t="s">
        <v>202</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986</v>
      </c>
      <c r="BG8" s="203" t="e">
        <f ca="1">VLOOKUP(Dashboard_SanPham_TinhThanh[[#This Row],[Tỉnh]],_xlfn.ANCHORARRAY($CL$31):_xlfn.ANCHORARRAY($CM$31),2,0)</f>
        <v>#N/A</v>
      </c>
      <c r="BH8" s="147"/>
      <c r="BI8" s="147" cm="1">
        <f t="array" ref="BI8">_xlfn.UNIQUE(Table_KhachHang[Phân khúc])</f>
        <v>0</v>
      </c>
      <c r="BJ8" s="147" t="s">
        <v>995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39">
        <f ca="1">VLOOKUP(Dashboard_SanPham_Nhom[[#This Row],[Phân khúc]],_xlfn.ANCHORARRAY($CC$31):_xlfn.ANCHORARRAY($CH$31),6,0)</f>
        <v>0</v>
      </c>
      <c r="BC9" s="438" t="str">
        <f ca="1">VLOOKUP(Dashboard_SanPham_Nhom[[#This Row],[Phân khúc]],_xlfn.ANCHORARRAY($CC$31):_xlfn.ANCHORARRAY($CI$31),7,0)</f>
        <v/>
      </c>
      <c r="BD9" s="133"/>
      <c r="BE9" s="133"/>
      <c r="BF9" s="131" t="s">
        <v>987</v>
      </c>
      <c r="BG9" s="158" t="e">
        <f ca="1">VLOOKUP(Dashboard_SanPham_TinhThanh[[#This Row],[Tỉnh]],_xlfn.ANCHORARRAY($CL$31):_xlfn.ANCHORARRAY($CM$31),2,0)</f>
        <v>#N/A</v>
      </c>
      <c r="BH9" s="147"/>
      <c r="BI9" s="147"/>
      <c r="BJ9" s="147" t="s">
        <v>996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203</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39">
        <f ca="1">VLOOKUP(Dashboard_SanPham_Nhom[[#This Row],[Phân khúc]],_xlfn.ANCHORARRAY($CC$31):_xlfn.ANCHORARRAY($CH$31),6,0)</f>
        <v>0</v>
      </c>
      <c r="BC10" s="438">
        <f ca="1">VLOOKUP(Dashboard_SanPham_Nhom[[#This Row],[Phân khúc]],_xlfn.ANCHORARRAY($CC$31):_xlfn.ANCHORARRAY($CI$31),7,0)</f>
        <v>4429670.3296703296</v>
      </c>
      <c r="BF10" s="131" t="s">
        <v>988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989</v>
      </c>
      <c r="BG11" s="158" t="e">
        <f ca="1">VLOOKUP(Dashboard_SanPham_TinhThanh[[#This Row],[Tỉnh]],_xlfn.ANCHORARRAY($CL$31):_xlfn.ANCHORARRAY($CM$31),2,0)</f>
        <v>#N/A</v>
      </c>
      <c r="BN11" s="142" t="s">
        <v>124</v>
      </c>
      <c r="BO11" s="138"/>
      <c r="BP11" s="138"/>
      <c r="BQ11" s="138"/>
      <c r="BR11" s="138"/>
    </row>
    <row r="12" spans="2:71" ht="16.5" x14ac:dyDescent="0.3">
      <c r="B12" s="134"/>
      <c r="AS12" s="205"/>
      <c r="AT12" s="205"/>
      <c r="AU12" s="205"/>
      <c r="AV12" s="205"/>
      <c r="BF12" s="131" t="s">
        <v>990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991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992</v>
      </c>
      <c r="BG14" s="158" t="e">
        <f ca="1">VLOOKUP(Dashboard_SanPham_TinhThanh[[#This Row],[Tỉnh]],_xlfn.ANCHORARRAY($CL$31):_xlfn.ANCHORARRAY($CM$31),2,0)</f>
        <v>#N/A</v>
      </c>
      <c r="BN14" s="138" t="s">
        <v>1</v>
      </c>
      <c r="BO14" s="138" t="s">
        <v>66</v>
      </c>
      <c r="BP14" s="138" t="s">
        <v>22</v>
      </c>
      <c r="BQ14" s="138" t="s">
        <v>204</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158</v>
      </c>
      <c r="BP30" s="137" t="s">
        <v>177</v>
      </c>
      <c r="BQ30" s="137" t="s">
        <v>205</v>
      </c>
      <c r="BR30" s="137" t="s">
        <v>30</v>
      </c>
      <c r="BS30" s="137" t="s">
        <v>33</v>
      </c>
      <c r="BT30" s="137" t="s">
        <v>188</v>
      </c>
      <c r="BU30" s="137" t="s">
        <v>189</v>
      </c>
      <c r="BV30" s="137" t="s">
        <v>173</v>
      </c>
      <c r="BW30" s="137" t="s">
        <v>206</v>
      </c>
      <c r="BX30" s="137" t="s">
        <v>191</v>
      </c>
      <c r="BY30" s="137" t="s">
        <v>207</v>
      </c>
      <c r="BZ30" s="137" t="s">
        <v>208</v>
      </c>
      <c r="CA30" s="137" t="s">
        <v>209</v>
      </c>
      <c r="CC30" s="137" t="s">
        <v>25</v>
      </c>
      <c r="CD30" s="137" t="s">
        <v>21</v>
      </c>
      <c r="CE30" s="137" t="s">
        <v>22</v>
      </c>
      <c r="CF30" s="137" t="s">
        <v>156</v>
      </c>
      <c r="CG30" s="137" t="s">
        <v>22</v>
      </c>
      <c r="CH30" s="137" t="s">
        <v>71</v>
      </c>
      <c r="CI30" s="137" t="s">
        <v>195</v>
      </c>
      <c r="CJ30" s="137" t="s">
        <v>22</v>
      </c>
      <c r="CL30" s="137" t="s">
        <v>196</v>
      </c>
      <c r="CM30" s="137" t="s">
        <v>177</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58" t="s">
        <v>210</v>
      </c>
      <c r="AA2" s="558"/>
      <c r="AB2" s="558"/>
      <c r="AD2" s="558" t="s">
        <v>145</v>
      </c>
      <c r="AE2" s="558"/>
      <c r="AF2" s="558"/>
    </row>
    <row r="3" spans="1:96" ht="16.5" x14ac:dyDescent="0.3">
      <c r="B3" s="134"/>
      <c r="C3" s="134"/>
      <c r="Z3" s="557"/>
      <c r="AA3" s="557"/>
      <c r="AB3" s="557"/>
      <c r="AD3" s="557"/>
      <c r="AE3" s="557"/>
      <c r="AF3" s="557"/>
    </row>
    <row r="4" spans="1:96" ht="16.5" x14ac:dyDescent="0.3">
      <c r="B4" s="134"/>
      <c r="C4" s="134"/>
      <c r="AP4" s="132" t="s">
        <v>211</v>
      </c>
      <c r="AQ4" s="132" t="s">
        <v>33</v>
      </c>
      <c r="AR4" s="132" t="s">
        <v>212</v>
      </c>
      <c r="AS4" s="132" t="s">
        <v>213</v>
      </c>
      <c r="AT4" s="132" t="s">
        <v>214</v>
      </c>
      <c r="AU4" s="132" t="s">
        <v>215</v>
      </c>
      <c r="AV4" s="132" t="s">
        <v>216</v>
      </c>
      <c r="AY4" s="132" t="s">
        <v>35</v>
      </c>
      <c r="AZ4" s="132" t="s">
        <v>33</v>
      </c>
      <c r="BA4" s="132" t="s">
        <v>212</v>
      </c>
      <c r="BB4" s="132" t="s">
        <v>213</v>
      </c>
      <c r="BC4" s="132" t="s">
        <v>214</v>
      </c>
      <c r="BD4" s="132" t="s">
        <v>215</v>
      </c>
      <c r="BE4" s="132" t="s">
        <v>216</v>
      </c>
      <c r="BH4" s="132" t="s">
        <v>25</v>
      </c>
      <c r="BI4" s="132" t="s">
        <v>217</v>
      </c>
      <c r="BJ4" s="132" t="s">
        <v>218</v>
      </c>
      <c r="BM4" s="132" t="s">
        <v>219</v>
      </c>
      <c r="BN4" s="132" t="s">
        <v>218</v>
      </c>
      <c r="BO4" s="132" t="s">
        <v>217</v>
      </c>
      <c r="BR4" s="138" t="s">
        <v>220</v>
      </c>
      <c r="BS4" s="138" t="s">
        <v>221</v>
      </c>
      <c r="BT4" s="138" t="s">
        <v>212</v>
      </c>
      <c r="BU4" s="138" t="s">
        <v>222</v>
      </c>
      <c r="BV4" s="138" t="s">
        <v>223</v>
      </c>
      <c r="BW4" s="138" t="s">
        <v>224</v>
      </c>
      <c r="BX4" s="138" t="s">
        <v>212</v>
      </c>
      <c r="BY4" s="138" t="s">
        <v>222</v>
      </c>
      <c r="CD4" s="138" t="s">
        <v>38</v>
      </c>
      <c r="CE4" s="138" t="s">
        <v>33</v>
      </c>
      <c r="CF4" s="138" t="s">
        <v>22</v>
      </c>
      <c r="CG4" s="138" t="s">
        <v>133</v>
      </c>
      <c r="CH4" s="138" t="s">
        <v>212</v>
      </c>
      <c r="CI4" s="138" t="s">
        <v>225</v>
      </c>
      <c r="CJ4" s="138" t="s">
        <v>22</v>
      </c>
      <c r="CL4" s="138" t="s">
        <v>37</v>
      </c>
      <c r="CM4" s="138" t="s">
        <v>33</v>
      </c>
      <c r="CN4" s="138" t="s">
        <v>22</v>
      </c>
      <c r="CO4" s="138" t="s">
        <v>226</v>
      </c>
      <c r="CP4" s="138" t="s">
        <v>212</v>
      </c>
      <c r="CQ4" s="138" t="s">
        <v>225</v>
      </c>
      <c r="CR4" s="138" t="s">
        <v>22</v>
      </c>
    </row>
    <row r="5" spans="1:96" ht="16.5" x14ac:dyDescent="0.3">
      <c r="A5" s="134"/>
      <c r="B5" s="134"/>
      <c r="C5" s="134"/>
      <c r="AO5" s="132" t="str" cm="1">
        <f t="array" ref="AO5">_xlfn.UNIQUE(Table_Kenh[Mã Kênh])</f>
        <v>A</v>
      </c>
      <c r="AP5" s="132" t="s">
        <v>939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0" t="str">
        <f>IF(Dashboard_KPI_Kenh[[#This Row],[Tỷ lệ KPI]]&gt;1,Dashboard_KPI_Kenh[[#This Row],[Tỷ lệ KPI]],"")</f>
        <v/>
      </c>
      <c r="AX5" s="132" cm="1">
        <f t="array" ref="AX5">_xlfn.UNIQUE(Table_NhanVien[Mã NV])</f>
        <v>0</v>
      </c>
      <c r="AY5" s="132" t="s">
        <v>936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0" t="str">
        <f>IF(Dashboard_KPI_NhanVien[[#This Row],[Tỷ lệ KPI]]&gt;1,Dashboard_KPI_NhanVien[[#This Row],[Tỷ lệ KPI]],"")</f>
        <v/>
      </c>
      <c r="BG5" s="132" cm="1">
        <f t="array" ref="BG5">_xlfn.UNIQUE(Table_KhachHang[Phân khúc])</f>
        <v>0</v>
      </c>
      <c r="BH5" s="132" t="s">
        <v>995</v>
      </c>
      <c r="BI5" s="340"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0"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0"/>
      <c r="BL5" s="340" cm="1">
        <f t="array" ref="BL5">_xlfn.UNIQUE(Table_SKU[Nhóm 1])</f>
        <v>0</v>
      </c>
      <c r="BM5" s="340" t="s">
        <v>29</v>
      </c>
      <c r="BN5" s="340"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0"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940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0" t="str">
        <f>IFERROR(Dashboard_KPI_Kenh[[#This Row],[Doanh thu]]/Dashboard_KPI_Kenh[[#This Row],[KPI]],"")</f>
        <v/>
      </c>
      <c r="AV6" s="441"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0" t="str">
        <f>IFERROR(Dashboard_KPI_NhanVien[[#This Row],[Doanh thu]]/Dashboard_KPI_NhanVien[[#This Row],[KPI]],"")</f>
        <v/>
      </c>
      <c r="BE6" s="441" t="str">
        <f>IF(Dashboard_KPI_NhanVien[[#This Row],[Tỷ lệ KPI]]&gt;1,Dashboard_KPI_NhanVien[[#This Row],[Tỷ lệ KPI]],"")</f>
        <v/>
      </c>
      <c r="BH6" s="132" t="s">
        <v>996</v>
      </c>
      <c r="BI6" s="441"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1"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0"/>
      <c r="BL6" s="340"/>
      <c r="BM6" s="132" t="s">
        <v>58</v>
      </c>
      <c r="BN6" s="441"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1"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0" t="str">
        <f>IFERROR(Dashboard_KPI_Kenh[[#This Row],[Doanh thu]]/Dashboard_KPI_Kenh[[#This Row],[KPI]],"")</f>
        <v/>
      </c>
      <c r="AV7" s="441"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0" t="str">
        <f>IFERROR(Dashboard_KPI_NhanVien[[#This Row],[Doanh thu]]/Dashboard_KPI_NhanVien[[#This Row],[KPI]],"")</f>
        <v/>
      </c>
      <c r="BE7" s="441" t="str">
        <f>IF(Dashboard_KPI_NhanVien[[#This Row],[Tỷ lệ KPI]]&gt;1,Dashboard_KPI_NhanVien[[#This Row],[Tỷ lệ KPI]],"")</f>
        <v/>
      </c>
      <c r="BM7" s="132" t="s">
        <v>62</v>
      </c>
      <c r="BN7" s="441"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1"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0" t="str">
        <f>IFERROR(Dashboard_KPI_Kenh[[#This Row],[Doanh thu]]/Dashboard_KPI_Kenh[[#This Row],[KPI]],"")</f>
        <v/>
      </c>
      <c r="AV8" s="441" t="str">
        <f>IF(Dashboard_KPI_Kenh[[#This Row],[Tỷ lệ KPI]]&gt;1,Dashboard_KPI_Kenh[[#This Row],[Tỷ lệ KPI]],"")</f>
        <v/>
      </c>
      <c r="AY8" s="132" t="s">
        <v>937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0" t="str">
        <f>IFERROR(Dashboard_KPI_NhanVien[[#This Row],[Doanh thu]]/Dashboard_KPI_NhanVien[[#This Row],[KPI]],"")</f>
        <v/>
      </c>
      <c r="BE8" s="441"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941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0" t="str">
        <f>IFERROR(Dashboard_KPI_Kenh[[#This Row],[Doanh thu]]/Dashboard_KPI_Kenh[[#This Row],[KPI]],"")</f>
        <v/>
      </c>
      <c r="AV9" s="441" t="str">
        <f>IF(Dashboard_KPI_Kenh[[#This Row],[Tỷ lệ KPI]]&gt;1,Dashboard_KPI_Kenh[[#This Row],[Tỷ lệ KPI]],"")</f>
        <v/>
      </c>
      <c r="AY9" s="132" t="s">
        <v>938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0" t="str">
        <f>IFERROR(Dashboard_KPI_NhanVien[[#This Row],[Doanh thu]]/Dashboard_KPI_NhanVien[[#This Row],[KPI]],"")</f>
        <v/>
      </c>
      <c r="BE9" s="441"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942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0" t="str">
        <f>IFERROR(Dashboard_KPI_Kenh[[#This Row],[Doanh thu]]/Dashboard_KPI_Kenh[[#This Row],[KPI]],"")</f>
        <v/>
      </c>
      <c r="AV10" s="441"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227</v>
      </c>
      <c r="BS20" s="138" t="s">
        <v>228</v>
      </c>
      <c r="BT20" s="138" t="s">
        <v>229</v>
      </c>
      <c r="BU20" s="138" t="s">
        <v>230</v>
      </c>
      <c r="BV20" s="138" t="s">
        <v>231</v>
      </c>
      <c r="BW20" s="138" t="s">
        <v>232</v>
      </c>
      <c r="BX20" s="138" t="s">
        <v>233</v>
      </c>
      <c r="BY20" s="138" t="s">
        <v>22</v>
      </c>
      <c r="BZ20" s="138" t="s">
        <v>234</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59" t="s">
        <v>928</v>
      </c>
      <c r="AA3" s="559"/>
      <c r="AB3" s="559"/>
    </row>
    <row r="4" spans="26:66" ht="18" customHeight="1" x14ac:dyDescent="0.3">
      <c r="BI4" s="138" t="s">
        <v>235</v>
      </c>
      <c r="BL4" s="138" t="s">
        <v>47</v>
      </c>
    </row>
    <row r="5" spans="26:66" ht="18" customHeight="1" x14ac:dyDescent="0.3">
      <c r="AM5" s="132" t="s">
        <v>236</v>
      </c>
      <c r="AN5" s="132" t="s">
        <v>237</v>
      </c>
      <c r="AO5" s="132" t="s">
        <v>238</v>
      </c>
      <c r="AP5" s="132" t="s">
        <v>239</v>
      </c>
      <c r="AQ5" s="132" t="s">
        <v>186</v>
      </c>
      <c r="AR5" s="132" t="s">
        <v>240</v>
      </c>
      <c r="AS5" s="132" t="s">
        <v>241</v>
      </c>
      <c r="AT5" s="132" t="s">
        <v>242</v>
      </c>
      <c r="AU5" s="132" t="s">
        <v>243</v>
      </c>
      <c r="AV5" s="132" t="s">
        <v>244</v>
      </c>
      <c r="AY5" s="132" t="s">
        <v>42</v>
      </c>
      <c r="AZ5" s="132" t="s">
        <v>21</v>
      </c>
      <c r="BA5" s="132" t="s">
        <v>178</v>
      </c>
      <c r="BD5" s="132" t="s">
        <v>47</v>
      </c>
      <c r="BE5" s="132" t="s">
        <v>21</v>
      </c>
      <c r="BF5" s="132" t="s">
        <v>178</v>
      </c>
      <c r="BH5" s="138" t="s">
        <v>1</v>
      </c>
      <c r="BI5" s="138" t="s">
        <v>245</v>
      </c>
      <c r="BJ5" s="138" t="s">
        <v>246</v>
      </c>
      <c r="BK5" s="138" t="s">
        <v>156</v>
      </c>
      <c r="BL5" s="138" t="s">
        <v>245</v>
      </c>
      <c r="BM5" s="138" t="s">
        <v>246</v>
      </c>
      <c r="BN5" s="138" t="s">
        <v>156</v>
      </c>
    </row>
    <row r="6" spans="26:66" ht="18" customHeight="1" x14ac:dyDescent="0.3">
      <c r="AL6" s="132" t="str" cm="1">
        <f t="array" ref="AL6">_xlfn.UNIQUE(Table_ChuongTrinh[Mã Chương trình])</f>
        <v>A</v>
      </c>
      <c r="AM6" s="132" t="s">
        <v>928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929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0"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0"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993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930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985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931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994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932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933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934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935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247</v>
      </c>
      <c r="BI23" s="138" t="s">
        <v>179</v>
      </c>
      <c r="BJ23" s="138" t="s">
        <v>248</v>
      </c>
      <c r="BK23" s="138" t="s">
        <v>249</v>
      </c>
      <c r="BL23" s="138" t="s">
        <v>237</v>
      </c>
      <c r="BM23" s="138" t="s">
        <v>22</v>
      </c>
      <c r="BN23" s="138" t="s">
        <v>250</v>
      </c>
      <c r="BO23" s="138" t="s">
        <v>251</v>
      </c>
      <c r="BP23" s="138" t="s">
        <v>252</v>
      </c>
      <c r="BQ23" s="138" t="s">
        <v>253</v>
      </c>
      <c r="BR23" s="138" t="s">
        <v>254</v>
      </c>
      <c r="BS23" s="138" t="s">
        <v>255</v>
      </c>
      <c r="BT23" s="138" t="s">
        <v>256</v>
      </c>
      <c r="BU23" s="138" t="s">
        <v>133</v>
      </c>
      <c r="BV23" s="138" t="s">
        <v>257</v>
      </c>
      <c r="BW23" s="138" t="s">
        <v>258</v>
      </c>
      <c r="BX23" s="138" t="s">
        <v>259</v>
      </c>
      <c r="BY23" s="138" t="s">
        <v>22</v>
      </c>
      <c r="BZ23" s="138" t="s">
        <v>260</v>
      </c>
      <c r="CA23" s="138" t="s">
        <v>261</v>
      </c>
      <c r="CB23" s="138" t="s">
        <v>262</v>
      </c>
      <c r="CC23" s="138" t="s">
        <v>243</v>
      </c>
      <c r="CD23" s="138" t="s">
        <v>262</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0"/>
  <sheetViews>
    <sheetView showGridLines="0" topLeftCell="A47" workbookViewId="0">
      <selection activeCell="C70" sqref="C70"/>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263</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0"/>
      <c r="X1" s="470"/>
    </row>
    <row r="2" spans="1:24" ht="18" customHeight="1" x14ac:dyDescent="0.3">
      <c r="B2" s="27" t="s">
        <v>265</v>
      </c>
      <c r="C2" s="206"/>
      <c r="D2" s="469">
        <f>DATE(DiemHoaVon_NamKeHoach,COUNTA($D$53:D53),1)</f>
        <v>1</v>
      </c>
      <c r="E2" s="469">
        <f>DATE(DiemHoaVon_NamKeHoach,COUNTA($D$53:E53),1)</f>
        <v>32</v>
      </c>
      <c r="F2" s="469">
        <f>DATE(DiemHoaVon_NamKeHoach,COUNTA($D$53:F53),1)</f>
        <v>61</v>
      </c>
      <c r="G2" s="469">
        <f>DATE(DiemHoaVon_NamKeHoach,COUNTA($D$53:G53),1)</f>
        <v>92</v>
      </c>
      <c r="H2" s="469">
        <f>DATE(DiemHoaVon_NamKeHoach,COUNTA($D$53:H53),1)</f>
        <v>122</v>
      </c>
      <c r="I2" s="469">
        <f>DATE(DiemHoaVon_NamKeHoach,COUNTA($D$53:I53),1)</f>
        <v>153</v>
      </c>
      <c r="J2" s="469">
        <f>DATE(DiemHoaVon_NamKeHoach,COUNTA($D$53:J53),1)</f>
        <v>183</v>
      </c>
      <c r="K2" s="469">
        <f>DATE(DiemHoaVon_NamKeHoach,COUNTA($D$53:K53),1)</f>
        <v>214</v>
      </c>
      <c r="L2" s="469">
        <f>DATE(DiemHoaVon_NamKeHoach,COUNTA($D$53:L53),1)</f>
        <v>245</v>
      </c>
      <c r="M2" s="469">
        <f>DATE(DiemHoaVon_NamKeHoach,COUNTA($D$53:M53),1)</f>
        <v>275</v>
      </c>
      <c r="N2" s="469">
        <f>DATE(DiemHoaVon_NamKeHoach,COUNTA($D$53:N53),1)</f>
        <v>306</v>
      </c>
      <c r="O2" s="469">
        <f>DATE(DiemHoaVon_NamKeHoach,COUNTA($D$53:O53),1)</f>
        <v>336</v>
      </c>
      <c r="R2" s="41" t="s">
        <v>1087</v>
      </c>
      <c r="S2" s="472"/>
    </row>
    <row r="3" spans="1:24" ht="18" customHeight="1" x14ac:dyDescent="0.3">
      <c r="B3" s="27"/>
      <c r="D3" s="469"/>
      <c r="E3" s="469"/>
      <c r="F3" s="469"/>
      <c r="G3" s="469"/>
      <c r="H3" s="469"/>
      <c r="I3" s="469"/>
      <c r="J3" s="469"/>
      <c r="K3" s="469"/>
      <c r="L3" s="469"/>
      <c r="M3" s="469"/>
      <c r="N3" s="469"/>
      <c r="O3" s="469"/>
      <c r="R3" s="41" t="s">
        <v>1086</v>
      </c>
      <c r="S3" s="472"/>
    </row>
    <row r="4" spans="1:24" ht="18" customHeight="1" x14ac:dyDescent="0.3">
      <c r="B4" s="27" t="s">
        <v>264</v>
      </c>
      <c r="C4" s="83"/>
      <c r="D4" s="469"/>
      <c r="E4" s="46"/>
      <c r="F4" s="469"/>
      <c r="G4" s="469"/>
      <c r="H4" s="469"/>
      <c r="I4" s="469"/>
      <c r="J4" s="469"/>
      <c r="K4" s="469"/>
      <c r="L4" s="469"/>
      <c r="M4" s="469"/>
      <c r="N4" s="469"/>
      <c r="O4" s="469"/>
      <c r="P4" s="84"/>
      <c r="R4" s="41" t="s">
        <v>1033</v>
      </c>
      <c r="S4" s="421" t="e">
        <f>NPV(S2,S46:T46)</f>
        <v>#REF!</v>
      </c>
      <c r="T4" s="421" cm="1">
        <f t="array" ref="T4">IF(ISBLANK(T1),0,INDEX($R$1:T4,COUNTA($R$1:$R$4),COUNTA($R$1:T1)-1)/(1+$S$2)^(T1-$S$1))</f>
        <v>0</v>
      </c>
    </row>
    <row r="5" spans="1:24" ht="18" customHeight="1" x14ac:dyDescent="0.3">
      <c r="A5" s="469"/>
      <c r="B5" s="469"/>
      <c r="C5" s="469"/>
      <c r="D5" s="469"/>
      <c r="E5" s="46"/>
      <c r="F5" s="469"/>
      <c r="G5" s="469"/>
      <c r="H5" s="469"/>
      <c r="I5" s="469"/>
      <c r="J5" s="469"/>
      <c r="K5" s="469"/>
      <c r="L5" s="469"/>
      <c r="M5" s="469"/>
      <c r="N5" s="469"/>
      <c r="O5" s="469"/>
      <c r="P5" s="84"/>
      <c r="R5" s="41" t="s">
        <v>1034</v>
      </c>
      <c r="S5" s="499" t="e">
        <f>IRR(S46:T46)</f>
        <v>#VALUE!</v>
      </c>
    </row>
    <row r="6" spans="1:24" s="12" customFormat="1" ht="18" customHeight="1" x14ac:dyDescent="0.3">
      <c r="B6" s="4" t="s">
        <v>874</v>
      </c>
      <c r="C6" s="4" t="s">
        <v>2</v>
      </c>
      <c r="D6" s="16" t="s">
        <v>268</v>
      </c>
      <c r="E6" s="16" t="s">
        <v>269</v>
      </c>
      <c r="F6" s="16" t="s">
        <v>270</v>
      </c>
      <c r="G6" s="16" t="s">
        <v>271</v>
      </c>
      <c r="H6" s="16" t="s">
        <v>272</v>
      </c>
      <c r="I6" s="16" t="s">
        <v>273</v>
      </c>
      <c r="J6" s="16" t="s">
        <v>274</v>
      </c>
      <c r="K6" s="16" t="s">
        <v>275</v>
      </c>
      <c r="L6" s="16" t="s">
        <v>276</v>
      </c>
      <c r="M6" s="16" t="s">
        <v>277</v>
      </c>
      <c r="N6" s="16" t="s">
        <v>278</v>
      </c>
      <c r="O6" s="16" t="s">
        <v>279</v>
      </c>
      <c r="P6" s="4" t="s">
        <v>873</v>
      </c>
      <c r="R6" s="4" t="s">
        <v>874</v>
      </c>
      <c r="S6" s="4" t="s">
        <v>891</v>
      </c>
      <c r="T6" s="4" t="s">
        <v>873</v>
      </c>
      <c r="V6" s="4" t="s">
        <v>874</v>
      </c>
      <c r="W6" s="4" t="s">
        <v>1</v>
      </c>
      <c r="X6" s="4" t="s">
        <v>873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1"/>
      <c r="R7" s="74" t="s">
        <v>73</v>
      </c>
      <c r="S7" s="105"/>
      <c r="T7" s="105"/>
      <c r="V7" s="74" t="s">
        <v>73</v>
      </c>
      <c r="W7" s="105"/>
      <c r="X7" s="105"/>
    </row>
    <row r="8" spans="1:24" ht="18" customHeight="1" outlineLevel="1" x14ac:dyDescent="0.3">
      <c r="B8" s="87" t="s">
        <v>281</v>
      </c>
      <c r="C8" s="104" t="e">
        <f>(-C22/(C20/C7))/12</f>
        <v>#N/A</v>
      </c>
      <c r="D8" s="104" t="e">
        <f t="shared" ref="D8:O8" si="1">(-D22/(D20/D7))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77"/>
      <c r="R8" s="87" t="s">
        <v>281</v>
      </c>
      <c r="S8" s="87"/>
      <c r="T8" s="104"/>
      <c r="V8" s="87" t="s">
        <v>281</v>
      </c>
      <c r="W8" s="104"/>
      <c r="X8" s="104"/>
    </row>
    <row r="9" spans="1:24" s="88" customFormat="1" ht="18" customHeight="1" outlineLevel="1" x14ac:dyDescent="0.3">
      <c r="A9" s="69"/>
      <c r="B9" s="87" t="s">
        <v>282</v>
      </c>
      <c r="C9" s="104" t="e">
        <f>(-C22/(C20/C7))/365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77"/>
      <c r="R9" s="87" t="s">
        <v>282</v>
      </c>
      <c r="S9" s="87"/>
      <c r="T9" s="104"/>
      <c r="V9" s="87" t="s">
        <v>282</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363</v>
      </c>
      <c r="C11" s="103" t="e">
        <f>SUM(Table_KeHoach_TuDong[[#This Row],[Tháng 1]:[Tháng 12]])</f>
        <v>#N/A</v>
      </c>
      <c r="D11" s="103" t="e">
        <f>+Table_KeHoach_DoanhThu[[#Totals],[Tháng 1]]+D69</f>
        <v>#N/A</v>
      </c>
      <c r="E11" s="103" t="e">
        <f>+Table_KeHoach_DoanhThu[[#Totals],[Tháng 2]]+E69</f>
        <v>#N/A</v>
      </c>
      <c r="F11" s="103" t="e">
        <f>+Table_KeHoach_DoanhThu[[#Totals],[Tháng 3]]+F69</f>
        <v>#N/A</v>
      </c>
      <c r="G11" s="103" t="e">
        <f>+Table_KeHoach_DoanhThu[[#Totals],[Tháng 4]]+G69</f>
        <v>#N/A</v>
      </c>
      <c r="H11" s="103" t="e">
        <f>+Table_KeHoach_DoanhThu[[#Totals],[Tháng 5]]+H69</f>
        <v>#N/A</v>
      </c>
      <c r="I11" s="103" t="e">
        <f>+Table_KeHoach_DoanhThu[[#Totals],[Tháng 6]]+I69</f>
        <v>#N/A</v>
      </c>
      <c r="J11" s="103" t="e">
        <f>+Table_KeHoach_DoanhThu[[#Totals],[Tháng 7]]+J69</f>
        <v>#N/A</v>
      </c>
      <c r="K11" s="103" t="e">
        <f>+Table_KeHoach_DoanhThu[[#Totals],[Tháng 8]]+K69</f>
        <v>#N/A</v>
      </c>
      <c r="L11" s="103" t="e">
        <f>+Table_KeHoach_DoanhThu[[#Totals],[Tháng 9]]+L69</f>
        <v>#N/A</v>
      </c>
      <c r="M11" s="103" t="e">
        <f>+Table_KeHoach_DoanhThu[[#Totals],[Tháng 10]]+M69</f>
        <v>#N/A</v>
      </c>
      <c r="N11" s="103" t="e">
        <f>+Table_KeHoach_DoanhThu[[#Totals],[Tháng 11]]+N69</f>
        <v>#N/A</v>
      </c>
      <c r="O11" s="103" t="e">
        <f>+Table_KeHoach_DoanhThu[[#Totals],[Tháng 12]]+O69</f>
        <v>#N/A</v>
      </c>
      <c r="P11" s="431"/>
      <c r="R11" s="74" t="s">
        <v>363</v>
      </c>
      <c r="S11" s="74"/>
      <c r="T11" s="327"/>
      <c r="V11" s="74" t="s">
        <v>363</v>
      </c>
      <c r="W11" s="103"/>
      <c r="X11" s="103"/>
    </row>
    <row r="12" spans="1:24" ht="18" customHeight="1" outlineLevel="1" x14ac:dyDescent="0.3">
      <c r="B12" s="99" t="s">
        <v>283</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283</v>
      </c>
      <c r="S12" s="99"/>
      <c r="T12" s="109"/>
      <c r="V12" s="99" t="s">
        <v>283</v>
      </c>
      <c r="W12" s="109"/>
      <c r="X12" s="109"/>
    </row>
    <row r="13" spans="1:24" s="100" customFormat="1" ht="18" customHeight="1" outlineLevel="1" x14ac:dyDescent="0.3">
      <c r="B13" s="54" t="s">
        <v>77</v>
      </c>
      <c r="C13" s="102" t="e">
        <f>SUM(Table_KeHoach_TuDong[[#This Row],[Tháng 1]:[Tháng 12]])</f>
        <v>#N/A</v>
      </c>
      <c r="D13" s="102" t="e">
        <f t="shared" ref="D13:O13" si="5">SUM(D14:D19)</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2"/>
      <c r="V13" s="54" t="s">
        <v>77</v>
      </c>
      <c r="W13" s="102"/>
      <c r="X13" s="102"/>
    </row>
    <row r="14" spans="1:24" ht="18" customHeight="1" outlineLevel="2" x14ac:dyDescent="0.3">
      <c r="B14" s="73" t="s">
        <v>285</v>
      </c>
      <c r="C14" s="107">
        <f>SUM(Table_KeHoach_TuDong[[#This Row],[Tháng 1]:[Tháng 12]])</f>
        <v>0</v>
      </c>
      <c r="D14" s="107">
        <f>Table_KeHoach_ChiPhiSKU[[#Totals],[Tháng 1]]+Table_KeHoach_ChiPhiVatTuSX[[#Totals],[Tháng 1]]</f>
        <v>0</v>
      </c>
      <c r="E14" s="107">
        <f>Table_KeHoach_ChiPhiSKU[[#Totals],[Tháng 2]]+Table_KeHoach_ChiPhiVatTuSX[[#Totals],[Tháng 2]]</f>
        <v>0</v>
      </c>
      <c r="F14" s="107">
        <f>Table_KeHoach_ChiPhiSKU[[#Totals],[Tháng 3]]+Table_KeHoach_ChiPhiVatTuSX[[#Totals],[Tháng 3]]</f>
        <v>0</v>
      </c>
      <c r="G14" s="107">
        <f>Table_KeHoach_ChiPhiSKU[[#Totals],[Tháng 4]]+Table_KeHoach_ChiPhiVatTuSX[[#Totals],[Tháng 4]]</f>
        <v>0</v>
      </c>
      <c r="H14" s="107">
        <f>Table_KeHoach_ChiPhiSKU[[#Totals],[Tháng 5]]+Table_KeHoach_ChiPhiVatTuSX[[#Totals],[Tháng 5]]</f>
        <v>0</v>
      </c>
      <c r="I14" s="107">
        <f>Table_KeHoach_ChiPhiSKU[[#Totals],[Tháng 6]]+Table_KeHoach_ChiPhiVatTuSX[[#Totals],[Tháng 6]]</f>
        <v>0</v>
      </c>
      <c r="J14" s="107">
        <f>Table_KeHoach_ChiPhiSKU[[#Totals],[Tháng 7]]+Table_KeHoach_ChiPhiVatTuSX[[#Totals],[Tháng 7]]</f>
        <v>0</v>
      </c>
      <c r="K14" s="107">
        <f>Table_KeHoach_ChiPhiSKU[[#Totals],[Tháng 8]]+Table_KeHoach_ChiPhiVatTuSX[[#Totals],[Tháng 8]]</f>
        <v>0</v>
      </c>
      <c r="L14" s="107">
        <f>Table_KeHoach_ChiPhiSKU[[#Totals],[Tháng 9]]+Table_KeHoach_ChiPhiVatTuSX[[#Totals],[Tháng 9]]</f>
        <v>0</v>
      </c>
      <c r="M14" s="107">
        <f>Table_KeHoach_ChiPhiSKU[[#Totals],[Tháng 10]]+Table_KeHoach_ChiPhiVatTuSX[[#Totals],[Tháng 10]]</f>
        <v>0</v>
      </c>
      <c r="N14" s="107">
        <f>Table_KeHoach_ChiPhiSKU[[#Totals],[Tháng 11]]+Table_KeHoach_ChiPhiVatTuSX[[#Totals],[Tháng 11]]</f>
        <v>0</v>
      </c>
      <c r="O14" s="107">
        <f>Table_KeHoach_ChiPhiSKU[[#Totals],[Tháng 12]]+Table_KeHoach_ChiPhiVatTuSX[[#Totals],[Tháng 12]]</f>
        <v>0</v>
      </c>
      <c r="P14" s="207"/>
      <c r="R14" s="73" t="s">
        <v>285</v>
      </c>
      <c r="S14" s="73"/>
      <c r="T14" s="328"/>
      <c r="V14" s="73" t="s">
        <v>285</v>
      </c>
      <c r="W14" s="107"/>
      <c r="X14" s="107"/>
    </row>
    <row r="15" spans="1:24" s="41" customFormat="1" ht="18" customHeight="1" outlineLevel="2" x14ac:dyDescent="0.3">
      <c r="B15" s="73" t="s">
        <v>286</v>
      </c>
      <c r="C15" s="107">
        <f>SUM(Table_KeHoach_TuDong[[#This Row],[Tháng 1]:[Tháng 12]])</f>
        <v>0</v>
      </c>
      <c r="D15" s="108">
        <f>Table_KeHoach_ChiPhiTienIchSX[[#Totals],[Tháng 1]]</f>
        <v>0</v>
      </c>
      <c r="E15" s="108">
        <f>Table_KeHoach_ChiPhiTienIchSX[[#Totals],[Tháng 2]]</f>
        <v>0</v>
      </c>
      <c r="F15" s="108">
        <f>Table_KeHoach_ChiPhiTienIchSX[[#Totals],[Tháng 3]]</f>
        <v>0</v>
      </c>
      <c r="G15" s="108">
        <f>Table_KeHoach_ChiPhiTienIchSX[[#Totals],[Tháng 4]]</f>
        <v>0</v>
      </c>
      <c r="H15" s="108">
        <f>Table_KeHoach_ChiPhiTienIchSX[[#Totals],[Tháng 5]]</f>
        <v>0</v>
      </c>
      <c r="I15" s="108">
        <f>Table_KeHoach_ChiPhiTienIchSX[[#Totals],[Tháng 6]]</f>
        <v>0</v>
      </c>
      <c r="J15" s="108">
        <f>Table_KeHoach_ChiPhiTienIchSX[[#Totals],[Tháng 7]]</f>
        <v>0</v>
      </c>
      <c r="K15" s="108">
        <f>Table_KeHoach_ChiPhiTienIchSX[[#Totals],[Tháng 8]]</f>
        <v>0</v>
      </c>
      <c r="L15" s="108">
        <f>Table_KeHoach_ChiPhiTienIchSX[[#Totals],[Tháng 9]]</f>
        <v>0</v>
      </c>
      <c r="M15" s="108">
        <f>Table_KeHoach_ChiPhiTienIchSX[[#Totals],[Tháng 10]]</f>
        <v>0</v>
      </c>
      <c r="N15" s="108">
        <f>Table_KeHoach_ChiPhiTienIchSX[[#Totals],[Tháng 11]]</f>
        <v>0</v>
      </c>
      <c r="O15" s="108">
        <f>Table_KeHoach_ChiPhiTienIchSX[[#Totals],[Tháng 12]]</f>
        <v>0</v>
      </c>
      <c r="P15" s="207"/>
      <c r="R15" s="73" t="s">
        <v>286</v>
      </c>
      <c r="S15" s="73"/>
      <c r="T15" s="328"/>
      <c r="V15" s="73" t="s">
        <v>286</v>
      </c>
      <c r="W15" s="108"/>
      <c r="X15" s="108"/>
    </row>
    <row r="16" spans="1:24" ht="18" customHeight="1" outlineLevel="2" x14ac:dyDescent="0.3">
      <c r="B16" s="73" t="s">
        <v>287</v>
      </c>
      <c r="C16" s="107" t="e">
        <f>SUM(Table_KeHoach_TuDong[[#This Row],[Tháng 1]:[Tháng 12]])</f>
        <v>#N/A</v>
      </c>
      <c r="D16" s="107" t="e">
        <f>Table_KeHoach_ChiPhiHoaHong[[#Totals],[Tháng 1]]</f>
        <v>#N/A</v>
      </c>
      <c r="E16" s="107" t="e">
        <f>Table_KeHoach_ChiPhiHoaHong[[#Totals],[Tháng 2]]</f>
        <v>#N/A</v>
      </c>
      <c r="F16" s="107" t="e">
        <f>Table_KeHoach_ChiPhiHoaHong[[#Totals],[Tháng 3]]</f>
        <v>#N/A</v>
      </c>
      <c r="G16" s="107" t="e">
        <f>Table_KeHoach_ChiPhiHoaHong[[#Totals],[Tháng 4]]</f>
        <v>#N/A</v>
      </c>
      <c r="H16" s="107" t="e">
        <f>Table_KeHoach_ChiPhiHoaHong[[#Totals],[Tháng 5]]</f>
        <v>#N/A</v>
      </c>
      <c r="I16" s="107" t="e">
        <f>Table_KeHoach_ChiPhiHoaHong[[#Totals],[Tháng 6]]</f>
        <v>#N/A</v>
      </c>
      <c r="J16" s="107" t="e">
        <f>Table_KeHoach_ChiPhiHoaHong[[#Totals],[Tháng 7]]</f>
        <v>#N/A</v>
      </c>
      <c r="K16" s="107" t="e">
        <f>Table_KeHoach_ChiPhiHoaHong[[#Totals],[Tháng 8]]</f>
        <v>#N/A</v>
      </c>
      <c r="L16" s="107" t="e">
        <f>Table_KeHoach_ChiPhiHoaHong[[#Totals],[Tháng 9]]</f>
        <v>#N/A</v>
      </c>
      <c r="M16" s="107" t="e">
        <f>Table_KeHoach_ChiPhiHoaHong[[#Totals],[Tháng 10]]</f>
        <v>#N/A</v>
      </c>
      <c r="N16" s="107" t="e">
        <f>Table_KeHoach_ChiPhiHoaHong[[#Totals],[Tháng 11]]</f>
        <v>#N/A</v>
      </c>
      <c r="O16" s="107" t="e">
        <f>Table_KeHoach_ChiPhiHoaHong[[#Totals],[Tháng 12]]</f>
        <v>#N/A</v>
      </c>
      <c r="P16" s="208"/>
      <c r="R16" s="73" t="s">
        <v>287</v>
      </c>
      <c r="S16" s="73"/>
      <c r="T16" s="328"/>
      <c r="V16" s="73" t="s">
        <v>287</v>
      </c>
      <c r="W16" s="107"/>
      <c r="X16" s="107"/>
    </row>
    <row r="17" spans="2:24" ht="18" customHeight="1" outlineLevel="2" x14ac:dyDescent="0.3">
      <c r="B17" s="73" t="s">
        <v>288</v>
      </c>
      <c r="C17" s="107">
        <f>SUM(Table_KeHoach_TuDong[[#This Row],[Tháng 1]:[Tháng 12]])</f>
        <v>0</v>
      </c>
      <c r="D17" s="108">
        <f>Table_KeHoach_ThuongNhanSu[[#Totals],[Tháng 1]]</f>
        <v>0</v>
      </c>
      <c r="E17" s="108">
        <f>Table_KeHoach_ThuongNhanSu[[#Totals],[Tháng 2]]</f>
        <v>0</v>
      </c>
      <c r="F17" s="108">
        <f>Table_KeHoach_ThuongNhanSu[[#Totals],[Tháng 3]]</f>
        <v>0</v>
      </c>
      <c r="G17" s="108">
        <f>Table_KeHoach_ThuongNhanSu[[#Totals],[Tháng 4]]</f>
        <v>0</v>
      </c>
      <c r="H17" s="108">
        <f>Table_KeHoach_ThuongNhanSu[[#Totals],[Tháng 5]]</f>
        <v>0</v>
      </c>
      <c r="I17" s="108">
        <f>Table_KeHoach_ThuongNhanSu[[#Totals],[Tháng 6]]</f>
        <v>0</v>
      </c>
      <c r="J17" s="108">
        <f>Table_KeHoach_ThuongNhanSu[[#Totals],[Tháng 7]]</f>
        <v>0</v>
      </c>
      <c r="K17" s="108">
        <f>Table_KeHoach_ThuongNhanSu[[#Totals],[Tháng 8]]</f>
        <v>0</v>
      </c>
      <c r="L17" s="108">
        <f>Table_KeHoach_ThuongNhanSu[[#Totals],[Tháng 9]]</f>
        <v>0</v>
      </c>
      <c r="M17" s="108">
        <f>Table_KeHoach_ThuongNhanSu[[#Totals],[Tháng 10]]</f>
        <v>0</v>
      </c>
      <c r="N17" s="108">
        <f>Table_KeHoach_ThuongNhanSu[[#Totals],[Tháng 11]]</f>
        <v>0</v>
      </c>
      <c r="O17" s="108">
        <f>Table_KeHoach_ThuongNhanSu[[#Totals],[Tháng 12]]</f>
        <v>0</v>
      </c>
      <c r="P17" s="207"/>
      <c r="R17" s="73" t="s">
        <v>288</v>
      </c>
      <c r="S17" s="73"/>
      <c r="T17" s="328"/>
      <c r="V17" s="73" t="s">
        <v>288</v>
      </c>
      <c r="W17" s="108"/>
      <c r="X17" s="108"/>
    </row>
    <row r="18" spans="2:24" s="41" customFormat="1" ht="18" customHeight="1" outlineLevel="2" x14ac:dyDescent="0.3">
      <c r="B18" s="73" t="s">
        <v>289</v>
      </c>
      <c r="C18" s="107" t="e">
        <f>SUM(Table_KeHoach_TuDong[[#This Row],[Tháng 1]:[Tháng 12]])</f>
        <v>#N/A</v>
      </c>
      <c r="D18" s="108" t="e">
        <f>Table_KeHoach_ChiPhiThanhToan[[#Totals],[Tháng 1]]</f>
        <v>#N/A</v>
      </c>
      <c r="E18" s="108" t="e">
        <f>Table_KeHoach_ChiPhiThanhToan[[#Totals],[Tháng 2]]</f>
        <v>#N/A</v>
      </c>
      <c r="F18" s="108" t="e">
        <f>Table_KeHoach_ChiPhiThanhToan[[#Totals],[Tháng 3]]</f>
        <v>#N/A</v>
      </c>
      <c r="G18" s="108" t="e">
        <f>Table_KeHoach_ChiPhiThanhToan[[#Totals],[Tháng 4]]</f>
        <v>#N/A</v>
      </c>
      <c r="H18" s="108" t="e">
        <f>Table_KeHoach_ChiPhiThanhToan[[#Totals],[Tháng 5]]</f>
        <v>#N/A</v>
      </c>
      <c r="I18" s="108" t="e">
        <f>Table_KeHoach_ChiPhiThanhToan[[#Totals],[Tháng 6]]</f>
        <v>#N/A</v>
      </c>
      <c r="J18" s="108" t="e">
        <f>Table_KeHoach_ChiPhiThanhToan[[#Totals],[Tháng 7]]</f>
        <v>#N/A</v>
      </c>
      <c r="K18" s="108" t="e">
        <f>Table_KeHoach_ChiPhiThanhToan[[#Totals],[Tháng 8]]</f>
        <v>#N/A</v>
      </c>
      <c r="L18" s="108" t="e">
        <f>Table_KeHoach_ChiPhiThanhToan[[#Totals],[Tháng 9]]</f>
        <v>#N/A</v>
      </c>
      <c r="M18" s="108" t="e">
        <f>Table_KeHoach_ChiPhiThanhToan[[#Totals],[Tháng 10]]</f>
        <v>#N/A</v>
      </c>
      <c r="N18" s="108" t="e">
        <f>Table_KeHoach_ChiPhiThanhToan[[#Totals],[Tháng 11]]</f>
        <v>#N/A</v>
      </c>
      <c r="O18" s="108" t="e">
        <f>Table_KeHoach_ChiPhiThanhToan[[#Totals],[Tháng 12]]</f>
        <v>#N/A</v>
      </c>
      <c r="P18" s="207"/>
      <c r="R18" s="73" t="s">
        <v>289</v>
      </c>
      <c r="S18" s="73"/>
      <c r="T18" s="328"/>
      <c r="V18" s="73" t="s">
        <v>289</v>
      </c>
      <c r="W18" s="108"/>
      <c r="X18" s="108"/>
    </row>
    <row r="19" spans="2:24" ht="18" customHeight="1" outlineLevel="2" x14ac:dyDescent="0.3">
      <c r="B19" s="73" t="s">
        <v>290</v>
      </c>
      <c r="C19" s="107" t="e">
        <f>SUM(Table_KeHoach_TuDong[[#This Row],[Tháng 1]:[Tháng 12]])</f>
        <v>#N/A</v>
      </c>
      <c r="D19" s="107" t="e">
        <f>D121</f>
        <v>#N/A</v>
      </c>
      <c r="E19" s="107" t="e">
        <f t="shared" ref="E19:O19" si="6">E121</f>
        <v>#N/A</v>
      </c>
      <c r="F19" s="107" t="e">
        <f t="shared" si="6"/>
        <v>#N/A</v>
      </c>
      <c r="G19" s="107" t="e">
        <f t="shared" si="6"/>
        <v>#N/A</v>
      </c>
      <c r="H19" s="107" t="e">
        <f t="shared" si="6"/>
        <v>#N/A</v>
      </c>
      <c r="I19" s="107" t="e">
        <f t="shared" si="6"/>
        <v>#N/A</v>
      </c>
      <c r="J19" s="107" t="e">
        <f t="shared" si="6"/>
        <v>#N/A</v>
      </c>
      <c r="K19" s="107" t="e">
        <f t="shared" si="6"/>
        <v>#N/A</v>
      </c>
      <c r="L19" s="107" t="e">
        <f t="shared" si="6"/>
        <v>#N/A</v>
      </c>
      <c r="M19" s="107" t="e">
        <f t="shared" si="6"/>
        <v>#N/A</v>
      </c>
      <c r="N19" s="107" t="e">
        <f t="shared" si="6"/>
        <v>#N/A</v>
      </c>
      <c r="O19" s="107" t="e">
        <f t="shared" si="6"/>
        <v>#N/A</v>
      </c>
      <c r="P19" s="207"/>
      <c r="R19" s="73" t="s">
        <v>290</v>
      </c>
      <c r="S19" s="73"/>
      <c r="T19" s="328"/>
      <c r="V19" s="73" t="s">
        <v>290</v>
      </c>
      <c r="W19" s="107"/>
      <c r="X19" s="107"/>
    </row>
    <row r="20" spans="2:24" ht="18" customHeight="1" outlineLevel="2" x14ac:dyDescent="0.3">
      <c r="B20" s="74" t="s">
        <v>84</v>
      </c>
      <c r="C20" s="103" t="e">
        <f>SUM(Table_KeHoach_TuDong[[#This Row],[Tháng 1]:[Tháng 12]])</f>
        <v>#N/A</v>
      </c>
      <c r="D20" s="103" t="e">
        <f t="shared" ref="D20:O20" si="7">+D11+D13</f>
        <v>#N/A</v>
      </c>
      <c r="E20" s="103" t="e">
        <f t="shared" si="7"/>
        <v>#N/A</v>
      </c>
      <c r="F20" s="103" t="e">
        <f t="shared" si="7"/>
        <v>#N/A</v>
      </c>
      <c r="G20" s="103" t="e">
        <f t="shared" si="7"/>
        <v>#N/A</v>
      </c>
      <c r="H20" s="103" t="e">
        <f t="shared" si="7"/>
        <v>#N/A</v>
      </c>
      <c r="I20" s="103" t="e">
        <f t="shared" si="7"/>
        <v>#N/A</v>
      </c>
      <c r="J20" s="103" t="e">
        <f t="shared" si="7"/>
        <v>#N/A</v>
      </c>
      <c r="K20" s="103" t="e">
        <f t="shared" si="7"/>
        <v>#N/A</v>
      </c>
      <c r="L20" s="103" t="e">
        <f t="shared" si="7"/>
        <v>#N/A</v>
      </c>
      <c r="M20" s="103" t="e">
        <f t="shared" si="7"/>
        <v>#N/A</v>
      </c>
      <c r="N20" s="103" t="e">
        <f t="shared" si="7"/>
        <v>#N/A</v>
      </c>
      <c r="O20" s="103" t="e">
        <f t="shared" si="7"/>
        <v>#N/A</v>
      </c>
      <c r="P20" s="207"/>
      <c r="R20" s="74" t="s">
        <v>84</v>
      </c>
      <c r="S20" s="74"/>
      <c r="T20" s="327"/>
      <c r="V20" s="74" t="s">
        <v>84</v>
      </c>
      <c r="W20" s="103"/>
      <c r="X20" s="103"/>
    </row>
    <row r="21" spans="2:24" ht="18" customHeight="1" outlineLevel="1" x14ac:dyDescent="0.3">
      <c r="B21" s="99" t="s">
        <v>291</v>
      </c>
      <c r="C21" s="109">
        <f t="shared" ref="C21:O21" si="8">IFERROR(C22/(C22+C13),0)</f>
        <v>0</v>
      </c>
      <c r="D21" s="109">
        <f t="shared" si="8"/>
        <v>0</v>
      </c>
      <c r="E21" s="109">
        <f t="shared" si="8"/>
        <v>0</v>
      </c>
      <c r="F21" s="109">
        <f t="shared" si="8"/>
        <v>0</v>
      </c>
      <c r="G21" s="109">
        <f t="shared" si="8"/>
        <v>0</v>
      </c>
      <c r="H21" s="109">
        <f t="shared" si="8"/>
        <v>0</v>
      </c>
      <c r="I21" s="109">
        <f t="shared" si="8"/>
        <v>0</v>
      </c>
      <c r="J21" s="109">
        <f t="shared" si="8"/>
        <v>0</v>
      </c>
      <c r="K21" s="109">
        <f t="shared" si="8"/>
        <v>0</v>
      </c>
      <c r="L21" s="109">
        <f t="shared" si="8"/>
        <v>0</v>
      </c>
      <c r="M21" s="109">
        <f t="shared" si="8"/>
        <v>0</v>
      </c>
      <c r="N21" s="109">
        <f t="shared" si="8"/>
        <v>0</v>
      </c>
      <c r="O21" s="109">
        <f t="shared" si="8"/>
        <v>0</v>
      </c>
      <c r="P21" s="207"/>
      <c r="R21" s="99" t="s">
        <v>291</v>
      </c>
      <c r="S21" s="99"/>
      <c r="T21" s="109"/>
      <c r="V21" s="99" t="s">
        <v>291</v>
      </c>
      <c r="W21" s="109"/>
      <c r="X21" s="109"/>
    </row>
    <row r="22" spans="2:24" s="53" customFormat="1" ht="18" customHeight="1" outlineLevel="1" x14ac:dyDescent="0.3">
      <c r="B22" s="54" t="s">
        <v>86</v>
      </c>
      <c r="C22" s="102" t="e">
        <f>SUM(Table_KeHoach_TuDong[[#This Row],[Tháng 1]:[Tháng 12]])</f>
        <v>#N/A</v>
      </c>
      <c r="D22" s="102" t="e">
        <f t="shared" ref="D22:O22" si="9">+SUM(D23:D31)</f>
        <v>#N/A</v>
      </c>
      <c r="E22" s="102" t="e">
        <f t="shared" si="9"/>
        <v>#N/A</v>
      </c>
      <c r="F22" s="102" t="e">
        <f t="shared" si="9"/>
        <v>#N/A</v>
      </c>
      <c r="G22" s="102" t="e">
        <f t="shared" si="9"/>
        <v>#N/A</v>
      </c>
      <c r="H22" s="102" t="e">
        <f t="shared" si="9"/>
        <v>#N/A</v>
      </c>
      <c r="I22" s="102" t="e">
        <f t="shared" si="9"/>
        <v>#N/A</v>
      </c>
      <c r="J22" s="102" t="e">
        <f t="shared" si="9"/>
        <v>#N/A</v>
      </c>
      <c r="K22" s="102" t="e">
        <f t="shared" si="9"/>
        <v>#N/A</v>
      </c>
      <c r="L22" s="102" t="e">
        <f t="shared" si="9"/>
        <v>#N/A</v>
      </c>
      <c r="M22" s="102" t="e">
        <f t="shared" si="9"/>
        <v>#N/A</v>
      </c>
      <c r="N22" s="102" t="e">
        <f t="shared" si="9"/>
        <v>#N/A</v>
      </c>
      <c r="O22" s="102" t="e">
        <f t="shared" si="9"/>
        <v>#N/A</v>
      </c>
      <c r="P22" s="207"/>
      <c r="R22" s="54" t="s">
        <v>86</v>
      </c>
      <c r="S22" s="54"/>
      <c r="T22" s="322"/>
      <c r="V22" s="54" t="s">
        <v>86</v>
      </c>
      <c r="W22" s="102"/>
      <c r="X22" s="102"/>
    </row>
    <row r="23" spans="2:24" s="53" customFormat="1" ht="18" customHeight="1" outlineLevel="1" x14ac:dyDescent="0.3">
      <c r="B23" s="73" t="s">
        <v>292</v>
      </c>
      <c r="C23" s="107" t="e">
        <f>SUM(Table_KeHoach_TuDong[[#This Row],[Tháng 1]:[Tháng 12]])</f>
        <v>#N/A</v>
      </c>
      <c r="D23" s="107" t="e">
        <f>Table_KeHoach_LuongGross[[#Totals],[Tháng 1]]</f>
        <v>#N/A</v>
      </c>
      <c r="E23" s="107" t="e">
        <f>Table_KeHoach_LuongGross[[#Totals],[Tháng 2]]</f>
        <v>#N/A</v>
      </c>
      <c r="F23" s="107" t="e">
        <f>Table_KeHoach_LuongGross[[#Totals],[Tháng 3]]</f>
        <v>#N/A</v>
      </c>
      <c r="G23" s="107" t="e">
        <f>Table_KeHoach_LuongGross[[#Totals],[Tháng 4]]</f>
        <v>#N/A</v>
      </c>
      <c r="H23" s="107" t="e">
        <f>Table_KeHoach_LuongGross[[#Totals],[Tháng 5]]</f>
        <v>#N/A</v>
      </c>
      <c r="I23" s="107" t="e">
        <f>Table_KeHoach_LuongGross[[#Totals],[Tháng 6]]</f>
        <v>#N/A</v>
      </c>
      <c r="J23" s="107" t="e">
        <f>Table_KeHoach_LuongGross[[#Totals],[Tháng 7]]</f>
        <v>#N/A</v>
      </c>
      <c r="K23" s="107" t="e">
        <f>Table_KeHoach_LuongGross[[#Totals],[Tháng 8]]</f>
        <v>#N/A</v>
      </c>
      <c r="L23" s="107" t="e">
        <f>Table_KeHoach_LuongGross[[#Totals],[Tháng 9]]</f>
        <v>#N/A</v>
      </c>
      <c r="M23" s="107" t="e">
        <f>Table_KeHoach_LuongGross[[#Totals],[Tháng 10]]</f>
        <v>#N/A</v>
      </c>
      <c r="N23" s="107" t="e">
        <f>Table_KeHoach_LuongGross[[#Totals],[Tháng 11]]</f>
        <v>#N/A</v>
      </c>
      <c r="O23" s="107" t="e">
        <f>Table_KeHoach_LuongGross[[#Totals],[Tháng 12]]</f>
        <v>#N/A</v>
      </c>
      <c r="P23" s="207"/>
      <c r="R23" s="73" t="s">
        <v>292</v>
      </c>
      <c r="S23" s="73"/>
      <c r="T23" s="328"/>
      <c r="V23" s="73" t="s">
        <v>292</v>
      </c>
      <c r="W23" s="107"/>
      <c r="X23" s="107"/>
    </row>
    <row r="24" spans="2:24" s="100" customFormat="1" ht="18" customHeight="1" outlineLevel="2" x14ac:dyDescent="0.3">
      <c r="B24" s="73" t="s">
        <v>293</v>
      </c>
      <c r="C24" s="107">
        <f>SUM(Table_KeHoach_TuDong[[#This Row],[Tháng 1]:[Tháng 12]])</f>
        <v>0</v>
      </c>
      <c r="D24" s="107">
        <f>Table_KeHoach_ChiPhiVatTuVP[[#Totals],[Tháng 1]]</f>
        <v>0</v>
      </c>
      <c r="E24" s="107">
        <f>Table_KeHoach_ChiPhiVatTuVP[[#Totals],[Tháng 2]]</f>
        <v>0</v>
      </c>
      <c r="F24" s="107">
        <f>Table_KeHoach_ChiPhiVatTuVP[[#Totals],[Tháng 3]]</f>
        <v>0</v>
      </c>
      <c r="G24" s="107">
        <f>Table_KeHoach_ChiPhiVatTuVP[[#Totals],[Tháng 4]]</f>
        <v>0</v>
      </c>
      <c r="H24" s="107">
        <f>Table_KeHoach_ChiPhiVatTuVP[[#Totals],[Tháng 5]]</f>
        <v>0</v>
      </c>
      <c r="I24" s="107">
        <f>Table_KeHoach_ChiPhiVatTuVP[[#Totals],[Tháng 6]]</f>
        <v>0</v>
      </c>
      <c r="J24" s="107">
        <f>Table_KeHoach_ChiPhiVatTuVP[[#Totals],[Tháng 7]]</f>
        <v>0</v>
      </c>
      <c r="K24" s="107">
        <f>Table_KeHoach_ChiPhiVatTuVP[[#Totals],[Tháng 8]]</f>
        <v>0</v>
      </c>
      <c r="L24" s="107">
        <f>Table_KeHoach_ChiPhiVatTuVP[[#Totals],[Tháng 9]]</f>
        <v>0</v>
      </c>
      <c r="M24" s="107">
        <f>Table_KeHoach_ChiPhiVatTuVP[[#Totals],[Tháng 10]]</f>
        <v>0</v>
      </c>
      <c r="N24" s="107">
        <f>Table_KeHoach_ChiPhiVatTuVP[[#Totals],[Tháng 11]]</f>
        <v>0</v>
      </c>
      <c r="O24" s="107">
        <f>Table_KeHoach_ChiPhiVatTuVP[[#Totals],[Tháng 12]]</f>
        <v>0</v>
      </c>
      <c r="P24" s="207"/>
      <c r="R24" s="73" t="s">
        <v>293</v>
      </c>
      <c r="S24" s="73"/>
      <c r="T24" s="328"/>
      <c r="V24" s="73" t="s">
        <v>293</v>
      </c>
      <c r="W24" s="107"/>
      <c r="X24" s="107"/>
    </row>
    <row r="25" spans="2:24" s="53" customFormat="1" ht="18" customHeight="1" outlineLevel="2" x14ac:dyDescent="0.3">
      <c r="B25" s="73" t="s">
        <v>353</v>
      </c>
      <c r="C25" s="107">
        <f>SUM(Table_KeHoach_TuDong[[#This Row],[Tháng 1]:[Tháng 12]])</f>
        <v>0</v>
      </c>
      <c r="D25" s="430">
        <f t="shared" ref="D25:O25" si="10">+D139</f>
        <v>0</v>
      </c>
      <c r="E25" s="430">
        <f t="shared" si="10"/>
        <v>0</v>
      </c>
      <c r="F25" s="430">
        <f t="shared" si="10"/>
        <v>0</v>
      </c>
      <c r="G25" s="430">
        <f t="shared" si="10"/>
        <v>0</v>
      </c>
      <c r="H25" s="430">
        <f t="shared" si="10"/>
        <v>0</v>
      </c>
      <c r="I25" s="430">
        <f t="shared" si="10"/>
        <v>0</v>
      </c>
      <c r="J25" s="430">
        <f t="shared" si="10"/>
        <v>0</v>
      </c>
      <c r="K25" s="430">
        <f t="shared" si="10"/>
        <v>0</v>
      </c>
      <c r="L25" s="430">
        <f t="shared" si="10"/>
        <v>0</v>
      </c>
      <c r="M25" s="430">
        <f t="shared" si="10"/>
        <v>0</v>
      </c>
      <c r="N25" s="430">
        <f t="shared" si="10"/>
        <v>0</v>
      </c>
      <c r="O25" s="430">
        <f t="shared" si="10"/>
        <v>0</v>
      </c>
      <c r="P25" s="431"/>
      <c r="R25" s="73" t="s">
        <v>353</v>
      </c>
      <c r="S25" s="73"/>
      <c r="T25" s="328"/>
      <c r="V25" s="73" t="s">
        <v>353</v>
      </c>
      <c r="W25" s="430"/>
      <c r="X25" s="430"/>
    </row>
    <row r="26" spans="2:24" ht="18" customHeight="1" outlineLevel="2" x14ac:dyDescent="0.3">
      <c r="B26" s="73" t="s">
        <v>294</v>
      </c>
      <c r="C26" s="107">
        <f>SUM(Table_KeHoach_TuDong[[#This Row],[Tháng 1]:[Tháng 12]])</f>
        <v>0</v>
      </c>
      <c r="D26" s="107">
        <f t="shared" ref="D26:O26" si="11">+SUM(D140:D141)</f>
        <v>0</v>
      </c>
      <c r="E26" s="107">
        <f t="shared" si="11"/>
        <v>0</v>
      </c>
      <c r="F26" s="107">
        <f t="shared" si="11"/>
        <v>0</v>
      </c>
      <c r="G26" s="107">
        <f t="shared" si="11"/>
        <v>0</v>
      </c>
      <c r="H26" s="107">
        <f t="shared" si="11"/>
        <v>0</v>
      </c>
      <c r="I26" s="107">
        <f t="shared" si="11"/>
        <v>0</v>
      </c>
      <c r="J26" s="107">
        <f t="shared" si="11"/>
        <v>0</v>
      </c>
      <c r="K26" s="107">
        <f t="shared" si="11"/>
        <v>0</v>
      </c>
      <c r="L26" s="107">
        <f t="shared" si="11"/>
        <v>0</v>
      </c>
      <c r="M26" s="107">
        <f t="shared" si="11"/>
        <v>0</v>
      </c>
      <c r="N26" s="107">
        <f t="shared" si="11"/>
        <v>0</v>
      </c>
      <c r="O26" s="107">
        <f t="shared" si="11"/>
        <v>0</v>
      </c>
      <c r="P26" s="207"/>
      <c r="R26" s="73" t="s">
        <v>294</v>
      </c>
      <c r="S26" s="73"/>
      <c r="T26" s="328"/>
      <c r="V26" s="73" t="s">
        <v>294</v>
      </c>
      <c r="W26" s="107"/>
      <c r="X26" s="107"/>
    </row>
    <row r="27" spans="2:24" ht="18" customHeight="1" outlineLevel="2" x14ac:dyDescent="0.3">
      <c r="B27" s="73" t="s">
        <v>295</v>
      </c>
      <c r="C27" s="107">
        <f>SUM(Table_KeHoach_TuDong[[#This Row],[Tháng 1]:[Tháng 12]])</f>
        <v>0</v>
      </c>
      <c r="D27" s="107">
        <f>Table_KeHoach_ChiPhiKhac[[#Totals],[Tháng 1]]</f>
        <v>0</v>
      </c>
      <c r="E27" s="107">
        <f>Table_KeHoach_ChiPhiKhac[[#Totals],[Tháng 2]]</f>
        <v>0</v>
      </c>
      <c r="F27" s="107">
        <f>Table_KeHoach_ChiPhiKhac[[#Totals],[Tháng 3]]</f>
        <v>0</v>
      </c>
      <c r="G27" s="107">
        <f>Table_KeHoach_ChiPhiKhac[[#Totals],[Tháng 4]]</f>
        <v>0</v>
      </c>
      <c r="H27" s="107">
        <f>Table_KeHoach_ChiPhiKhac[[#Totals],[Tháng 5]]</f>
        <v>0</v>
      </c>
      <c r="I27" s="107">
        <f>Table_KeHoach_ChiPhiKhac[[#Totals],[Tháng 6]]</f>
        <v>0</v>
      </c>
      <c r="J27" s="107">
        <f>Table_KeHoach_ChiPhiKhac[[#Totals],[Tháng 7]]</f>
        <v>0</v>
      </c>
      <c r="K27" s="107">
        <f>Table_KeHoach_ChiPhiKhac[[#Totals],[Tháng 8]]</f>
        <v>0</v>
      </c>
      <c r="L27" s="107">
        <f>Table_KeHoach_ChiPhiKhac[[#Totals],[Tháng 9]]</f>
        <v>0</v>
      </c>
      <c r="M27" s="107">
        <f>Table_KeHoach_ChiPhiKhac[[#Totals],[Tháng 10]]</f>
        <v>0</v>
      </c>
      <c r="N27" s="107">
        <f>Table_KeHoach_ChiPhiKhac[[#Totals],[Tháng 11]]</f>
        <v>0</v>
      </c>
      <c r="O27" s="107">
        <f>Table_KeHoach_ChiPhiKhac[[#Totals],[Tháng 12]]</f>
        <v>0</v>
      </c>
      <c r="P27" s="208"/>
      <c r="R27" s="73" t="s">
        <v>295</v>
      </c>
      <c r="S27" s="73"/>
      <c r="T27" s="328"/>
      <c r="V27" s="73" t="s">
        <v>295</v>
      </c>
      <c r="W27" s="107"/>
      <c r="X27" s="107"/>
    </row>
    <row r="28" spans="2:24" ht="18" customHeight="1" outlineLevel="2" x14ac:dyDescent="0.3">
      <c r="B28" s="73" t="s">
        <v>296</v>
      </c>
      <c r="C28" s="107">
        <f>SUM(Table_KeHoach_TuDong[[#This Row],[Tháng 1]:[Tháng 12]])</f>
        <v>0</v>
      </c>
      <c r="D28" s="107">
        <f>+D152</f>
        <v>0</v>
      </c>
      <c r="E28" s="107">
        <f t="shared" ref="E28:O28" si="12">+E152</f>
        <v>0</v>
      </c>
      <c r="F28" s="107">
        <f t="shared" si="12"/>
        <v>0</v>
      </c>
      <c r="G28" s="107">
        <f t="shared" si="12"/>
        <v>0</v>
      </c>
      <c r="H28" s="107">
        <f t="shared" si="12"/>
        <v>0</v>
      </c>
      <c r="I28" s="107">
        <f t="shared" si="12"/>
        <v>0</v>
      </c>
      <c r="J28" s="107">
        <f t="shared" si="12"/>
        <v>0</v>
      </c>
      <c r="K28" s="107">
        <f t="shared" si="12"/>
        <v>0</v>
      </c>
      <c r="L28" s="107">
        <f t="shared" si="12"/>
        <v>0</v>
      </c>
      <c r="M28" s="107">
        <f t="shared" si="12"/>
        <v>0</v>
      </c>
      <c r="N28" s="107">
        <f t="shared" si="12"/>
        <v>0</v>
      </c>
      <c r="O28" s="107">
        <f t="shared" si="12"/>
        <v>0</v>
      </c>
      <c r="P28" s="207"/>
      <c r="R28" s="73" t="s">
        <v>296</v>
      </c>
      <c r="S28" s="73"/>
      <c r="T28" s="328"/>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28"/>
      <c r="V29" s="73" t="s">
        <v>297</v>
      </c>
      <c r="W29" s="107"/>
      <c r="X29" s="107"/>
    </row>
    <row r="30" spans="2:24" ht="18" customHeight="1" outlineLevel="2" x14ac:dyDescent="0.3">
      <c r="B30" s="73" t="s">
        <v>299</v>
      </c>
      <c r="C30" s="107" t="e">
        <f>SUM(Table_KeHoach_TuDong[[#This Row],[Tháng 1]:[Tháng 12]])</f>
        <v>#N/A</v>
      </c>
      <c r="D30" s="107" t="e">
        <f>+Table_KeHoach_ThuePhi[[#Totals],[Tháng 1]]</f>
        <v>#N/A</v>
      </c>
      <c r="E30" s="107" t="e">
        <f>+Table_KeHoach_ThuePhi[[#Totals],[Tháng 2]]</f>
        <v>#N/A</v>
      </c>
      <c r="F30" s="107" t="e">
        <f>+Table_KeHoach_ThuePhi[[#Totals],[Tháng 3]]</f>
        <v>#N/A</v>
      </c>
      <c r="G30" s="107" t="e">
        <f>+Table_KeHoach_ThuePhi[[#Totals],[Tháng 4]]</f>
        <v>#N/A</v>
      </c>
      <c r="H30" s="107" t="e">
        <f>+Table_KeHoach_ThuePhi[[#Totals],[Tháng 5]]</f>
        <v>#N/A</v>
      </c>
      <c r="I30" s="107" t="e">
        <f>+Table_KeHoach_ThuePhi[[#Totals],[Tháng 6]]</f>
        <v>#N/A</v>
      </c>
      <c r="J30" s="107" t="e">
        <f>+Table_KeHoach_ThuePhi[[#Totals],[Tháng 7]]</f>
        <v>#N/A</v>
      </c>
      <c r="K30" s="107" t="e">
        <f>+Table_KeHoach_ThuePhi[[#Totals],[Tháng 8]]</f>
        <v>#N/A</v>
      </c>
      <c r="L30" s="107" t="e">
        <f>+Table_KeHoach_ThuePhi[[#Totals],[Tháng 9]]</f>
        <v>#N/A</v>
      </c>
      <c r="M30" s="107" t="e">
        <f>+Table_KeHoach_ThuePhi[[#Totals],[Tháng 10]]</f>
        <v>#N/A</v>
      </c>
      <c r="N30" s="107" t="e">
        <f>+Table_KeHoach_ThuePhi[[#Totals],[Tháng 11]]</f>
        <v>#N/A</v>
      </c>
      <c r="O30" s="107" t="e">
        <f>+Table_KeHoach_ThuePhi[[#Totals],[Tháng 12]]</f>
        <v>#N/A</v>
      </c>
      <c r="P30" s="207"/>
      <c r="R30" s="73" t="s">
        <v>299</v>
      </c>
      <c r="S30" s="73"/>
      <c r="T30" s="328"/>
      <c r="V30" s="73" t="s">
        <v>299</v>
      </c>
      <c r="W30" s="107"/>
      <c r="X30" s="107"/>
    </row>
    <row r="31" spans="2:24" ht="18" customHeight="1" outlineLevel="2" x14ac:dyDescent="0.3">
      <c r="B31" s="73" t="s">
        <v>298</v>
      </c>
      <c r="C31" s="107">
        <f>SUM(Table_KeHoach_TuDong[[#This Row],[Tháng 1]:[Tháng 12]])</f>
        <v>0</v>
      </c>
      <c r="D31" s="107">
        <f>+Table_KeHoach_CPKhac[[#Totals],[Tháng 1]]</f>
        <v>0</v>
      </c>
      <c r="E31" s="107">
        <f>+Table_KeHoach_CPKhac[[#Totals],[Tháng 2]]</f>
        <v>0</v>
      </c>
      <c r="F31" s="107">
        <f>+Table_KeHoach_CPKhac[[#Totals],[Tháng 3]]</f>
        <v>0</v>
      </c>
      <c r="G31" s="107">
        <f>+Table_KeHoach_CPKhac[[#Totals],[Tháng 4]]</f>
        <v>0</v>
      </c>
      <c r="H31" s="107">
        <f>+Table_KeHoach_CPKhac[[#Totals],[Tháng 5]]</f>
        <v>0</v>
      </c>
      <c r="I31" s="107">
        <f>+Table_KeHoach_CPKhac[[#Totals],[Tháng 6]]</f>
        <v>0</v>
      </c>
      <c r="J31" s="107">
        <f>+Table_KeHoach_CPKhac[[#Totals],[Tháng 7]]</f>
        <v>0</v>
      </c>
      <c r="K31" s="107">
        <f>+Table_KeHoach_CPKhac[[#Totals],[Tháng 8]]</f>
        <v>0</v>
      </c>
      <c r="L31" s="107">
        <f>+Table_KeHoach_CPKhac[[#Totals],[Tháng 9]]</f>
        <v>0</v>
      </c>
      <c r="M31" s="107">
        <f>+Table_KeHoach_CPKhac[[#Totals],[Tháng 10]]</f>
        <v>0</v>
      </c>
      <c r="N31" s="107">
        <f>+Table_KeHoach_CPKhac[[#Totals],[Tháng 11]]</f>
        <v>0</v>
      </c>
      <c r="O31" s="107">
        <f>+Table_KeHoach_CPKhac[[#Totals],[Tháng 12]]</f>
        <v>0</v>
      </c>
      <c r="P31" s="207"/>
      <c r="R31" s="73" t="s">
        <v>298</v>
      </c>
      <c r="S31" s="73"/>
      <c r="T31" s="328"/>
      <c r="V31" s="73" t="s">
        <v>298</v>
      </c>
      <c r="W31" s="107"/>
      <c r="X31" s="107"/>
    </row>
    <row r="32" spans="2:24" ht="18" customHeight="1" outlineLevel="2" x14ac:dyDescent="0.3">
      <c r="B32" s="87" t="s">
        <v>300</v>
      </c>
      <c r="C32" s="104" t="e">
        <f t="shared" ref="C32:O32" si="14">+C20+C22</f>
        <v>#N/A</v>
      </c>
      <c r="D32" s="104" t="e">
        <f t="shared" si="14"/>
        <v>#N/A</v>
      </c>
      <c r="E32" s="104" t="e">
        <f t="shared" si="14"/>
        <v>#N/A</v>
      </c>
      <c r="F32" s="104" t="e">
        <f t="shared" si="14"/>
        <v>#N/A</v>
      </c>
      <c r="G32" s="104" t="e">
        <f t="shared" si="14"/>
        <v>#N/A</v>
      </c>
      <c r="H32" s="104" t="e">
        <f t="shared" si="14"/>
        <v>#N/A</v>
      </c>
      <c r="I32" s="104" t="e">
        <f t="shared" si="14"/>
        <v>#N/A</v>
      </c>
      <c r="J32" s="104" t="e">
        <f t="shared" si="14"/>
        <v>#N/A</v>
      </c>
      <c r="K32" s="104" t="e">
        <f t="shared" si="14"/>
        <v>#N/A</v>
      </c>
      <c r="L32" s="104" t="e">
        <f t="shared" si="14"/>
        <v>#N/A</v>
      </c>
      <c r="M32" s="104" t="e">
        <f t="shared" si="14"/>
        <v>#N/A</v>
      </c>
      <c r="N32" s="104" t="e">
        <f t="shared" si="14"/>
        <v>#N/A</v>
      </c>
      <c r="O32" s="104" t="e">
        <f t="shared" si="14"/>
        <v>#N/A</v>
      </c>
      <c r="P32" s="207"/>
      <c r="R32" s="87" t="s">
        <v>300</v>
      </c>
      <c r="S32" s="87"/>
      <c r="T32" s="331"/>
      <c r="V32" s="87" t="s">
        <v>300</v>
      </c>
      <c r="W32" s="104"/>
      <c r="X32" s="104"/>
    </row>
    <row r="33" spans="2:24" ht="18" customHeight="1" outlineLevel="1" x14ac:dyDescent="0.3">
      <c r="B33" s="126" t="s">
        <v>98</v>
      </c>
      <c r="C33" s="127" t="e">
        <f>+C34+C36</f>
        <v>#N/A</v>
      </c>
      <c r="D33" s="127" t="e">
        <f t="shared" ref="D33:O33" si="15">+D34+D36</f>
        <v>#N/A</v>
      </c>
      <c r="E33" s="127" t="e">
        <f t="shared" si="15"/>
        <v>#N/A</v>
      </c>
      <c r="F33" s="127" t="e">
        <f t="shared" si="15"/>
        <v>#N/A</v>
      </c>
      <c r="G33" s="127" t="e">
        <f t="shared" si="15"/>
        <v>#N/A</v>
      </c>
      <c r="H33" s="127" t="e">
        <f t="shared" si="15"/>
        <v>#N/A</v>
      </c>
      <c r="I33" s="127" t="e">
        <f t="shared" si="15"/>
        <v>#N/A</v>
      </c>
      <c r="J33" s="127" t="e">
        <f t="shared" si="15"/>
        <v>#N/A</v>
      </c>
      <c r="K33" s="127" t="e">
        <f t="shared" si="15"/>
        <v>#N/A</v>
      </c>
      <c r="L33" s="127" t="e">
        <f t="shared" si="15"/>
        <v>#N/A</v>
      </c>
      <c r="M33" s="127" t="e">
        <f t="shared" si="15"/>
        <v>#N/A</v>
      </c>
      <c r="N33" s="127" t="e">
        <f t="shared" si="15"/>
        <v>#N/A</v>
      </c>
      <c r="O33" s="127" t="e">
        <f t="shared" si="15"/>
        <v>#N/A</v>
      </c>
      <c r="P33" s="207"/>
      <c r="R33" s="126" t="s">
        <v>98</v>
      </c>
      <c r="S33" s="126"/>
      <c r="T33" s="332"/>
      <c r="V33" s="126" t="s">
        <v>98</v>
      </c>
      <c r="W33" s="127"/>
      <c r="X33" s="127"/>
    </row>
    <row r="34" spans="2:24" s="53" customFormat="1" ht="18" customHeight="1" outlineLevel="1" x14ac:dyDescent="0.3">
      <c r="B34" s="54" t="s">
        <v>302</v>
      </c>
      <c r="C34" s="102" t="e">
        <f t="shared" ref="C34:O34" si="16">C11*(1-C35)</f>
        <v>#N/A</v>
      </c>
      <c r="D34" s="102" t="e">
        <f t="shared" si="16"/>
        <v>#N/A</v>
      </c>
      <c r="E34" s="102" t="e">
        <f t="shared" si="16"/>
        <v>#N/A</v>
      </c>
      <c r="F34" s="102" t="e">
        <f t="shared" si="16"/>
        <v>#N/A</v>
      </c>
      <c r="G34" s="102" t="e">
        <f t="shared" si="16"/>
        <v>#N/A</v>
      </c>
      <c r="H34" s="102" t="e">
        <f t="shared" si="16"/>
        <v>#N/A</v>
      </c>
      <c r="I34" s="102" t="e">
        <f t="shared" si="16"/>
        <v>#N/A</v>
      </c>
      <c r="J34" s="102" t="e">
        <f t="shared" si="16"/>
        <v>#N/A</v>
      </c>
      <c r="K34" s="102" t="e">
        <f t="shared" si="16"/>
        <v>#N/A</v>
      </c>
      <c r="L34" s="102" t="e">
        <f t="shared" si="16"/>
        <v>#N/A</v>
      </c>
      <c r="M34" s="102" t="e">
        <f t="shared" si="16"/>
        <v>#N/A</v>
      </c>
      <c r="N34" s="102" t="e">
        <f t="shared" si="16"/>
        <v>#N/A</v>
      </c>
      <c r="O34" s="102" t="e">
        <f t="shared" si="16"/>
        <v>#N/A</v>
      </c>
      <c r="P34" s="207"/>
      <c r="R34" s="54" t="s">
        <v>302</v>
      </c>
      <c r="S34" s="54"/>
      <c r="T34" s="328"/>
      <c r="V34" s="54" t="s">
        <v>302</v>
      </c>
      <c r="W34" s="102"/>
      <c r="X34" s="102"/>
    </row>
    <row r="35" spans="2:24" s="53" customFormat="1" ht="18" customHeight="1" outlineLevel="2" x14ac:dyDescent="0.3">
      <c r="B35" s="99" t="s">
        <v>101</v>
      </c>
      <c r="C35" s="123"/>
      <c r="D35" s="123" cm="1">
        <f t="array" ref="D35">Table_KeHoach_TyLeNo[Tháng 1]</f>
        <v>0</v>
      </c>
      <c r="E35" s="123" cm="1">
        <f t="array" ref="E35">Table_KeHoach_TyLeNo[Tháng 1]</f>
        <v>0</v>
      </c>
      <c r="F35" s="123" cm="1">
        <f t="array" ref="F35">Table_KeHoach_TyLeNo[Tháng 1]</f>
        <v>0</v>
      </c>
      <c r="G35" s="123" cm="1">
        <f t="array" ref="G35">Table_KeHoach_TyLeNo[Tháng 1]</f>
        <v>0</v>
      </c>
      <c r="H35" s="123" cm="1">
        <f t="array" ref="H35">Table_KeHoach_TyLeNo[Tháng 1]</f>
        <v>0</v>
      </c>
      <c r="I35" s="123" cm="1">
        <f t="array" ref="I35">Table_KeHoach_TyLeNo[Tháng 1]</f>
        <v>0</v>
      </c>
      <c r="J35" s="123" cm="1">
        <f t="array" ref="J35">Table_KeHoach_TyLeNo[Tháng 1]</f>
        <v>0</v>
      </c>
      <c r="K35" s="123" cm="1">
        <f t="array" ref="K35">Table_KeHoach_TyLeNo[Tháng 1]</f>
        <v>0</v>
      </c>
      <c r="L35" s="123" cm="1">
        <f t="array" ref="L35">Table_KeHoach_TyLeNo[Tháng 1]</f>
        <v>0</v>
      </c>
      <c r="M35" s="123" cm="1">
        <f t="array" ref="M35">Table_KeHoach_TyLeNo[Tháng 1]</f>
        <v>0</v>
      </c>
      <c r="N35" s="123" cm="1">
        <f t="array" ref="N35">Table_KeHoach_TyLeNo[Tháng 1]</f>
        <v>0</v>
      </c>
      <c r="O35" s="123" cm="1">
        <f t="array" ref="O35">Table_KeHoach_TyLeNo[Tháng 1]</f>
        <v>0</v>
      </c>
      <c r="P35" s="207"/>
      <c r="R35" s="99" t="s">
        <v>101</v>
      </c>
      <c r="S35" s="99"/>
      <c r="T35" s="123"/>
      <c r="V35" s="99" t="s">
        <v>101</v>
      </c>
      <c r="W35" s="123"/>
      <c r="X35" s="123"/>
    </row>
    <row r="36" spans="2:24" s="53" customFormat="1" ht="18" customHeight="1" outlineLevel="2" x14ac:dyDescent="0.3">
      <c r="B36" s="124" t="s">
        <v>304</v>
      </c>
      <c r="C36" s="102" t="e">
        <f t="shared" ref="C36:O36" si="17">+C13+C22-C28</f>
        <v>#N/A</v>
      </c>
      <c r="D36" s="102" t="e">
        <f t="shared" si="17"/>
        <v>#N/A</v>
      </c>
      <c r="E36" s="102" t="e">
        <f t="shared" si="17"/>
        <v>#N/A</v>
      </c>
      <c r="F36" s="102" t="e">
        <f t="shared" si="17"/>
        <v>#N/A</v>
      </c>
      <c r="G36" s="102" t="e">
        <f t="shared" si="17"/>
        <v>#N/A</v>
      </c>
      <c r="H36" s="102" t="e">
        <f t="shared" si="17"/>
        <v>#N/A</v>
      </c>
      <c r="I36" s="102" t="e">
        <f t="shared" si="17"/>
        <v>#N/A</v>
      </c>
      <c r="J36" s="102" t="e">
        <f t="shared" si="17"/>
        <v>#N/A</v>
      </c>
      <c r="K36" s="102" t="e">
        <f t="shared" si="17"/>
        <v>#N/A</v>
      </c>
      <c r="L36" s="102" t="e">
        <f t="shared" si="17"/>
        <v>#N/A</v>
      </c>
      <c r="M36" s="102" t="e">
        <f t="shared" si="17"/>
        <v>#N/A</v>
      </c>
      <c r="N36" s="102" t="e">
        <f t="shared" si="17"/>
        <v>#N/A</v>
      </c>
      <c r="O36" s="102" t="e">
        <f t="shared" si="17"/>
        <v>#N/A</v>
      </c>
      <c r="P36" s="431"/>
      <c r="R36" s="124" t="s">
        <v>304</v>
      </c>
      <c r="S36" s="124"/>
      <c r="T36" s="328"/>
      <c r="V36" s="124" t="s">
        <v>304</v>
      </c>
      <c r="W36" s="102"/>
      <c r="X36" s="102"/>
    </row>
    <row r="37" spans="2:24" s="53" customFormat="1" ht="18" customHeight="1" outlineLevel="2" x14ac:dyDescent="0.3">
      <c r="B37" s="74" t="s">
        <v>309</v>
      </c>
      <c r="C37" s="103">
        <f t="shared" ref="C37:O37" si="18">+SUM(C38:C40)</f>
        <v>0</v>
      </c>
      <c r="D37" s="103">
        <f t="shared" si="18"/>
        <v>0</v>
      </c>
      <c r="E37" s="103">
        <f t="shared" si="18"/>
        <v>0</v>
      </c>
      <c r="F37" s="103">
        <f t="shared" si="18"/>
        <v>0</v>
      </c>
      <c r="G37" s="103">
        <f t="shared" si="18"/>
        <v>0</v>
      </c>
      <c r="H37" s="103">
        <f t="shared" si="18"/>
        <v>0</v>
      </c>
      <c r="I37" s="103">
        <f t="shared" si="18"/>
        <v>0</v>
      </c>
      <c r="J37" s="103">
        <f t="shared" si="18"/>
        <v>0</v>
      </c>
      <c r="K37" s="103">
        <f t="shared" si="18"/>
        <v>0</v>
      </c>
      <c r="L37" s="103">
        <f t="shared" si="18"/>
        <v>0</v>
      </c>
      <c r="M37" s="103">
        <f t="shared" si="18"/>
        <v>0</v>
      </c>
      <c r="N37" s="103">
        <f t="shared" si="18"/>
        <v>0</v>
      </c>
      <c r="O37" s="103">
        <f t="shared" si="18"/>
        <v>0</v>
      </c>
      <c r="P37" s="431"/>
      <c r="R37" s="74" t="s">
        <v>309</v>
      </c>
      <c r="S37" s="74"/>
      <c r="T37" s="325"/>
      <c r="V37" s="74" t="s">
        <v>309</v>
      </c>
      <c r="W37" s="103"/>
      <c r="X37" s="103"/>
    </row>
    <row r="38" spans="2:24" s="53" customFormat="1" ht="18" customHeight="1" outlineLevel="1" x14ac:dyDescent="0.3">
      <c r="B38" s="73" t="s">
        <v>310</v>
      </c>
      <c r="C38" s="107">
        <f>SUM(Table_KeHoach_TuDong[[#This Row],[Tháng 1]:[Tháng 12]])</f>
        <v>0</v>
      </c>
      <c r="D38" s="107">
        <f>+D153+D154</f>
        <v>0</v>
      </c>
      <c r="E38" s="107">
        <f t="shared" ref="E38:O38" si="19">+E153+E154</f>
        <v>0</v>
      </c>
      <c r="F38" s="107">
        <f t="shared" si="19"/>
        <v>0</v>
      </c>
      <c r="G38" s="107">
        <f t="shared" si="19"/>
        <v>0</v>
      </c>
      <c r="H38" s="107">
        <f t="shared" si="19"/>
        <v>0</v>
      </c>
      <c r="I38" s="107">
        <f t="shared" si="19"/>
        <v>0</v>
      </c>
      <c r="J38" s="107">
        <f t="shared" si="19"/>
        <v>0</v>
      </c>
      <c r="K38" s="107">
        <f t="shared" si="19"/>
        <v>0</v>
      </c>
      <c r="L38" s="107">
        <f t="shared" si="19"/>
        <v>0</v>
      </c>
      <c r="M38" s="107">
        <f t="shared" si="19"/>
        <v>0</v>
      </c>
      <c r="N38" s="107">
        <f t="shared" si="19"/>
        <v>0</v>
      </c>
      <c r="O38" s="107">
        <f t="shared" si="19"/>
        <v>0</v>
      </c>
      <c r="P38" s="431"/>
      <c r="R38" s="73" t="s">
        <v>310</v>
      </c>
      <c r="S38" s="73"/>
      <c r="T38" s="328"/>
      <c r="V38" s="73" t="s">
        <v>310</v>
      </c>
      <c r="W38" s="107"/>
      <c r="X38" s="107"/>
    </row>
    <row r="39" spans="2:24" s="53" customFormat="1" ht="18" customHeight="1" outlineLevel="2" x14ac:dyDescent="0.3">
      <c r="B39" s="73" t="s">
        <v>311</v>
      </c>
      <c r="C39" s="107">
        <f>SUM(Table_KeHoach_TuDong[[#This Row],[Tháng 1]:[Tháng 12]])</f>
        <v>0</v>
      </c>
      <c r="D39" s="107">
        <f>+Table_KeHoach_TSCD[[#Totals],[Tháng 1]]</f>
        <v>0</v>
      </c>
      <c r="E39" s="107">
        <f>+Table_KeHoach_TSCD[[#Totals],[Tháng 2]]</f>
        <v>0</v>
      </c>
      <c r="F39" s="107">
        <f>+Table_KeHoach_TSCD[[#Totals],[Tháng 3]]</f>
        <v>0</v>
      </c>
      <c r="G39" s="107">
        <f>+Table_KeHoach_TSCD[[#Totals],[Tháng 4]]</f>
        <v>0</v>
      </c>
      <c r="H39" s="107">
        <f>+Table_KeHoach_TSCD[[#Totals],[Tháng 5]]</f>
        <v>0</v>
      </c>
      <c r="I39" s="107">
        <f>+Table_KeHoach_TSCD[[#Totals],[Tháng 6]]</f>
        <v>0</v>
      </c>
      <c r="J39" s="107">
        <f>+Table_KeHoach_TSCD[[#Totals],[Tháng 7]]</f>
        <v>0</v>
      </c>
      <c r="K39" s="107">
        <f>+Table_KeHoach_TSCD[[#Totals],[Tháng 8]]</f>
        <v>0</v>
      </c>
      <c r="L39" s="107">
        <f>+Table_KeHoach_TSCD[[#Totals],[Tháng 9]]</f>
        <v>0</v>
      </c>
      <c r="M39" s="107">
        <f>+Table_KeHoach_TSCD[[#Totals],[Tháng 10]]</f>
        <v>0</v>
      </c>
      <c r="N39" s="107">
        <f>+Table_KeHoach_TSCD[[#Totals],[Tháng 11]]</f>
        <v>0</v>
      </c>
      <c r="O39" s="107">
        <f>+Table_KeHoach_TSCD[[#Totals],[Tháng 12]]</f>
        <v>0</v>
      </c>
      <c r="P39" s="431"/>
      <c r="R39" s="73" t="s">
        <v>311</v>
      </c>
      <c r="S39" s="73"/>
      <c r="T39" s="328"/>
      <c r="V39" s="73" t="s">
        <v>311</v>
      </c>
      <c r="W39" s="107"/>
      <c r="X39" s="107"/>
    </row>
    <row r="40" spans="2:24" s="53" customFormat="1" ht="18" customHeight="1" outlineLevel="2" x14ac:dyDescent="0.3">
      <c r="B40" s="73" t="s">
        <v>312</v>
      </c>
      <c r="C40" s="107">
        <f>SUM(Table_KeHoach_TuDong[[#This Row],[Tháng 1]:[Tháng 12]])</f>
        <v>0</v>
      </c>
      <c r="D40" s="107">
        <f>+Table_KeHoach_DTTC[[#Totals],[Column1]]</f>
        <v>0</v>
      </c>
      <c r="E40" s="107">
        <f>+Table_KeHoach_DTTC[[#Totals],[Tháng 1]]</f>
        <v>0</v>
      </c>
      <c r="F40" s="107">
        <f>+Table_KeHoach_DTTC[[#Totals],[Tháng 2]]</f>
        <v>0</v>
      </c>
      <c r="G40" s="107">
        <f>+Table_KeHoach_DTTC[[#Totals],[Tháng 3]]</f>
        <v>0</v>
      </c>
      <c r="H40" s="107">
        <f>+Table_KeHoach_DTTC[[#Totals],[Tháng 4]]</f>
        <v>0</v>
      </c>
      <c r="I40" s="107">
        <f>+Table_KeHoach_DTTC[[#Totals],[Tháng 5]]</f>
        <v>0</v>
      </c>
      <c r="J40" s="107">
        <f>+Table_KeHoach_DTTC[[#Totals],[Tháng 6]]</f>
        <v>0</v>
      </c>
      <c r="K40" s="107">
        <f>+Table_KeHoach_DTTC[[#Totals],[Tháng 7]]</f>
        <v>0</v>
      </c>
      <c r="L40" s="107">
        <f>+Table_KeHoach_DTTC[[#Totals],[Tháng 8]]</f>
        <v>0</v>
      </c>
      <c r="M40" s="107">
        <f>+Table_KeHoach_DTTC[[#Totals],[Tháng 9]]</f>
        <v>0</v>
      </c>
      <c r="N40" s="107">
        <f>+Table_KeHoach_DTTC[[#Totals],[Tháng 10]]</f>
        <v>0</v>
      </c>
      <c r="O40" s="107">
        <f>+Table_KeHoach_DTTC[[#Totals],[Tháng 11]]</f>
        <v>0</v>
      </c>
      <c r="P40" s="431"/>
      <c r="R40" s="73" t="s">
        <v>312</v>
      </c>
      <c r="S40" s="73"/>
      <c r="T40" s="328"/>
      <c r="V40" s="73" t="s">
        <v>312</v>
      </c>
      <c r="W40" s="107"/>
      <c r="X40" s="107"/>
    </row>
    <row r="41" spans="2:24" s="53" customFormat="1" ht="18" customHeight="1" outlineLevel="2" x14ac:dyDescent="0.3">
      <c r="B41" s="87" t="s">
        <v>313</v>
      </c>
      <c r="C41" s="104" t="e">
        <f t="shared" ref="C41:O41" si="20">+C33+C38</f>
        <v>#N/A</v>
      </c>
      <c r="D41" s="104" t="e">
        <f t="shared" si="20"/>
        <v>#N/A</v>
      </c>
      <c r="E41" s="104" t="e">
        <f t="shared" si="20"/>
        <v>#N/A</v>
      </c>
      <c r="F41" s="104" t="e">
        <f t="shared" si="20"/>
        <v>#N/A</v>
      </c>
      <c r="G41" s="104" t="e">
        <f t="shared" si="20"/>
        <v>#N/A</v>
      </c>
      <c r="H41" s="104" t="e">
        <f t="shared" si="20"/>
        <v>#N/A</v>
      </c>
      <c r="I41" s="104" t="e">
        <f t="shared" si="20"/>
        <v>#N/A</v>
      </c>
      <c r="J41" s="104" t="e">
        <f t="shared" si="20"/>
        <v>#N/A</v>
      </c>
      <c r="K41" s="104" t="e">
        <f t="shared" si="20"/>
        <v>#N/A</v>
      </c>
      <c r="L41" s="104" t="e">
        <f t="shared" si="20"/>
        <v>#N/A</v>
      </c>
      <c r="M41" s="104" t="e">
        <f t="shared" si="20"/>
        <v>#N/A</v>
      </c>
      <c r="N41" s="104" t="e">
        <f t="shared" si="20"/>
        <v>#N/A</v>
      </c>
      <c r="O41" s="104" t="e">
        <f t="shared" si="20"/>
        <v>#N/A</v>
      </c>
      <c r="P41" s="431"/>
      <c r="R41" s="87" t="s">
        <v>313</v>
      </c>
      <c r="S41" s="87"/>
      <c r="T41" s="331"/>
      <c r="V41" s="87" t="s">
        <v>313</v>
      </c>
      <c r="W41" s="104"/>
      <c r="X41" s="104"/>
    </row>
    <row r="42" spans="2:24" s="53" customFormat="1" ht="18" customHeight="1" outlineLevel="1" x14ac:dyDescent="0.3">
      <c r="B42" s="73" t="s">
        <v>315</v>
      </c>
      <c r="C42" s="102">
        <f>SUM(Table_KeHoach_TuDong[[#This Row],[Tháng 1]:[Tháng 12]])</f>
        <v>0</v>
      </c>
      <c r="D42" s="107">
        <f>+Table_KeHoach_LaiDTTC[[#Totals],[Tháng 1]]</f>
        <v>0</v>
      </c>
      <c r="E42" s="107">
        <f>+Table_KeHoach_LaiDTTC[[#Totals],[Tháng 2]]</f>
        <v>0</v>
      </c>
      <c r="F42" s="107">
        <f>+Table_KeHoach_LaiDTTC[[#Totals],[Tháng 3]]</f>
        <v>0</v>
      </c>
      <c r="G42" s="107">
        <f>+Table_KeHoach_LaiDTTC[[#Totals],[Tháng 4]]</f>
        <v>0</v>
      </c>
      <c r="H42" s="107">
        <f>+Table_KeHoach_LaiDTTC[[#Totals],[Tháng 5]]</f>
        <v>0</v>
      </c>
      <c r="I42" s="107">
        <f>+Table_KeHoach_LaiDTTC[[#Totals],[Tháng 6]]</f>
        <v>0</v>
      </c>
      <c r="J42" s="107">
        <f>+Table_KeHoach_LaiDTTC[[#Totals],[Tháng 7]]</f>
        <v>0</v>
      </c>
      <c r="K42" s="107">
        <f>+Table_KeHoach_LaiDTTC[[#Totals],[Tháng 8]]</f>
        <v>0</v>
      </c>
      <c r="L42" s="107">
        <f>+Table_KeHoach_LaiDTTC[[#Totals],[Tháng 9]]</f>
        <v>0</v>
      </c>
      <c r="M42" s="107">
        <f>+Table_KeHoach_LaiDTTC[[#Totals],[Tháng 10]]</f>
        <v>0</v>
      </c>
      <c r="N42" s="107">
        <f>+Table_KeHoach_LaiDTTC[[#Totals],[Tháng 11]]</f>
        <v>0</v>
      </c>
      <c r="O42" s="107">
        <f>+Table_KeHoach_LaiDTTC[[#Totals],[Tháng 12]]</f>
        <v>0</v>
      </c>
      <c r="P42" s="431"/>
      <c r="R42" s="73" t="s">
        <v>315</v>
      </c>
      <c r="S42" s="73"/>
      <c r="T42" s="328"/>
      <c r="V42" s="73" t="s">
        <v>315</v>
      </c>
      <c r="W42" s="107"/>
      <c r="X42" s="107"/>
    </row>
    <row r="43" spans="2:24" s="53" customFormat="1" ht="18" customHeight="1" outlineLevel="2" x14ac:dyDescent="0.3">
      <c r="B43" s="73" t="s">
        <v>116</v>
      </c>
      <c r="C43" s="102">
        <f>SUM(Table_KeHoach_TuDong[[#This Row],[Tháng 1]:[Tháng 12]])</f>
        <v>0</v>
      </c>
      <c r="D43" s="107">
        <f>+Table_KeHoach_VonVay[[#Totals],[Tháng 1]]</f>
        <v>0</v>
      </c>
      <c r="E43" s="107">
        <f>+Table_KeHoach_VonVay[[#Totals],[Tháng 2]]</f>
        <v>0</v>
      </c>
      <c r="F43" s="107">
        <f>+Table_KeHoach_VonVay[[#Totals],[Tháng 3]]</f>
        <v>0</v>
      </c>
      <c r="G43" s="107">
        <f>+Table_KeHoach_VonVay[[#Totals],[Tháng 4]]</f>
        <v>0</v>
      </c>
      <c r="H43" s="107">
        <f>+Table_KeHoach_VonVay[[#Totals],[Tháng 5]]</f>
        <v>0</v>
      </c>
      <c r="I43" s="107">
        <f>+Table_KeHoach_VonVay[[#Totals],[Tháng 6]]</f>
        <v>0</v>
      </c>
      <c r="J43" s="107">
        <f>+Table_KeHoach_VonVay[[#Totals],[Tháng 7]]</f>
        <v>0</v>
      </c>
      <c r="K43" s="107">
        <f>+Table_KeHoach_VonVay[[#Totals],[Tháng 8]]</f>
        <v>0</v>
      </c>
      <c r="L43" s="107">
        <f>+Table_KeHoach_VonVay[[#Totals],[Tháng 9]]</f>
        <v>0</v>
      </c>
      <c r="M43" s="107">
        <f>+Table_KeHoach_VonVay[[#Totals],[Tháng 10]]</f>
        <v>0</v>
      </c>
      <c r="N43" s="107">
        <f>+Table_KeHoach_VonVay[[#Totals],[Tháng 11]]</f>
        <v>0</v>
      </c>
      <c r="O43" s="107">
        <f>+Table_KeHoach_VonVay[[#Totals],[Tháng 12]]</f>
        <v>0</v>
      </c>
      <c r="P43" s="431"/>
      <c r="R43" s="73" t="s">
        <v>116</v>
      </c>
      <c r="S43" s="73"/>
      <c r="T43" s="328"/>
      <c r="V43" s="73" t="s">
        <v>116</v>
      </c>
      <c r="W43" s="107"/>
      <c r="X43" s="107"/>
    </row>
    <row r="44" spans="2:24" s="53" customFormat="1" ht="18" customHeight="1" outlineLevel="2" x14ac:dyDescent="0.3">
      <c r="B44" s="73" t="s">
        <v>316</v>
      </c>
      <c r="C44" s="102">
        <f>SUM(Table_KeHoach_TuDong[[#This Row],[Tháng 1]:[Tháng 12]])</f>
        <v>0</v>
      </c>
      <c r="D44" s="107">
        <f>+Table_KeHoach_VonGop[[#Totals],[Tháng 1]]</f>
        <v>0</v>
      </c>
      <c r="E44" s="107">
        <f>+Table_KeHoach_VonGop[[#Totals],[Tháng 2]]</f>
        <v>0</v>
      </c>
      <c r="F44" s="107">
        <f>+Table_KeHoach_VonGop[[#Totals],[Tháng 3]]</f>
        <v>0</v>
      </c>
      <c r="G44" s="107">
        <f>+Table_KeHoach_VonGop[[#Totals],[Tháng 4]]</f>
        <v>0</v>
      </c>
      <c r="H44" s="107">
        <f>+Table_KeHoach_VonGop[[#Totals],[Tháng 5]]</f>
        <v>0</v>
      </c>
      <c r="I44" s="107">
        <f>+Table_KeHoach_VonGop[[#Totals],[Tháng 6]]</f>
        <v>0</v>
      </c>
      <c r="J44" s="107">
        <f>+Table_KeHoach_VonGop[[#Totals],[Tháng 7]]</f>
        <v>0</v>
      </c>
      <c r="K44" s="107">
        <f>+Table_KeHoach_VonGop[[#Totals],[Tháng 8]]</f>
        <v>0</v>
      </c>
      <c r="L44" s="107">
        <f>+Table_KeHoach_VonGop[[#Totals],[Tháng 9]]</f>
        <v>0</v>
      </c>
      <c r="M44" s="107">
        <f>+Table_KeHoach_VonGop[[#Totals],[Tháng 10]]</f>
        <v>0</v>
      </c>
      <c r="N44" s="107">
        <f>+Table_KeHoach_VonGop[[#Totals],[Tháng 11]]</f>
        <v>0</v>
      </c>
      <c r="O44" s="107">
        <f>+Table_KeHoach_VonGop[[#Totals],[Tháng 12]]</f>
        <v>0</v>
      </c>
      <c r="P44" s="431"/>
      <c r="R44" s="73" t="s">
        <v>316</v>
      </c>
      <c r="S44" s="73"/>
      <c r="T44" s="328"/>
      <c r="V44" s="73" t="s">
        <v>316</v>
      </c>
      <c r="W44" s="107"/>
      <c r="X44" s="107"/>
    </row>
    <row r="45" spans="2:24" s="53" customFormat="1" ht="18" customHeight="1" outlineLevel="2" x14ac:dyDescent="0.3">
      <c r="B45" s="73" t="s">
        <v>120</v>
      </c>
      <c r="C45" s="107">
        <f>SUM(Table_KeHoach_TuDong[[#This Row],[Tháng 1]:[Tháng 12]])</f>
        <v>0</v>
      </c>
      <c r="D45" s="107"/>
      <c r="E45" s="107"/>
      <c r="F45" s="107"/>
      <c r="G45" s="107"/>
      <c r="H45" s="107"/>
      <c r="I45" s="107"/>
      <c r="J45" s="107"/>
      <c r="K45" s="107"/>
      <c r="L45" s="107"/>
      <c r="M45" s="107"/>
      <c r="N45" s="107"/>
      <c r="O45" s="107"/>
      <c r="P45" s="431"/>
      <c r="R45" s="73" t="s">
        <v>120</v>
      </c>
      <c r="S45" s="73"/>
      <c r="T45" s="328"/>
      <c r="V45" s="73" t="s">
        <v>120</v>
      </c>
      <c r="W45" s="105"/>
      <c r="X45" s="105"/>
    </row>
    <row r="46" spans="2:24" ht="18" customHeight="1" outlineLevel="2" x14ac:dyDescent="0.3">
      <c r="B46" s="87" t="s">
        <v>319</v>
      </c>
      <c r="C46" s="104" t="e" cm="1">
        <f t="array" ref="C46">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+C41+SUM(C42:C44)+SUM(C39:C40)+C45</f>
        <v>#N/A</v>
      </c>
      <c r="D46" s="104" t="e" cm="1">
        <f t="array" ref="D46" xml:space="preserve">
Sheet_BaoCaoTaiChinh!$D$74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+SUM($D$41:D41)+SUM($D$42:D44)+SUM($D$39:D40)+SUM($D$45:D45)</f>
        <v>#N/A</v>
      </c>
      <c r="E46" s="104" t="e" cm="1">
        <f t="array" ref="E46" xml:space="preserve">
Sheet_BaoCaoTaiChinh!$D$74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+SUM($D$41:E41)+SUM($D$42:E44)+SUM($D$39:E40)+SUM($D$45:E45)</f>
        <v>#N/A</v>
      </c>
      <c r="F46" s="104" t="e" cm="1">
        <f t="array" ref="F46" xml:space="preserve">
Sheet_BaoCaoTaiChinh!$D$74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+SUM($D$41:F41)+SUM($D$42:F44)+SUM($D$39:F40)+SUM($D$45:F45)</f>
        <v>#N/A</v>
      </c>
      <c r="G46" s="104" t="e" cm="1">
        <f t="array" ref="G46" xml:space="preserve">
Sheet_BaoCaoTaiChinh!$D$74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+SUM($D$41:G41)+SUM($D$42:G44)+SUM($D$39:G40)+SUM($D$45:G45)</f>
        <v>#N/A</v>
      </c>
      <c r="H46" s="104" t="e" cm="1">
        <f t="array" ref="H46" xml:space="preserve">
Sheet_BaoCaoTaiChinh!$D$74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+SUM($D$41:H41)+SUM($D$42:H44)+SUM($D$39:H40)+SUM($D$45:H45)</f>
        <v>#N/A</v>
      </c>
      <c r="I46" s="104" t="e" cm="1">
        <f t="array" ref="I46" xml:space="preserve">
Sheet_BaoCaoTaiChinh!$D$74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+SUM($D$41:I41)+SUM($D$42:I44)+SUM($D$39:I40)+SUM($D$45:I45)</f>
        <v>#N/A</v>
      </c>
      <c r="J46" s="104" t="e" cm="1">
        <f t="array" ref="J46" xml:space="preserve">
Sheet_BaoCaoTaiChinh!$D$74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+SUM($D$41:J41)+SUM($D$42:J44)+SUM($D$39:J40)+SUM($D$45:J45)</f>
        <v>#N/A</v>
      </c>
      <c r="K46" s="104" t="e" cm="1">
        <f t="array" ref="K46" xml:space="preserve">
Sheet_BaoCaoTaiChinh!$D$74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+SUM($D$41:K41)+SUM($D$42:K44)+SUM($D$39:K40)+SUM($D$45:K45)</f>
        <v>#N/A</v>
      </c>
      <c r="L46" s="104" t="e" cm="1">
        <f t="array" ref="L46" xml:space="preserve">
Sheet_BaoCaoTaiChinh!$D$74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+SUM($D$41:L41)+SUM($D$42:L44)+SUM($D$39:L40)+SUM($D$45:L45)</f>
        <v>#N/A</v>
      </c>
      <c r="M46" s="104" t="e" cm="1">
        <f t="array" ref="M46" xml:space="preserve">
Sheet_BaoCaoTaiChinh!$D$74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+SUM($D$41:M41)+SUM($D$42:M44)+SUM($D$39:M40)+SUM($D$45:M45)</f>
        <v>#N/A</v>
      </c>
      <c r="N46" s="104" t="e" cm="1">
        <f t="array" ref="N46" xml:space="preserve">
Sheet_BaoCaoTaiChinh!$D$74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+SUM($D$41:N41)+SUM($D$42:N44)+SUM($D$39:N40)+SUM($D$45:N45)</f>
        <v>#N/A</v>
      </c>
      <c r="O46" s="104" t="e" cm="1">
        <f t="array" ref="O46" xml:space="preserve">
Sheet_BaoCaoTaiChinh!$D$74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+SUM($D$41:O41)+SUM($D$42:O44)+SUM($D$39:O40)+SUM($D$45:O45)</f>
        <v>#N/A</v>
      </c>
      <c r="P46" s="431"/>
      <c r="R46" s="87" t="s">
        <v>1032</v>
      </c>
      <c r="S46" s="471"/>
      <c r="T46" s="331" t="e" cm="1">
        <f t="array" ref="T46">INDEX(Table_KeHoach_Nam[#All],42,
COUNTA(Table_KeHoach_Nam[#Headers])-1)/S3</f>
        <v>#REF!</v>
      </c>
      <c r="V46" s="87" t="s">
        <v>319</v>
      </c>
      <c r="W46" s="104"/>
      <c r="X46" s="104"/>
    </row>
    <row r="47" spans="2:24" s="53" customFormat="1" ht="18" customHeight="1" outlineLevel="1" x14ac:dyDescent="0.3">
      <c r="B47" s="87"/>
      <c r="C47" s="104"/>
      <c r="D47" s="104"/>
      <c r="E47" s="104"/>
      <c r="F47" s="104"/>
      <c r="G47" s="104"/>
      <c r="H47" s="104"/>
      <c r="I47" s="104"/>
      <c r="J47" s="104"/>
      <c r="K47" s="104"/>
      <c r="L47" s="104"/>
      <c r="M47" s="104"/>
      <c r="N47" s="104"/>
      <c r="O47" s="104"/>
      <c r="P47" s="207"/>
      <c r="R47" s="87"/>
      <c r="S47" s="471"/>
      <c r="T47" s="331"/>
      <c r="V47" s="87"/>
      <c r="W47" s="87"/>
      <c r="X47" s="331"/>
    </row>
    <row r="48" spans="2:24" s="53" customFormat="1" ht="18" customHeight="1" x14ac:dyDescent="0.3">
      <c r="B48" s="54" t="s">
        <v>1037</v>
      </c>
      <c r="C48" s="473"/>
      <c r="D48" s="474"/>
      <c r="E48" s="474"/>
      <c r="F48" s="474"/>
      <c r="G48" s="474"/>
      <c r="H48" s="474"/>
      <c r="I48" s="474"/>
      <c r="J48" s="474"/>
      <c r="K48" s="474"/>
      <c r="L48" s="474"/>
      <c r="M48" s="474"/>
      <c r="N48" s="474"/>
      <c r="O48" s="474"/>
      <c r="P48" s="474"/>
      <c r="T48" s="7"/>
      <c r="X48" s="7"/>
    </row>
    <row r="49" spans="2:25" s="53" customFormat="1" ht="18" customHeight="1" x14ac:dyDescent="0.3">
      <c r="B49" s="12" t="s">
        <v>320</v>
      </c>
      <c r="C49" s="478" t="s">
        <v>322</v>
      </c>
      <c r="D49" s="478" t="s">
        <v>268</v>
      </c>
      <c r="E49" s="478" t="s">
        <v>269</v>
      </c>
      <c r="F49" s="478" t="s">
        <v>270</v>
      </c>
      <c r="G49" s="478" t="s">
        <v>271</v>
      </c>
      <c r="H49" s="478" t="s">
        <v>272</v>
      </c>
      <c r="I49" s="478" t="s">
        <v>273</v>
      </c>
      <c r="J49" s="478" t="s">
        <v>274</v>
      </c>
      <c r="K49" s="478" t="s">
        <v>275</v>
      </c>
      <c r="L49" s="478" t="s">
        <v>276</v>
      </c>
      <c r="M49" s="478" t="s">
        <v>277</v>
      </c>
      <c r="N49" s="478" t="s">
        <v>278</v>
      </c>
      <c r="O49" s="478" t="s">
        <v>279</v>
      </c>
      <c r="P49" s="479" t="s">
        <v>873</v>
      </c>
    </row>
    <row r="50" spans="2:25" s="53" customFormat="1" ht="18" customHeight="1" x14ac:dyDescent="0.3">
      <c r="B50" s="7"/>
      <c r="C50" s="71" t="e" cm="1">
        <f t="array" ref="C50" xml:space="preserve">
(
(+IFERROR(SUM(
_xlfn._xlws.FILTER(Table_Main[Số lượng],
(Table_Main[Mã SKU] = $B50) *
NOT(ISBLANK(Table_Main[Đơn bán]))*
(Table_Main[Loại] = "Xuất")*
(Table_Main[Ngày lên đơn] &gt;= DATE(YEAR(BCQT_KetThuc)-1,1,1))*
(Table_Main[Ngày lên đơn] &lt; DATE(YEAR(BCQT_KetThuc),1,1))
)),0)
-IFERROR(SUM(
_xlfn._xlws.FILTER(Table_Main[Số lượng],
(Table_Main[Mã SKU] = $B50) *
NOT(ISBLANK(Table_Main[Đơn bán]))*
(Table_Main[Loại] = "Nhập")*
(Table_Main[Ngày lên đơn] &gt;= DATE(YEAR(BCQT_KetThuc)-1,1,1))*
(Table_Main[Ngày lên đơn] &lt; DATE(YEAR(BCQT_KetThuc),1,1))
)),0)) /
(+IFERROR(SUM(
_xlfn._xlws.FILTER(Table_Main[Số lượng],
(Table_Main[Mã SKU] = $B50) *
NOT(ISBLANK(Table_Main[Đơn bán]))*
(Table_Main[Loại] = "Xuất")*
(Table_Main[Ngày lên đơn] &gt;= DATE(YEAR(BCQT_BatDau),1,1))*
(Table_Main[Ngày lên đơn] &lt; DATE(YEAR(BCQT_BatDau)+1,1,1))
)),0)
-IFERROR(SUM(
_xlfn._xlws.FILTER(Table_Main[Số lượng],
(Table_Main[Mã SKU] = $B50) *
NOT(ISBLANK(Table_Main[Đơn bán]))*
(Table_Main[Loại] = "Nhập")*
(Table_Main[Ngày lên đơn] &gt;= DATE(YEAR(BCQT_BatDau),1,1))*
(Table_Main[Ngày lên đơn] &lt; DATE(YEAR(BCQT_BatDau)+1,1,1))
)),0))
) ^(1/(YEAR(BCQT_KetThuc)-YEAR(BCQT_BatDau)))
-1</f>
        <v>#DIV/0!</v>
      </c>
      <c r="D50" s="71" t="e" cm="1">
        <f t="array" ref="D50" xml:space="preserve">
(+IFERROR(SUM(
_xlfn._xlws.FILTER(Table_Main[Số lượng],
(Table_Main[Mã SKU] = $B50) *
NOT(ISBLANK(Table_Main[Đơn bán]))*
(Table_Main[Loại] = "Xuất")*
(Table_Main[Ngày lên đơn] &gt;= BCQT_BatDau)*
(Table_Main[Ngày lên đơn] &lt; BCQT_KetThuc)*
(Table_Main[Tháng lên đơn] = D$1)
)),0)
-IFERROR(SUM(
_xlfn._xlws.FILTER(Table_Main[Số lượng],
(Table_Main[Mã SKU] = $B50) *
NOT(ISBLANK(Table_Main[Đơn bán]))*
(Table_Main[Loại] = "Nhập")*
(Table_Main[Ngày lên đơn] &gt;= BCQT_BatDau)*
(Table_Main[Ngày lên đơn] &lt; BCQT_KetThuc)*
(Table_Main[Tháng lên đơn] = D$1)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E50" s="71" t="e" cm="1">
        <f t="array" ref="E50" xml:space="preserve">
(+IFERROR(SUM(
_xlfn._xlws.FILTER(Table_Main[Số lượng],
(Table_Main[Mã SKU] = $B50) *
NOT(ISBLANK(Table_Main[Đơn bán]))*
(Table_Main[Loại] = "Xuất")*
(Table_Main[Ngày lên đơn] &gt;= BCQT_BatDau)*
(Table_Main[Ngày lên đơn] &lt; BCQT_KetThuc)*
(Table_Main[Tháng lên đơn] = E$1)
)),0)
-IFERROR(SUM(
_xlfn._xlws.FILTER(Table_Main[Số lượng],
(Table_Main[Mã SKU] = $B50) *
NOT(ISBLANK(Table_Main[Đơn bán]))*
(Table_Main[Loại] = "Nhập")*
(Table_Main[Ngày lên đơn] &gt;= BCQT_BatDau)*
(Table_Main[Ngày lên đơn] &lt; BCQT_KetThuc)*
(Table_Main[Tháng lên đơn] = E$1)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F50" s="71" t="e" cm="1">
        <f t="array" ref="F50" xml:space="preserve">
(+IFERROR(SUM(
_xlfn._xlws.FILTER(Table_Main[Số lượng],
(Table_Main[Mã SKU] = $B50) *
NOT(ISBLANK(Table_Main[Đơn bán]))*
(Table_Main[Loại] = "Xuất")*
(Table_Main[Ngày lên đơn] &gt;= BCQT_BatDau)*
(Table_Main[Ngày lên đơn] &lt; BCQT_KetThuc)*
(Table_Main[Tháng lên đơn] = F$1)
)),0)
-IFERROR(SUM(
_xlfn._xlws.FILTER(Table_Main[Số lượng],
(Table_Main[Mã SKU] = $B50) *
NOT(ISBLANK(Table_Main[Đơn bán]))*
(Table_Main[Loại] = "Nhập")*
(Table_Main[Ngày lên đơn] &gt;= BCQT_BatDau)*
(Table_Main[Ngày lên đơn] &lt; BCQT_KetThuc)*
(Table_Main[Tháng lên đơn] = F$1)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G50" s="71" t="e" cm="1">
        <f t="array" ref="G50" xml:space="preserve">
(+IFERROR(SUM(
_xlfn._xlws.FILTER(Table_Main[Số lượng],
(Table_Main[Mã SKU] = $B50) *
NOT(ISBLANK(Table_Main[Đơn bán]))*
(Table_Main[Loại] = "Xuất")*
(Table_Main[Ngày lên đơn] &gt;= BCQT_BatDau)*
(Table_Main[Ngày lên đơn] &lt; BCQT_KetThuc)*
(Table_Main[Tháng lên đơn] = G$1)
)),0)
-IFERROR(SUM(
_xlfn._xlws.FILTER(Table_Main[Số lượng],
(Table_Main[Mã SKU] = $B50) *
NOT(ISBLANK(Table_Main[Đơn bán]))*
(Table_Main[Loại] = "Nhập")*
(Table_Main[Ngày lên đơn] &gt;= BCQT_BatDau)*
(Table_Main[Ngày lên đơn] &lt; BCQT_KetThuc)*
(Table_Main[Tháng lên đơn] = G$1)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H50" s="71" t="e" cm="1">
        <f t="array" ref="H50" xml:space="preserve">
(+IFERROR(SUM(
_xlfn._xlws.FILTER(Table_Main[Số lượng],
(Table_Main[Mã SKU] = $B50) *
NOT(ISBLANK(Table_Main[Đơn bán]))*
(Table_Main[Loại] = "Xuất")*
(Table_Main[Ngày lên đơn] &gt;= BCQT_BatDau)*
(Table_Main[Ngày lên đơn] &lt; BCQT_KetThuc)*
(Table_Main[Tháng lên đơn] = H$1)
)),0)
-IFERROR(SUM(
_xlfn._xlws.FILTER(Table_Main[Số lượng],
(Table_Main[Mã SKU] = $B50) *
NOT(ISBLANK(Table_Main[Đơn bán]))*
(Table_Main[Loại] = "Nhập")*
(Table_Main[Ngày lên đơn] &gt;= BCQT_BatDau)*
(Table_Main[Ngày lên đơn] &lt; BCQT_KetThuc)*
(Table_Main[Tháng lên đơn] = H$1)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I50" s="71" t="e" cm="1">
        <f t="array" ref="I50" xml:space="preserve">
(+IFERROR(SUM(
_xlfn._xlws.FILTER(Table_Main[Số lượng],
(Table_Main[Mã SKU] = $B50) *
NOT(ISBLANK(Table_Main[Đơn bán]))*
(Table_Main[Loại] = "Xuất")*
(Table_Main[Ngày lên đơn] &gt;= BCQT_BatDau)*
(Table_Main[Ngày lên đơn] &lt; BCQT_KetThuc)*
(Table_Main[Tháng lên đơn] = I$1)
)),0)
-IFERROR(SUM(
_xlfn._xlws.FILTER(Table_Main[Số lượng],
(Table_Main[Mã SKU] = $B50) *
NOT(ISBLANK(Table_Main[Đơn bán]))*
(Table_Main[Loại] = "Nhập")*
(Table_Main[Ngày lên đơn] &gt;= BCQT_BatDau)*
(Table_Main[Ngày lên đơn] &lt; BCQT_KetThuc)*
(Table_Main[Tháng lên đơn] = I$1)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J50" s="71" t="e" cm="1">
        <f t="array" ref="J50" xml:space="preserve">
(+IFERROR(SUM(
_xlfn._xlws.FILTER(Table_Main[Số lượng],
(Table_Main[Mã SKU] = $B50) *
NOT(ISBLANK(Table_Main[Đơn bán]))*
(Table_Main[Loại] = "Xuất")*
(Table_Main[Ngày lên đơn] &gt;= BCQT_BatDau)*
(Table_Main[Ngày lên đơn] &lt; BCQT_KetThuc)*
(Table_Main[Tháng lên đơn] = J$1)
)),0)
-IFERROR(SUM(
_xlfn._xlws.FILTER(Table_Main[Số lượng],
(Table_Main[Mã SKU] = $B50) *
NOT(ISBLANK(Table_Main[Đơn bán]))*
(Table_Main[Loại] = "Nhập")*
(Table_Main[Ngày lên đơn] &gt;= BCQT_BatDau)*
(Table_Main[Ngày lên đơn] &lt; BCQT_KetThuc)*
(Table_Main[Tháng lên đơn] = J$1)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K50" s="71" t="e" cm="1">
        <f t="array" ref="K50" xml:space="preserve">
(+IFERROR(SUM(
_xlfn._xlws.FILTER(Table_Main[Số lượng],
(Table_Main[Mã SKU] = $B50) *
NOT(ISBLANK(Table_Main[Đơn bán]))*
(Table_Main[Loại] = "Xuất")*
(Table_Main[Ngày lên đơn] &gt;= BCQT_BatDau)*
(Table_Main[Ngày lên đơn] &lt; BCQT_KetThuc)*
(Table_Main[Tháng lên đơn] = K$1)
)),0)
-IFERROR(SUM(
_xlfn._xlws.FILTER(Table_Main[Số lượng],
(Table_Main[Mã SKU] = $B50) *
NOT(ISBLANK(Table_Main[Đơn bán]))*
(Table_Main[Loại] = "Nhập")*
(Table_Main[Ngày lên đơn] &gt;= BCQT_BatDau)*
(Table_Main[Ngày lên đơn] &lt; BCQT_KetThuc)*
(Table_Main[Tháng lên đơn] = K$1)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L50" s="71" t="e" cm="1">
        <f t="array" ref="L50" xml:space="preserve">
(+IFERROR(SUM(
_xlfn._xlws.FILTER(Table_Main[Số lượng],
(Table_Main[Mã SKU] = $B50) *
NOT(ISBLANK(Table_Main[Đơn bán]))*
(Table_Main[Loại] = "Xuất")*
(Table_Main[Ngày lên đơn] &gt;= BCQT_BatDau)*
(Table_Main[Ngày lên đơn] &lt; BCQT_KetThuc)*
(Table_Main[Tháng lên đơn] = L$1)
)),0)
-IFERROR(SUM(
_xlfn._xlws.FILTER(Table_Main[Số lượng],
(Table_Main[Mã SKU] = $B50) *
NOT(ISBLANK(Table_Main[Đơn bán]))*
(Table_Main[Loại] = "Nhập")*
(Table_Main[Ngày lên đơn] &gt;= BCQT_BatDau)*
(Table_Main[Ngày lên đơn] &lt; BCQT_KetThuc)*
(Table_Main[Tháng lên đơn] = L$1)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M50" s="71" t="e" cm="1">
        <f t="array" ref="M50" xml:space="preserve">
(+IFERROR(SUM(
_xlfn._xlws.FILTER(Table_Main[Số lượng],
(Table_Main[Mã SKU] = $B50) *
NOT(ISBLANK(Table_Main[Đơn bán]))*
(Table_Main[Loại] = "Xuất")*
(Table_Main[Ngày lên đơn] &gt;= BCQT_BatDau)*
(Table_Main[Ngày lên đơn] &lt; BCQT_KetThuc)*
(Table_Main[Tháng lên đơn] = M$1)
)),0)
-IFERROR(SUM(
_xlfn._xlws.FILTER(Table_Main[Số lượng],
(Table_Main[Mã SKU] = $B50) *
NOT(ISBLANK(Table_Main[Đơn bán]))*
(Table_Main[Loại] = "Nhập")*
(Table_Main[Ngày lên đơn] &gt;= BCQT_BatDau)*
(Table_Main[Ngày lên đơn] &lt; BCQT_KetThuc)*
(Table_Main[Tháng lên đơn] = M$1)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N50" s="71" t="e" cm="1">
        <f t="array" ref="N50" xml:space="preserve">
(+IFERROR(SUM(
_xlfn._xlws.FILTER(Table_Main[Số lượng],
(Table_Main[Mã SKU] = $B50) *
NOT(ISBLANK(Table_Main[Đơn bán]))*
(Table_Main[Loại] = "Xuất")*
(Table_Main[Ngày lên đơn] &gt;= BCQT_BatDau)*
(Table_Main[Ngày lên đơn] &lt; BCQT_KetThuc)*
(Table_Main[Tháng lên đơn] = N$1)
)),0)
-IFERROR(SUM(
_xlfn._xlws.FILTER(Table_Main[Số lượng],
(Table_Main[Mã SKU] = $B50) *
NOT(ISBLANK(Table_Main[Đơn bán]))*
(Table_Main[Loại] = "Nhập")*
(Table_Main[Ngày lên đơn] &gt;= BCQT_BatDau)*
(Table_Main[Ngày lên đơn] &lt; BCQT_KetThuc)*
(Table_Main[Tháng lên đơn] = N$1)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O50" s="71" t="e" cm="1">
        <f t="array" ref="O50" xml:space="preserve">
(+IFERROR(SUM(
_xlfn._xlws.FILTER(Table_Main[Số lượng],
(Table_Main[Mã SKU] = $B50) *
NOT(ISBLANK(Table_Main[Đơn bán]))*
(Table_Main[Loại] = "Xuất")*
(Table_Main[Ngày lên đơn] &gt;= BCQT_BatDau)*
(Table_Main[Ngày lên đơn] &lt; BCQT_KetThuc)*
(Table_Main[Tháng lên đơn] = O$1)
)),0)
-IFERROR(SUM(
_xlfn._xlws.FILTER(Table_Main[Số lượng],
(Table_Main[Mã SKU] = $B50) *
NOT(ISBLANK(Table_Main[Đơn bán]))*
(Table_Main[Loại] = "Nhập")*
(Table_Main[Ngày lên đơn] &gt;= BCQT_BatDau)*
(Table_Main[Ngày lên đơn] &lt; BCQT_KetThuc)*
(Table_Main[Tháng lên đơn] = O$1)
)),0)) /
(+IFERROR(SUM(
_xlfn._xlws.FILTER(Table_Main[Số lượng],
(Table_Main[Mã SKU] = $B50) *
NOT(ISBLANK(Table_Main[Đơn bán]))*
(Table_Main[Loại] = "Xuất")*
(Table_Main[Ngày lên đơn] &gt;= BCQT_BatDau)*
(Table_Main[Ngày lên đơn] &lt; BCQT_KetThuc)
)),0)
-IFERROR(SUM(
_xlfn._xlws.FILTER(Table_Main[Số lượng],
(Table_Main[Mã SKU] = $B50) *
NOT(ISBLANK(Table_Main[Đơn bán]))*
(Table_Main[Loại] = "Nhập")*
(Table_Main[Ngày lên đơn] &gt;= BCQT_BatDau)*
(Table_Main[Ngày lên đơn] &lt; BCQT_KetThuc)
)),0))</f>
        <v>#DIV/0!</v>
      </c>
      <c r="P50" s="71"/>
      <c r="R50" s="12"/>
      <c r="S50" s="12"/>
      <c r="T50" s="12"/>
      <c r="V50" s="12"/>
      <c r="W50" s="12"/>
      <c r="X50" s="12"/>
    </row>
    <row r="51" spans="2:25" s="53" customFormat="1" ht="18" customHeight="1" x14ac:dyDescent="0.3">
      <c r="B51" s="7"/>
      <c r="C51" s="27"/>
      <c r="D51" s="7"/>
      <c r="E51" s="7"/>
      <c r="F51" s="7"/>
      <c r="G51" s="7"/>
      <c r="H51" s="7"/>
      <c r="I51" s="7"/>
      <c r="J51" s="7"/>
      <c r="K51" s="7"/>
      <c r="L51" s="7"/>
      <c r="M51" s="7"/>
      <c r="N51" s="7"/>
      <c r="O51" s="7"/>
      <c r="P51" s="7"/>
      <c r="R51" s="12"/>
      <c r="S51" s="12"/>
      <c r="T51" s="12"/>
      <c r="V51" s="12"/>
      <c r="W51" s="12"/>
      <c r="X51" s="12"/>
    </row>
    <row r="52" spans="2:25" s="53" customFormat="1" ht="18" customHeight="1" x14ac:dyDescent="0.3">
      <c r="B52" s="54" t="s">
        <v>1038</v>
      </c>
      <c r="C52" s="27"/>
      <c r="D52" s="7"/>
      <c r="E52" s="7"/>
      <c r="F52" s="7"/>
      <c r="G52" s="7"/>
      <c r="H52" s="7"/>
      <c r="I52" s="7"/>
      <c r="J52" s="7"/>
      <c r="K52" s="7"/>
      <c r="L52" s="7"/>
      <c r="M52" s="7"/>
      <c r="N52" s="7"/>
      <c r="O52" s="7"/>
      <c r="P52" s="7"/>
      <c r="R52" s="7"/>
      <c r="S52" s="7"/>
      <c r="T52" s="12"/>
      <c r="V52" s="7"/>
      <c r="X52" s="12"/>
    </row>
    <row r="53" spans="2:25" s="53" customFormat="1" ht="18" customHeight="1" x14ac:dyDescent="0.3">
      <c r="B53" s="12" t="s">
        <v>323</v>
      </c>
      <c r="C53" s="480" t="s">
        <v>267</v>
      </c>
      <c r="D53" s="480" t="s">
        <v>268</v>
      </c>
      <c r="E53" s="480" t="s">
        <v>269</v>
      </c>
      <c r="F53" s="480" t="s">
        <v>270</v>
      </c>
      <c r="G53" s="480" t="s">
        <v>271</v>
      </c>
      <c r="H53" s="480" t="s">
        <v>272</v>
      </c>
      <c r="I53" s="480" t="s">
        <v>273</v>
      </c>
      <c r="J53" s="480" t="s">
        <v>274</v>
      </c>
      <c r="K53" s="480" t="s">
        <v>275</v>
      </c>
      <c r="L53" s="480" t="s">
        <v>276</v>
      </c>
      <c r="M53" s="480" t="s">
        <v>277</v>
      </c>
      <c r="N53" s="480" t="s">
        <v>278</v>
      </c>
      <c r="O53" s="480" t="s">
        <v>279</v>
      </c>
      <c r="P53" s="481" t="s">
        <v>873</v>
      </c>
      <c r="Q53" s="7"/>
      <c r="R53" s="12"/>
      <c r="S53" s="12"/>
      <c r="T53" s="12"/>
      <c r="U53" s="7"/>
      <c r="V53" s="12"/>
      <c r="W53" s="12"/>
      <c r="X53" s="12"/>
    </row>
    <row r="54" spans="2:25" ht="18" customHeight="1" x14ac:dyDescent="0.3">
      <c r="C54" s="15" t="e" cm="1">
        <f t="array" ref="C54" xml:space="preserve">
(+IFERROR(SUM(
_xlfn._xlws.FILTER(Table_Main[Số lượng],
(Table_Main[Mã SKU] = $B54) *
NOT(ISBLANK(Table_Main[Đơn bán]))*
(Table_Main[Loại] = "Xuất")*
(Table_Main[Ngày lên đơn] &gt;= BCQT_BatDau)*
(Table_Main[Ngày lên đơn] &lt; BCQT_KetThuc)
)),0)
-IFERROR(SUM(
_xlfn._xlws.FILTER(Table_Main[Số lượng],
(Table_Main[Mã SKU] = $B54) *
NOT(ISBLANK(Table_Main[Đơn bán]))*
(Table_Main[Loại] = "Nhập")*
(Table_Main[Ngày lên đơn] &gt;= BCQT_BatDau)*
(Table_Main[Ngày lên đơn] &lt; BCQT_KetThuc)
)),0)) /
ROUND((BCQT_KetThuc-BCQT_BatDau)/(365.25/12),0)</f>
        <v>#DIV/0!</v>
      </c>
      <c r="D54" s="15"/>
      <c r="E54" s="15"/>
      <c r="F54" s="15"/>
      <c r="G54" s="15"/>
      <c r="H54" s="15"/>
      <c r="I54" s="15"/>
      <c r="J54" s="15"/>
      <c r="K54" s="15"/>
      <c r="L54" s="15"/>
      <c r="M54" s="15"/>
      <c r="N54" s="15"/>
      <c r="O54" s="15"/>
      <c r="P54" s="15"/>
    </row>
    <row r="55" spans="2:25" s="53" customFormat="1" ht="18" customHeight="1" x14ac:dyDescent="0.3">
      <c r="B55" s="28" t="s">
        <v>69</v>
      </c>
      <c r="C55" s="18" t="e">
        <f>SUM(Table_KeHoach_SanLuong[Tham chiếu])</f>
        <v>#DIV/0!</v>
      </c>
      <c r="D55" s="18">
        <f>SUM(Table_KeHoach_SanLuong[Tháng 1])</f>
        <v>0</v>
      </c>
      <c r="E55" s="18">
        <f>SUM(Table_KeHoach_SanLuong[Tháng 2])</f>
        <v>0</v>
      </c>
      <c r="F55" s="18">
        <f>SUM(Table_KeHoach_SanLuong[Tháng 3])</f>
        <v>0</v>
      </c>
      <c r="G55" s="18">
        <f>SUM(Table_KeHoach_SanLuong[Tháng 4])</f>
        <v>0</v>
      </c>
      <c r="H55" s="18">
        <f>SUM(Table_KeHoach_SanLuong[Tháng 5])</f>
        <v>0</v>
      </c>
      <c r="I55" s="18">
        <f>SUM(Table_KeHoach_SanLuong[Tháng 6])</f>
        <v>0</v>
      </c>
      <c r="J55" s="18">
        <f>SUM(Table_KeHoach_SanLuong[Tháng 7])</f>
        <v>0</v>
      </c>
      <c r="K55" s="18">
        <f>SUM(Table_KeHoach_SanLuong[Tháng 8])</f>
        <v>0</v>
      </c>
      <c r="L55" s="18">
        <f>SUM(Table_KeHoach_SanLuong[Tháng 9])</f>
        <v>0</v>
      </c>
      <c r="M55" s="18">
        <f>SUM(Table_KeHoach_SanLuong[Tháng 10])</f>
        <v>0</v>
      </c>
      <c r="N55" s="18">
        <f>SUM(Table_KeHoach_SanLuong[Tháng 11])</f>
        <v>0</v>
      </c>
      <c r="O55" s="18">
        <f>SUM(Table_KeHoach_SanLuong[Tháng 12])</f>
        <v>0</v>
      </c>
      <c r="P55" s="18"/>
      <c r="R55" s="7"/>
      <c r="S55" s="7"/>
      <c r="T55" s="7"/>
      <c r="V55" s="7"/>
      <c r="W55" s="7"/>
      <c r="X55" s="7"/>
    </row>
    <row r="56" spans="2:25" s="53" customFormat="1" ht="18" customHeight="1" x14ac:dyDescent="0.3">
      <c r="B56" s="7"/>
      <c r="C56" s="27"/>
      <c r="D56" s="7"/>
      <c r="E56" s="7"/>
      <c r="F56" s="7"/>
      <c r="G56" s="7"/>
      <c r="H56" s="7"/>
      <c r="I56" s="7"/>
      <c r="J56" s="7"/>
      <c r="K56" s="7"/>
      <c r="L56" s="7"/>
      <c r="M56" s="7"/>
      <c r="N56" s="7"/>
      <c r="O56" s="7"/>
      <c r="P56" s="7"/>
      <c r="T56" s="7"/>
      <c r="X56" s="7"/>
    </row>
    <row r="57" spans="2:25" s="53" customFormat="1" ht="18" customHeight="1" x14ac:dyDescent="0.3">
      <c r="B57" s="7" t="s">
        <v>1035</v>
      </c>
      <c r="C57" s="7"/>
      <c r="D57" s="7"/>
      <c r="E57" s="7"/>
      <c r="F57" s="7"/>
      <c r="G57" s="7"/>
      <c r="H57" s="7"/>
      <c r="I57" s="7"/>
      <c r="J57" s="7"/>
      <c r="K57" s="7"/>
      <c r="L57" s="7"/>
      <c r="M57" s="7"/>
      <c r="N57" s="7"/>
      <c r="O57" s="7"/>
      <c r="P57" s="7"/>
      <c r="R57" s="7"/>
      <c r="S57" s="7"/>
      <c r="V57" s="12"/>
      <c r="W57" s="12"/>
    </row>
    <row r="58" spans="2:25" s="53" customFormat="1" ht="18" customHeight="1" x14ac:dyDescent="0.3">
      <c r="B58" s="7" t="s">
        <v>324</v>
      </c>
      <c r="C58" s="480" t="s">
        <v>267</v>
      </c>
      <c r="D58" s="480" t="s">
        <v>268</v>
      </c>
      <c r="E58" s="480" t="s">
        <v>269</v>
      </c>
      <c r="F58" s="480" t="s">
        <v>270</v>
      </c>
      <c r="G58" s="480" t="s">
        <v>271</v>
      </c>
      <c r="H58" s="480" t="s">
        <v>272</v>
      </c>
      <c r="I58" s="480" t="s">
        <v>273</v>
      </c>
      <c r="J58" s="480" t="s">
        <v>274</v>
      </c>
      <c r="K58" s="480" t="s">
        <v>275</v>
      </c>
      <c r="L58" s="480" t="s">
        <v>276</v>
      </c>
      <c r="M58" s="480" t="s">
        <v>277</v>
      </c>
      <c r="N58" s="480" t="s">
        <v>278</v>
      </c>
      <c r="O58" s="480" t="s">
        <v>279</v>
      </c>
      <c r="P58" s="481" t="s">
        <v>873</v>
      </c>
      <c r="Q58" s="7"/>
      <c r="R58" s="7"/>
      <c r="S58" s="7"/>
      <c r="T58" s="7"/>
      <c r="U58" s="12"/>
      <c r="V58" s="7"/>
      <c r="W58" s="7"/>
      <c r="X58" s="7"/>
    </row>
    <row r="59" spans="2:25" s="53" customFormat="1" ht="18" customHeight="1" x14ac:dyDescent="0.3">
      <c r="B59" s="7"/>
      <c r="C59" s="15" cm="1">
        <f t="array" ref="C59">+IFERROR(
SUM(
_xlfn._xlws.FILTER(Table_Main[Thành tiền niêm yết],
(Table_Main[Mã SKU] = $B59) *
NOT(ISBLANK(Table_Main[Đơn bán]))*
(Table_Main[Loại] = "Xuất")*
(Table_Main[Ngày lên đơn] &gt;= BCQT_BatDau)*
(Table_Main[Ngày lên đơn] &lt; BCQT_KetThuc)
)) /
SUM(
_xlfn._xlws.FILTER(Table_Main[Số lượng],
(Table_Main[Mã SKU] = $B59) *
NOT(ISBLANK(Table_Main[Đơn bán]))*
(Table_Main[Loại] = "Xuất")*
(Table_Main[Ngày lên đơn] &gt;= BCQT_BatDau)*
(Table_Main[Ngày lên đơn] &lt; BCQT_KetThuc)
)),0)</f>
        <v>0</v>
      </c>
      <c r="D59" s="15"/>
      <c r="E59" s="15"/>
      <c r="F59" s="15"/>
      <c r="G59" s="15"/>
      <c r="H59" s="15"/>
      <c r="I59" s="15"/>
      <c r="J59" s="15"/>
      <c r="K59" s="15"/>
      <c r="L59" s="15"/>
      <c r="M59" s="15"/>
      <c r="N59" s="15"/>
      <c r="O59" s="15"/>
      <c r="P59" s="15"/>
      <c r="R59" s="7"/>
      <c r="S59" s="7"/>
      <c r="T59" s="7"/>
      <c r="V59" s="7"/>
      <c r="W59" s="7"/>
      <c r="X59" s="7"/>
    </row>
    <row r="60" spans="2:25" ht="18" customHeight="1" x14ac:dyDescent="0.3">
      <c r="R60" s="12"/>
      <c r="S60" s="12"/>
      <c r="V60" s="12"/>
      <c r="W60" s="12"/>
    </row>
    <row r="61" spans="2:25" s="53" customFormat="1" ht="18" customHeight="1" x14ac:dyDescent="0.3">
      <c r="B61" s="7" t="s">
        <v>1036</v>
      </c>
      <c r="C61" s="7"/>
      <c r="D61" s="7"/>
      <c r="E61" s="7"/>
      <c r="F61" s="7"/>
      <c r="G61" s="7"/>
      <c r="H61" s="7"/>
      <c r="I61" s="7"/>
      <c r="J61" s="7"/>
      <c r="K61" s="7"/>
      <c r="L61" s="7"/>
      <c r="M61" s="7"/>
      <c r="N61" s="7"/>
      <c r="O61" s="7"/>
      <c r="P61" s="7"/>
      <c r="R61" s="7"/>
      <c r="S61" s="7"/>
      <c r="V61" s="12"/>
      <c r="W61" s="12"/>
    </row>
    <row r="62" spans="2:25" s="53" customFormat="1" ht="18" customHeight="1" x14ac:dyDescent="0.3">
      <c r="B62" s="46" t="s">
        <v>1269</v>
      </c>
      <c r="C62" s="480" t="s">
        <v>267</v>
      </c>
      <c r="D62" s="480" t="s">
        <v>268</v>
      </c>
      <c r="E62" s="480" t="s">
        <v>269</v>
      </c>
      <c r="F62" s="480" t="s">
        <v>270</v>
      </c>
      <c r="G62" s="480" t="s">
        <v>271</v>
      </c>
      <c r="H62" s="480" t="s">
        <v>272</v>
      </c>
      <c r="I62" s="480" t="s">
        <v>273</v>
      </c>
      <c r="J62" s="480" t="s">
        <v>274</v>
      </c>
      <c r="K62" s="480" t="s">
        <v>275</v>
      </c>
      <c r="L62" s="480" t="s">
        <v>276</v>
      </c>
      <c r="M62" s="480" t="s">
        <v>277</v>
      </c>
      <c r="N62" s="480" t="s">
        <v>278</v>
      </c>
      <c r="O62" s="480" t="s">
        <v>279</v>
      </c>
      <c r="P62" s="481" t="s">
        <v>873</v>
      </c>
      <c r="Q62" s="7"/>
      <c r="R62" s="7"/>
      <c r="S62" s="7"/>
      <c r="T62" s="7"/>
      <c r="U62" s="12"/>
      <c r="V62" s="7"/>
      <c r="W62" s="7"/>
      <c r="X62" s="7"/>
    </row>
    <row r="63" spans="2:25" s="53" customFormat="1" ht="18" customHeight="1" x14ac:dyDescent="0.3">
      <c r="B63" s="7"/>
      <c r="C63" s="18" t="e" cm="1">
        <f t="array" ref="C63" xml:space="preserve">
(+IFERROR(SUM(
_xlfn._xlws.FILTER(Table_Main[Giá trị bán trước VAT],
(Table_Main[Mã SKU] = $B63) *
NOT(ISBLANK(Table_Main[Đơn bán]))*
(Table_Main[Loại] = "Xuất")*
(Table_Main[Ngày lên đơn] &gt;= BCQT_BatDau)*
(Table_Main[Ngày lên đơn] &lt; BCQT_KetThuc)
)),0)
-IFERROR(SUM(
_xlfn._xlws.FILTER(Table_Main[Giá trị bán trước VAT],
(Table_Main[Mã SKU] = $B63) *
NOT(ISBLANK(Table_Main[Đơn bán]))*
(Table_Main[Loại] = "Nhập")*
(Table_Main[Ngày lên đơn] &gt;= BCQT_BatDau)*
(Table_Main[Ngày lên đơn] &lt; BCQT_KetThuc)
)),0)) /
ROUND((BCQT_KetThuc-BCQT_BatDau)/(365.25/12),0)</f>
        <v>#DIV/0!</v>
      </c>
      <c r="D63" s="18" t="e">
        <f xml:space="preserve">
INDEX(Table_KeHoach_SanLuong[[#Headers],[#Data]],
MATCH(Table_KeHoach_DoanhThu[[#This Row],[Kế hoạch doanh thu gộp]],Table_KeHoach_SanLuong[[#Headers],[#Data],[Kế hoạch sản lượng]],0),
MATCH(D$53,Table_KeHoach_SanLuong[#Headers],0)) *
INDEX(Table_KeHoach_Gia[#All],
MATCH(Table_KeHoach_DoanhThu[[#This Row],[Kế hoạch doanh thu gộp]],Table_KeHoach_Gia[[#All],[Kế hoạch giá niêm yết thành phẩm]],0),
MATCH(D$62,Table_KeHoach_Gia[#Headers],0))</f>
        <v>#N/A</v>
      </c>
      <c r="E63" s="18" t="e">
        <f xml:space="preserve">
INDEX(Table_KeHoach_SanLuong[[#Headers],[#Data]],
MATCH(Table_KeHoach_DoanhThu[[#This Row],[Kế hoạch doanh thu gộp]],Table_KeHoach_SanLuong[[#Headers],[#Data],[Kế hoạch sản lượng]],0),
MATCH(E$53,Table_KeHoach_SanLuong[#Headers],0)) *
INDEX(Table_KeHoach_Gia[#All],
MATCH(Table_KeHoach_DoanhThu[[#This Row],[Kế hoạch doanh thu gộp]],Table_KeHoach_Gia[[#All],[Kế hoạch giá niêm yết thành phẩm]],0),
MATCH(E$62,Table_KeHoach_Gia[#Headers],0))</f>
        <v>#N/A</v>
      </c>
      <c r="F63" s="18" t="e">
        <f xml:space="preserve">
INDEX(Table_KeHoach_SanLuong[[#Headers],[#Data]],
MATCH(Table_KeHoach_DoanhThu[[#This Row],[Kế hoạch doanh thu gộp]],Table_KeHoach_SanLuong[[#Headers],[#Data],[Kế hoạch sản lượng]],0),
MATCH(F$53,Table_KeHoach_SanLuong[#Headers],0)) *
INDEX(Table_KeHoach_Gia[#All],
MATCH(Table_KeHoach_DoanhThu[[#This Row],[Kế hoạch doanh thu gộp]],Table_KeHoach_Gia[[#All],[Kế hoạch giá niêm yết thành phẩm]],0),
MATCH(F$62,Table_KeHoach_Gia[#Headers],0))</f>
        <v>#N/A</v>
      </c>
      <c r="G63" s="18" t="e">
        <f xml:space="preserve">
INDEX(Table_KeHoach_SanLuong[[#Headers],[#Data]],
MATCH(Table_KeHoach_DoanhThu[[#This Row],[Kế hoạch doanh thu gộp]],Table_KeHoach_SanLuong[[#Headers],[#Data],[Kế hoạch sản lượng]],0),
MATCH(G$53,Table_KeHoach_SanLuong[#Headers],0)) *
INDEX(Table_KeHoach_Gia[#All],
MATCH(Table_KeHoach_DoanhThu[[#This Row],[Kế hoạch doanh thu gộp]],Table_KeHoach_Gia[[#All],[Kế hoạch giá niêm yết thành phẩm]],0),
MATCH(G$62,Table_KeHoach_Gia[#Headers],0))</f>
        <v>#N/A</v>
      </c>
      <c r="H63" s="18" t="e">
        <f xml:space="preserve">
INDEX(Table_KeHoach_SanLuong[[#Headers],[#Data]],
MATCH(Table_KeHoach_DoanhThu[[#This Row],[Kế hoạch doanh thu gộp]],Table_KeHoach_SanLuong[[#Headers],[#Data],[Kế hoạch sản lượng]],0),
MATCH(H$53,Table_KeHoach_SanLuong[#Headers],0)) *
INDEX(Table_KeHoach_Gia[#All],
MATCH(Table_KeHoach_DoanhThu[[#This Row],[Kế hoạch doanh thu gộp]],Table_KeHoach_Gia[[#All],[Kế hoạch giá niêm yết thành phẩm]],0),
MATCH(H$62,Table_KeHoach_Gia[#Headers],0))</f>
        <v>#N/A</v>
      </c>
      <c r="I63" s="18" t="e">
        <f xml:space="preserve">
INDEX(Table_KeHoach_SanLuong[[#Headers],[#Data]],
MATCH(Table_KeHoach_DoanhThu[[#This Row],[Kế hoạch doanh thu gộp]],Table_KeHoach_SanLuong[[#Headers],[#Data],[Kế hoạch sản lượng]],0),
MATCH(I$53,Table_KeHoach_SanLuong[#Headers],0)) *
INDEX(Table_KeHoach_Gia[#All],
MATCH(Table_KeHoach_DoanhThu[[#This Row],[Kế hoạch doanh thu gộp]],Table_KeHoach_Gia[[#All],[Kế hoạch giá niêm yết thành phẩm]],0),
MATCH(I$62,Table_KeHoach_Gia[#Headers],0))</f>
        <v>#N/A</v>
      </c>
      <c r="J63" s="18" t="e">
        <f xml:space="preserve">
INDEX(Table_KeHoach_SanLuong[[#Headers],[#Data]],
MATCH(Table_KeHoach_DoanhThu[[#This Row],[Kế hoạch doanh thu gộp]],Table_KeHoach_SanLuong[[#Headers],[#Data],[Kế hoạch sản lượng]],0),
MATCH(J$53,Table_KeHoach_SanLuong[#Headers],0)) *
INDEX(Table_KeHoach_Gia[#All],
MATCH(Table_KeHoach_DoanhThu[[#This Row],[Kế hoạch doanh thu gộp]],Table_KeHoach_Gia[[#All],[Kế hoạch giá niêm yết thành phẩm]],0),
MATCH(J$62,Table_KeHoach_Gia[#Headers],0))</f>
        <v>#N/A</v>
      </c>
      <c r="K63" s="18" t="e">
        <f xml:space="preserve">
INDEX(Table_KeHoach_SanLuong[[#Headers],[#Data]],
MATCH(Table_KeHoach_DoanhThu[[#This Row],[Kế hoạch doanh thu gộp]],Table_KeHoach_SanLuong[[#Headers],[#Data],[Kế hoạch sản lượng]],0),
MATCH(K$53,Table_KeHoach_SanLuong[#Headers],0)) *
INDEX(Table_KeHoach_Gia[#All],
MATCH(Table_KeHoach_DoanhThu[[#This Row],[Kế hoạch doanh thu gộp]],Table_KeHoach_Gia[[#All],[Kế hoạch giá niêm yết thành phẩm]],0),
MATCH(K$62,Table_KeHoach_Gia[#Headers],0))</f>
        <v>#N/A</v>
      </c>
      <c r="L63" s="18" t="e">
        <f xml:space="preserve">
INDEX(Table_KeHoach_SanLuong[[#Headers],[#Data]],
MATCH(Table_KeHoach_DoanhThu[[#This Row],[Kế hoạch doanh thu gộp]],Table_KeHoach_SanLuong[[#Headers],[#Data],[Kế hoạch sản lượng]],0),
MATCH(L$53,Table_KeHoach_SanLuong[#Headers],0)) *
INDEX(Table_KeHoach_Gia[#All],
MATCH(Table_KeHoach_DoanhThu[[#This Row],[Kế hoạch doanh thu gộp]],Table_KeHoach_Gia[[#All],[Kế hoạch giá niêm yết thành phẩm]],0),
MATCH(L$62,Table_KeHoach_Gia[#Headers],0))</f>
        <v>#N/A</v>
      </c>
      <c r="M63" s="18" t="e">
        <f xml:space="preserve">
INDEX(Table_KeHoach_SanLuong[[#Headers],[#Data]],
MATCH(Table_KeHoach_DoanhThu[[#This Row],[Kế hoạch doanh thu gộp]],Table_KeHoach_SanLuong[[#Headers],[#Data],[Kế hoạch sản lượng]],0),
MATCH(M$53,Table_KeHoach_SanLuong[#Headers],0)) *
INDEX(Table_KeHoach_Gia[#All],
MATCH(Table_KeHoach_DoanhThu[[#This Row],[Kế hoạch doanh thu gộp]],Table_KeHoach_Gia[[#All],[Kế hoạch giá niêm yết thành phẩm]],0),
MATCH(M$62,Table_KeHoach_Gia[#Headers],0))</f>
        <v>#N/A</v>
      </c>
      <c r="N63" s="18" t="e">
        <f xml:space="preserve">
INDEX(Table_KeHoach_SanLuong[[#Headers],[#Data]],
MATCH(Table_KeHoach_DoanhThu[[#This Row],[Kế hoạch doanh thu gộp]],Table_KeHoach_SanLuong[[#Headers],[#Data],[Kế hoạch sản lượng]],0),
MATCH(N$53,Table_KeHoach_SanLuong[#Headers],0)) *
INDEX(Table_KeHoach_Gia[#All],
MATCH(Table_KeHoach_DoanhThu[[#This Row],[Kế hoạch doanh thu gộp]],Table_KeHoach_Gia[[#All],[Kế hoạch giá niêm yết thành phẩm]],0),
MATCH(N$62,Table_KeHoach_Gia[#Headers],0))</f>
        <v>#N/A</v>
      </c>
      <c r="O63" s="18" t="e">
        <f xml:space="preserve">
INDEX(Table_KeHoach_SanLuong[[#Headers],[#Data]],
MATCH(Table_KeHoach_DoanhThu[[#This Row],[Kế hoạch doanh thu gộp]],Table_KeHoach_SanLuong[[#Headers],[#Data],[Kế hoạch sản lượng]],0),
MATCH(O$53,Table_KeHoach_SanLuong[#Headers],0)) *
INDEX(Table_KeHoach_Gia[#All],
MATCH(Table_KeHoach_DoanhThu[[#This Row],[Kế hoạch doanh thu gộp]],Table_KeHoach_Gia[[#All],[Kế hoạch giá niêm yết thành phẩm]],0),
MATCH(O$62,Table_KeHoach_Gia[#Headers],0))</f>
        <v>#N/A</v>
      </c>
      <c r="P63" s="18"/>
      <c r="R63" s="7"/>
      <c r="S63" s="7"/>
      <c r="T63" s="7"/>
      <c r="U63" s="7"/>
      <c r="V63" s="7"/>
      <c r="W63" s="7"/>
      <c r="X63" s="7"/>
      <c r="Y63" s="7"/>
    </row>
    <row r="64" spans="2:25" s="53" customFormat="1" ht="18" customHeight="1" x14ac:dyDescent="0.3">
      <c r="B64" s="28" t="s">
        <v>69</v>
      </c>
      <c r="C64" s="18" t="e">
        <f>SUM(Table_KeHoach_DoanhThu[Tham chiếu])</f>
        <v>#DIV/0!</v>
      </c>
      <c r="D64" s="18" t="e">
        <f>SUM(Table_KeHoach_DoanhThu[Tháng 1])</f>
        <v>#N/A</v>
      </c>
      <c r="E64" s="18" t="e">
        <f>SUM(Table_KeHoach_DoanhThu[Tháng 2])</f>
        <v>#N/A</v>
      </c>
      <c r="F64" s="18" t="e">
        <f>SUM(Table_KeHoach_DoanhThu[Tháng 3])</f>
        <v>#N/A</v>
      </c>
      <c r="G64" s="18" t="e">
        <f>SUM(Table_KeHoach_DoanhThu[Tháng 4])</f>
        <v>#N/A</v>
      </c>
      <c r="H64" s="18" t="e">
        <f>SUM(Table_KeHoach_DoanhThu[Tháng 5])</f>
        <v>#N/A</v>
      </c>
      <c r="I64" s="18" t="e">
        <f>SUM(Table_KeHoach_DoanhThu[Tháng 6])</f>
        <v>#N/A</v>
      </c>
      <c r="J64" s="18" t="e">
        <f>SUM(Table_KeHoach_DoanhThu[Tháng 7])</f>
        <v>#N/A</v>
      </c>
      <c r="K64" s="18" t="e">
        <f>SUM(Table_KeHoach_DoanhThu[Tháng 8])</f>
        <v>#N/A</v>
      </c>
      <c r="L64" s="18" t="e">
        <f>SUM(Table_KeHoach_DoanhThu[Tháng 9])</f>
        <v>#N/A</v>
      </c>
      <c r="M64" s="18" t="e">
        <f>SUM(Table_KeHoach_DoanhThu[Tháng 10])</f>
        <v>#N/A</v>
      </c>
      <c r="N64" s="18" t="e">
        <f>SUM(Table_KeHoach_DoanhThu[Tháng 11])</f>
        <v>#N/A</v>
      </c>
      <c r="O64" s="18" t="e">
        <f>SUM(Table_KeHoach_DoanhThu[Tháng 12])</f>
        <v>#N/A</v>
      </c>
      <c r="P64" s="18"/>
      <c r="R64" s="7"/>
      <c r="S64" s="7"/>
      <c r="T64" s="7"/>
      <c r="V64" s="7"/>
      <c r="W64" s="7"/>
      <c r="X64" s="7"/>
    </row>
    <row r="65" spans="1:25" s="12" customFormat="1" ht="18" customHeight="1" x14ac:dyDescent="0.3">
      <c r="B65" s="7"/>
      <c r="C65" s="27"/>
      <c r="D65" s="7"/>
      <c r="E65" s="7"/>
      <c r="F65" s="7"/>
      <c r="G65" s="7"/>
      <c r="H65" s="7"/>
      <c r="I65" s="7"/>
      <c r="J65" s="7"/>
      <c r="K65" s="7"/>
      <c r="L65" s="7"/>
      <c r="M65" s="7"/>
      <c r="N65" s="7"/>
      <c r="O65" s="7"/>
      <c r="P65" s="7"/>
      <c r="R65" s="7"/>
      <c r="S65" s="7"/>
      <c r="T65" s="7"/>
      <c r="V65" s="7"/>
      <c r="W65" s="7"/>
      <c r="X65" s="7"/>
    </row>
    <row r="66" spans="1:25" s="12" customFormat="1" ht="18" customHeight="1" x14ac:dyDescent="0.3">
      <c r="B66" s="7" t="s">
        <v>1039</v>
      </c>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325</v>
      </c>
      <c r="C67" s="12" t="s">
        <v>267</v>
      </c>
      <c r="D67" s="16" t="s">
        <v>268</v>
      </c>
      <c r="E67" s="16" t="s">
        <v>269</v>
      </c>
      <c r="F67" s="16" t="s">
        <v>270</v>
      </c>
      <c r="G67" s="16" t="s">
        <v>271</v>
      </c>
      <c r="H67" s="16" t="s">
        <v>272</v>
      </c>
      <c r="I67" s="16" t="s">
        <v>273</v>
      </c>
      <c r="J67" s="16" t="s">
        <v>274</v>
      </c>
      <c r="K67" s="16" t="s">
        <v>275</v>
      </c>
      <c r="L67" s="16" t="s">
        <v>276</v>
      </c>
      <c r="M67" s="16" t="s">
        <v>277</v>
      </c>
      <c r="N67" s="16" t="s">
        <v>278</v>
      </c>
      <c r="O67" s="16" t="s">
        <v>279</v>
      </c>
      <c r="P67" s="4" t="s">
        <v>873</v>
      </c>
      <c r="Q67" s="7"/>
      <c r="R67" s="7"/>
      <c r="S67" s="7"/>
      <c r="T67" s="7"/>
      <c r="U67" s="7"/>
      <c r="V67" s="7"/>
      <c r="W67" s="7"/>
      <c r="X67" s="7"/>
    </row>
    <row r="68" spans="1:25" s="12" customFormat="1" ht="18" customHeight="1" x14ac:dyDescent="0.3">
      <c r="B68" s="7" t="s">
        <v>326</v>
      </c>
      <c r="C68" s="45" t="e" vm="2">
        <f>-C69/SUM(Table_KeHoach_DoanhThu[Tham chiếu])</f>
        <v>#VALUE!</v>
      </c>
      <c r="D68" s="45"/>
      <c r="E68" s="45"/>
      <c r="F68" s="45"/>
      <c r="G68" s="45"/>
      <c r="H68" s="45"/>
      <c r="I68" s="45"/>
      <c r="J68" s="45"/>
      <c r="K68" s="45"/>
      <c r="L68" s="45"/>
      <c r="M68" s="45"/>
      <c r="N68" s="45"/>
      <c r="O68" s="45"/>
      <c r="P68" s="213"/>
      <c r="R68" s="7"/>
      <c r="S68" s="7"/>
      <c r="T68" s="7"/>
      <c r="V68" s="7"/>
      <c r="W68" s="7"/>
      <c r="X68" s="7"/>
    </row>
    <row r="69" spans="1:25" ht="18" customHeight="1" x14ac:dyDescent="0.3">
      <c r="A69" s="211"/>
      <c r="B69" s="52" t="s">
        <v>284</v>
      </c>
      <c r="C69" s="482" t="e" cm="1" vm="1">
        <f t="array" ref="C69">(-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69" s="482">
        <f>IFERROR(-D68*Table_KeHoach_DoanhThu[[#Totals],[Tháng 1]],0)</f>
        <v>0</v>
      </c>
      <c r="E69" s="482">
        <f>IFERROR(-E68*Table_KeHoach_DoanhThu[[#Totals],[Tháng 1]],0)</f>
        <v>0</v>
      </c>
      <c r="F69" s="482">
        <f>IFERROR(-F68*Table_KeHoach_DoanhThu[[#Totals],[Tháng 1]],0)</f>
        <v>0</v>
      </c>
      <c r="G69" s="482">
        <f>IFERROR(-G68*Table_KeHoach_DoanhThu[[#Totals],[Tháng 1]],0)</f>
        <v>0</v>
      </c>
      <c r="H69" s="482">
        <f>IFERROR(-H68*Table_KeHoach_DoanhThu[[#Totals],[Tháng 1]],0)</f>
        <v>0</v>
      </c>
      <c r="I69" s="482">
        <f>IFERROR(-I68*Table_KeHoach_DoanhThu[[#Totals],[Tháng 1]],0)</f>
        <v>0</v>
      </c>
      <c r="J69" s="482">
        <f>IFERROR(-J68*Table_KeHoach_DoanhThu[[#Totals],[Tháng 1]],0)</f>
        <v>0</v>
      </c>
      <c r="K69" s="482">
        <f>IFERROR(-K68*Table_KeHoach_DoanhThu[[#Totals],[Tháng 1]],0)</f>
        <v>0</v>
      </c>
      <c r="L69" s="482">
        <f>IFERROR(-L68*Table_KeHoach_DoanhThu[[#Totals],[Tháng 1]],0)</f>
        <v>0</v>
      </c>
      <c r="M69" s="482">
        <f>IFERROR(-M68*Table_KeHoach_DoanhThu[[#Totals],[Tháng 1]],0)</f>
        <v>0</v>
      </c>
      <c r="N69" s="482">
        <f>IFERROR(-N68*Table_KeHoach_DoanhThu[[#Totals],[Tháng 1]],0)</f>
        <v>0</v>
      </c>
      <c r="O69" s="482">
        <f>IFERROR(-O68*Table_KeHoach_DoanhThu[[#Totals],[Tháng 1]],0)</f>
        <v>0</v>
      </c>
      <c r="P69" s="52"/>
    </row>
    <row r="71" spans="1:25" s="53" customFormat="1" ht="18" customHeight="1" x14ac:dyDescent="0.3">
      <c r="B71" s="7" t="s">
        <v>1040</v>
      </c>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328</v>
      </c>
      <c r="C72" s="480" t="s">
        <v>267</v>
      </c>
      <c r="D72" s="480" t="s">
        <v>268</v>
      </c>
      <c r="E72" s="480" t="s">
        <v>269</v>
      </c>
      <c r="F72" s="480" t="s">
        <v>270</v>
      </c>
      <c r="G72" s="480" t="s">
        <v>271</v>
      </c>
      <c r="H72" s="480" t="s">
        <v>272</v>
      </c>
      <c r="I72" s="480" t="s">
        <v>273</v>
      </c>
      <c r="J72" s="480" t="s">
        <v>274</v>
      </c>
      <c r="K72" s="480" t="s">
        <v>275</v>
      </c>
      <c r="L72" s="480" t="s">
        <v>276</v>
      </c>
      <c r="M72" s="480" t="s">
        <v>277</v>
      </c>
      <c r="N72" s="480" t="s">
        <v>278</v>
      </c>
      <c r="O72" s="480" t="s">
        <v>279</v>
      </c>
      <c r="P72" s="4" t="s">
        <v>873</v>
      </c>
      <c r="Q72" s="7"/>
      <c r="R72" s="7"/>
      <c r="S72" s="7"/>
      <c r="T72" s="7"/>
      <c r="U72" s="7"/>
      <c r="V72" s="7"/>
      <c r="W72" s="7"/>
      <c r="X72" s="7"/>
      <c r="Y72" s="7"/>
    </row>
    <row r="73" spans="1:25" s="12" customFormat="1" ht="18" customHeight="1" x14ac:dyDescent="0.3">
      <c r="B73" s="7"/>
      <c r="C73" s="15" cm="1">
        <f t="array" ref="C73">+IFERROR(
AVERAGE(
_xlfn._xlws.FILTER(Table_Main[Giá trị hàng nhập],
(Table_Main[Mã SKU] = $B73) *
(Table_Main[Ngày lên đơn] &gt;= BCQT_BatDau)*
(Table_Main[Ngày lên đơn] &lt; BCQT_KetThuc)
)) /
AVERAGE(
_xlfn._xlws.FILTER(Table_Main[Số lượng],
(Table_Main[Mã SKU] = $B73) *
(Table_Main[Ngày lên đơn] &gt;= BCQT_BatDau)*
(Table_Main[Ngày lên đơn] &lt; BCQT_KetThuc)
)),0)</f>
        <v>0</v>
      </c>
      <c r="D73" s="15"/>
      <c r="E73" s="15"/>
      <c r="F73" s="15"/>
      <c r="G73" s="15"/>
      <c r="H73" s="15"/>
      <c r="I73" s="15"/>
      <c r="J73" s="15"/>
      <c r="K73" s="15"/>
      <c r="L73" s="15"/>
      <c r="M73" s="15"/>
      <c r="N73" s="15"/>
      <c r="O73" s="15"/>
      <c r="P73" s="212"/>
      <c r="R73" s="7"/>
      <c r="S73" s="7"/>
      <c r="T73" s="7"/>
      <c r="V73" s="7"/>
      <c r="W73" s="7"/>
      <c r="X73" s="7"/>
    </row>
    <row r="74" spans="1:25" s="12" customFormat="1" ht="18" customHeight="1" x14ac:dyDescent="0.3">
      <c r="B74" s="27"/>
      <c r="C74" s="27"/>
      <c r="D74" s="7"/>
      <c r="E74" s="7"/>
      <c r="F74" s="7"/>
      <c r="G74" s="7"/>
      <c r="H74" s="7"/>
      <c r="I74" s="7"/>
      <c r="J74" s="7"/>
      <c r="K74" s="7"/>
      <c r="L74" s="7"/>
      <c r="M74" s="7"/>
      <c r="N74" s="7"/>
      <c r="O74" s="7"/>
      <c r="P74" s="7"/>
      <c r="R74" s="7"/>
      <c r="S74" s="7"/>
      <c r="T74" s="7"/>
      <c r="V74" s="7"/>
      <c r="W74" s="7"/>
      <c r="X74" s="7"/>
    </row>
    <row r="75" spans="1:25" s="12" customFormat="1" ht="18" customHeight="1" x14ac:dyDescent="0.3">
      <c r="B75" s="7" t="s">
        <v>1041</v>
      </c>
      <c r="C75" s="27"/>
      <c r="D75" s="7"/>
      <c r="E75" s="7"/>
      <c r="F75" s="7"/>
      <c r="G75" s="7"/>
      <c r="H75" s="7"/>
      <c r="I75" s="7"/>
      <c r="J75" s="7"/>
      <c r="K75" s="7"/>
      <c r="L75" s="7"/>
      <c r="M75" s="7"/>
      <c r="N75" s="7"/>
      <c r="O75" s="7"/>
      <c r="P75" s="52"/>
      <c r="Q75" s="7"/>
      <c r="R75" s="7"/>
      <c r="S75" s="7"/>
      <c r="T75" s="7"/>
      <c r="U75" s="7"/>
      <c r="V75" s="7"/>
      <c r="W75" s="7"/>
      <c r="X75" s="7"/>
      <c r="Y75" s="7"/>
    </row>
    <row r="76" spans="1:25" s="12" customFormat="1" ht="18" customHeight="1" x14ac:dyDescent="0.3">
      <c r="B76" s="46" t="s">
        <v>329</v>
      </c>
      <c r="C76" s="480" t="s">
        <v>267</v>
      </c>
      <c r="D76" s="480" t="s">
        <v>268</v>
      </c>
      <c r="E76" s="480" t="s">
        <v>269</v>
      </c>
      <c r="F76" s="480" t="s">
        <v>270</v>
      </c>
      <c r="G76" s="480" t="s">
        <v>271</v>
      </c>
      <c r="H76" s="480" t="s">
        <v>272</v>
      </c>
      <c r="I76" s="480" t="s">
        <v>273</v>
      </c>
      <c r="J76" s="480" t="s">
        <v>274</v>
      </c>
      <c r="K76" s="480" t="s">
        <v>275</v>
      </c>
      <c r="L76" s="480" t="s">
        <v>276</v>
      </c>
      <c r="M76" s="480" t="s">
        <v>277</v>
      </c>
      <c r="N76" s="480" t="s">
        <v>278</v>
      </c>
      <c r="O76" s="480" t="s">
        <v>279</v>
      </c>
      <c r="P76" s="4" t="s">
        <v>873</v>
      </c>
      <c r="Q76" s="7"/>
      <c r="R76" s="7"/>
      <c r="S76" s="7"/>
      <c r="T76" s="7"/>
      <c r="U76" s="7"/>
      <c r="V76" s="7"/>
      <c r="W76" s="7"/>
      <c r="X76" s="7"/>
    </row>
    <row r="77" spans="1:25" ht="18" customHeight="1" x14ac:dyDescent="0.3">
      <c r="C77" s="18" t="e" cm="1">
        <f t="array" ref="C77"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7" s="18">
        <f xml:space="preserve">
-IFERROR(
INDEX(Table_KeHoach_SanLuong[[#Headers],[#Data]],
MATCH(Table_KeHoach_ChiPhiSKU[[#This Row],[Kế hoạch chi phí hàng hóa]],Table_KeHoach_SanLuong[[#Headers],[#Data],[Kế hoạch sản lượng]],0),
MATCH(D$76,Table_KeHoach_SanLuong[#Headers],0)) *
INDEX(Table_KeHoach_GiaNhápKU[#All],
MATCH(Table_KeHoach_ChiPhiSKU[[#This Row],[Kế hoạch chi phí hàng hóa]],Table_KeHoach_GiaNhápKU[[#All],[Kế hoạch giá nhập hàng hóa]],0),
MATCH(D$76, Table_KeHoach_GiaNhápKU[#Headers],0)),0)</f>
        <v>0</v>
      </c>
      <c r="E77" s="18">
        <f xml:space="preserve">
-IFERROR(
INDEX(Table_KeHoach_SanLuong[[#Headers],[#Data]],
MATCH(Table_KeHoach_ChiPhiSKU[[#This Row],[Kế hoạch chi phí hàng hóa]],Table_KeHoach_SanLuong[[#Headers],[#Data],[Kế hoạch sản lượng]],0),
MATCH(E$76,Table_KeHoach_SanLuong[#Headers],0)) *
INDEX(Table_KeHoach_GiaNhápKU[#All],
MATCH(Table_KeHoach_ChiPhiSKU[[#This Row],[Kế hoạch chi phí hàng hóa]],Table_KeHoach_GiaNhápKU[[#All],[Kế hoạch giá nhập hàng hóa]],0),
MATCH(E$76, Table_KeHoach_GiaNhápKU[#Headers],0)),0)</f>
        <v>0</v>
      </c>
      <c r="F77" s="18">
        <f xml:space="preserve">
-IFERROR(
INDEX(Table_KeHoach_SanLuong[[#Headers],[#Data]],
MATCH(Table_KeHoach_ChiPhiSKU[[#This Row],[Kế hoạch chi phí hàng hóa]],Table_KeHoach_SanLuong[[#Headers],[#Data],[Kế hoạch sản lượng]],0),
MATCH(F$76,Table_KeHoach_SanLuong[#Headers],0)) *
INDEX(Table_KeHoach_GiaNhápKU[#All],
MATCH(Table_KeHoach_ChiPhiSKU[[#This Row],[Kế hoạch chi phí hàng hóa]],Table_KeHoach_GiaNhápKU[[#All],[Kế hoạch giá nhập hàng hóa]],0),
MATCH(F$76, Table_KeHoach_GiaNhápKU[#Headers],0)),0)</f>
        <v>0</v>
      </c>
      <c r="G77" s="18">
        <f xml:space="preserve">
-IFERROR(
INDEX(Table_KeHoach_SanLuong[[#Headers],[#Data]],
MATCH(Table_KeHoach_ChiPhiSKU[[#This Row],[Kế hoạch chi phí hàng hóa]],Table_KeHoach_SanLuong[[#Headers],[#Data],[Kế hoạch sản lượng]],0),
MATCH(G$76,Table_KeHoach_SanLuong[#Headers],0)) *
INDEX(Table_KeHoach_GiaNhápKU[#All],
MATCH(Table_KeHoach_ChiPhiSKU[[#This Row],[Kế hoạch chi phí hàng hóa]],Table_KeHoach_GiaNhápKU[[#All],[Kế hoạch giá nhập hàng hóa]],0),
MATCH(G$76, Table_KeHoach_GiaNhápKU[#Headers],0)),0)</f>
        <v>0</v>
      </c>
      <c r="H77" s="18">
        <f xml:space="preserve">
-IFERROR(
INDEX(Table_KeHoach_SanLuong[[#Headers],[#Data]],
MATCH(Table_KeHoach_ChiPhiSKU[[#This Row],[Kế hoạch chi phí hàng hóa]],Table_KeHoach_SanLuong[[#Headers],[#Data],[Kế hoạch sản lượng]],0),
MATCH(H$76,Table_KeHoach_SanLuong[#Headers],0)) *
INDEX(Table_KeHoach_GiaNhápKU[#All],
MATCH(Table_KeHoach_ChiPhiSKU[[#This Row],[Kế hoạch chi phí hàng hóa]],Table_KeHoach_GiaNhápKU[[#All],[Kế hoạch giá nhập hàng hóa]],0),
MATCH(H$76, Table_KeHoach_GiaNhápKU[#Headers],0)),0)</f>
        <v>0</v>
      </c>
      <c r="I77" s="18">
        <f xml:space="preserve">
-IFERROR(
INDEX(Table_KeHoach_SanLuong[[#Headers],[#Data]],
MATCH(Table_KeHoach_ChiPhiSKU[[#This Row],[Kế hoạch chi phí hàng hóa]],Table_KeHoach_SanLuong[[#Headers],[#Data],[Kế hoạch sản lượng]],0),
MATCH(I$76,Table_KeHoach_SanLuong[#Headers],0)) *
INDEX(Table_KeHoach_GiaNhápKU[#All],
MATCH(Table_KeHoach_ChiPhiSKU[[#This Row],[Kế hoạch chi phí hàng hóa]],Table_KeHoach_GiaNhápKU[[#All],[Kế hoạch giá nhập hàng hóa]],0),
MATCH(I$76, Table_KeHoach_GiaNhápKU[#Headers],0)),0)</f>
        <v>0</v>
      </c>
      <c r="J77" s="18">
        <f xml:space="preserve">
-IFERROR(
INDEX(Table_KeHoach_SanLuong[[#Headers],[#Data]],
MATCH(Table_KeHoach_ChiPhiSKU[[#This Row],[Kế hoạch chi phí hàng hóa]],Table_KeHoach_SanLuong[[#Headers],[#Data],[Kế hoạch sản lượng]],0),
MATCH(J$76,Table_KeHoach_SanLuong[#Headers],0)) *
INDEX(Table_KeHoach_GiaNhápKU[#All],
MATCH(Table_KeHoach_ChiPhiSKU[[#This Row],[Kế hoạch chi phí hàng hóa]],Table_KeHoach_GiaNhápKU[[#All],[Kế hoạch giá nhập hàng hóa]],0),
MATCH(J$76, Table_KeHoach_GiaNhápKU[#Headers],0)),0)</f>
        <v>0</v>
      </c>
      <c r="K77" s="18">
        <f xml:space="preserve">
-IFERROR(
INDEX(Table_KeHoach_SanLuong[[#Headers],[#Data]],
MATCH(Table_KeHoach_ChiPhiSKU[[#This Row],[Kế hoạch chi phí hàng hóa]],Table_KeHoach_SanLuong[[#Headers],[#Data],[Kế hoạch sản lượng]],0),
MATCH(K$76,Table_KeHoach_SanLuong[#Headers],0)) *
INDEX(Table_KeHoach_GiaNhápKU[#All],
MATCH(Table_KeHoach_ChiPhiSKU[[#This Row],[Kế hoạch chi phí hàng hóa]],Table_KeHoach_GiaNhápKU[[#All],[Kế hoạch giá nhập hàng hóa]],0),
MATCH(K$76, Table_KeHoach_GiaNhápKU[#Headers],0)),0)</f>
        <v>0</v>
      </c>
      <c r="L77" s="18">
        <f xml:space="preserve">
-IFERROR(
INDEX(Table_KeHoach_SanLuong[[#Headers],[#Data]],
MATCH(Table_KeHoach_ChiPhiSKU[[#This Row],[Kế hoạch chi phí hàng hóa]],Table_KeHoach_SanLuong[[#Headers],[#Data],[Kế hoạch sản lượng]],0),
MATCH(L$76,Table_KeHoach_SanLuong[#Headers],0)) *
INDEX(Table_KeHoach_GiaNhápKU[#All],
MATCH(Table_KeHoach_ChiPhiSKU[[#This Row],[Kế hoạch chi phí hàng hóa]],Table_KeHoach_GiaNhápKU[[#All],[Kế hoạch giá nhập hàng hóa]],0),
MATCH(L$76, Table_KeHoach_GiaNhápKU[#Headers],0)),0)</f>
        <v>0</v>
      </c>
      <c r="M77" s="18">
        <f xml:space="preserve">
-IFERROR(
INDEX(Table_KeHoach_SanLuong[[#Headers],[#Data]],
MATCH(Table_KeHoach_ChiPhiSKU[[#This Row],[Kế hoạch chi phí hàng hóa]],Table_KeHoach_SanLuong[[#Headers],[#Data],[Kế hoạch sản lượng]],0),
MATCH(M$76,Table_KeHoach_SanLuong[#Headers],0)) *
INDEX(Table_KeHoach_GiaNhápKU[#All],
MATCH(Table_KeHoach_ChiPhiSKU[[#This Row],[Kế hoạch chi phí hàng hóa]],Table_KeHoach_GiaNhápKU[[#All],[Kế hoạch giá nhập hàng hóa]],0),
MATCH(M$76, Table_KeHoach_GiaNhápKU[#Headers],0)),0)</f>
        <v>0</v>
      </c>
      <c r="N77" s="18">
        <f xml:space="preserve">
-IFERROR(
INDEX(Table_KeHoach_SanLuong[[#Headers],[#Data]],
MATCH(Table_KeHoach_ChiPhiSKU[[#This Row],[Kế hoạch chi phí hàng hóa]],Table_KeHoach_SanLuong[[#Headers],[#Data],[Kế hoạch sản lượng]],0),
MATCH(N$76,Table_KeHoach_SanLuong[#Headers],0)) *
INDEX(Table_KeHoach_GiaNhápKU[#All],
MATCH(Table_KeHoach_ChiPhiSKU[[#This Row],[Kế hoạch chi phí hàng hóa]],Table_KeHoach_GiaNhápKU[[#All],[Kế hoạch giá nhập hàng hóa]],0),
MATCH(N$76, Table_KeHoach_GiaNhápKU[#Headers],0)),0)</f>
        <v>0</v>
      </c>
      <c r="O77" s="18">
        <f xml:space="preserve">
-IFERROR(
INDEX(Table_KeHoach_SanLuong[[#Headers],[#Data]],
MATCH(Table_KeHoach_ChiPhiSKU[[#This Row],[Kế hoạch chi phí hàng hóa]],Table_KeHoach_SanLuong[[#Headers],[#Data],[Kế hoạch sản lượng]],0),
MATCH(O$76,Table_KeHoach_SanLuong[#Headers],0)) *
INDEX(Table_KeHoach_GiaNhápKU[#All],
MATCH(Table_KeHoach_ChiPhiSKU[[#This Row],[Kế hoạch chi phí hàng hóa]],Table_KeHoach_GiaNhápKU[[#All],[Kế hoạch giá nhập hàng hóa]],0),
MATCH(O$76, Table_KeHoach_GiaNhápKU[#Headers],0)),0)</f>
        <v>0</v>
      </c>
      <c r="P77" s="214"/>
    </row>
    <row r="78" spans="1:25" ht="18" customHeight="1" x14ac:dyDescent="0.15">
      <c r="B78" s="475" t="s">
        <v>1029</v>
      </c>
      <c r="C78" s="483" t="e">
        <f>SUBTOTAL(109,Table_KeHoach_ChiPhiSKU[Tham chiếu])</f>
        <v>#DIV/0!</v>
      </c>
      <c r="D78" s="483">
        <f>SUBTOTAL(109,Table_KeHoach_ChiPhiSKU[Tháng 1])</f>
        <v>0</v>
      </c>
      <c r="E78" s="483">
        <f>SUBTOTAL(109,Table_KeHoach_ChiPhiSKU[Tháng 2])</f>
        <v>0</v>
      </c>
      <c r="F78" s="483">
        <f>SUBTOTAL(109,Table_KeHoach_ChiPhiSKU[Tháng 3])</f>
        <v>0</v>
      </c>
      <c r="G78" s="483">
        <f>SUBTOTAL(109,Table_KeHoach_ChiPhiSKU[Tháng 4])</f>
        <v>0</v>
      </c>
      <c r="H78" s="483">
        <f>SUBTOTAL(109,Table_KeHoach_ChiPhiSKU[Tháng 5])</f>
        <v>0</v>
      </c>
      <c r="I78" s="483">
        <f>SUBTOTAL(109,Table_KeHoach_ChiPhiSKU[Tháng 6])</f>
        <v>0</v>
      </c>
      <c r="J78" s="483">
        <f>SUBTOTAL(109,Table_KeHoach_ChiPhiSKU[Tháng 7])</f>
        <v>0</v>
      </c>
      <c r="K78" s="483">
        <f>SUBTOTAL(109,Table_KeHoach_ChiPhiSKU[Tháng 8])</f>
        <v>0</v>
      </c>
      <c r="L78" s="483">
        <f>SUBTOTAL(109,Table_KeHoach_ChiPhiSKU[Tháng 9])</f>
        <v>0</v>
      </c>
      <c r="M78" s="483">
        <f>SUBTOTAL(109,Table_KeHoach_ChiPhiSKU[Tháng 10])</f>
        <v>0</v>
      </c>
      <c r="N78" s="483">
        <f>SUBTOTAL(109,Table_KeHoach_ChiPhiSKU[Tháng 11])</f>
        <v>0</v>
      </c>
      <c r="O78" s="483">
        <f>SUBTOTAL(109,Table_KeHoach_ChiPhiSKU[Tháng 12])</f>
        <v>0</v>
      </c>
      <c r="P78" s="476"/>
    </row>
    <row r="79" spans="1:25" ht="18" customHeight="1" x14ac:dyDescent="0.3">
      <c r="B79" s="28"/>
      <c r="C79" s="106"/>
      <c r="D79" s="28"/>
      <c r="E79" s="28"/>
      <c r="F79" s="28"/>
      <c r="G79" s="28"/>
      <c r="H79" s="28"/>
      <c r="I79" s="28"/>
      <c r="J79" s="28"/>
      <c r="K79" s="28"/>
      <c r="L79" s="28"/>
      <c r="M79" s="28"/>
      <c r="N79" s="28"/>
      <c r="O79" s="28"/>
      <c r="P79" s="28"/>
    </row>
    <row r="80" spans="1:25" ht="18" customHeight="1" x14ac:dyDescent="0.3">
      <c r="B80" s="7" t="s">
        <v>1042</v>
      </c>
      <c r="C80" s="106"/>
      <c r="D80" s="28"/>
      <c r="E80" s="28"/>
      <c r="F80" s="28"/>
      <c r="G80" s="28"/>
      <c r="H80" s="28"/>
      <c r="I80" s="28"/>
      <c r="J80" s="28"/>
      <c r="K80" s="28"/>
      <c r="L80" s="28"/>
      <c r="M80" s="28"/>
      <c r="N80" s="28"/>
      <c r="O80" s="28"/>
      <c r="P80" s="212"/>
    </row>
    <row r="81" spans="2:16" ht="18" customHeight="1" x14ac:dyDescent="0.3">
      <c r="B81" s="484" t="s">
        <v>330</v>
      </c>
      <c r="C81" s="480" t="s">
        <v>267</v>
      </c>
      <c r="D81" s="480" t="s">
        <v>268</v>
      </c>
      <c r="E81" s="480" t="s">
        <v>269</v>
      </c>
      <c r="F81" s="480" t="s">
        <v>270</v>
      </c>
      <c r="G81" s="480" t="s">
        <v>271</v>
      </c>
      <c r="H81" s="480" t="s">
        <v>272</v>
      </c>
      <c r="I81" s="480" t="s">
        <v>273</v>
      </c>
      <c r="J81" s="480" t="s">
        <v>274</v>
      </c>
      <c r="K81" s="480" t="s">
        <v>275</v>
      </c>
      <c r="L81" s="480" t="s">
        <v>276</v>
      </c>
      <c r="M81" s="480" t="s">
        <v>277</v>
      </c>
      <c r="N81" s="480" t="s">
        <v>278</v>
      </c>
      <c r="O81" s="480" t="s">
        <v>279</v>
      </c>
      <c r="P81" s="4" t="s">
        <v>873</v>
      </c>
    </row>
    <row r="82" spans="2:16" ht="18" customHeight="1" x14ac:dyDescent="0.3">
      <c r="B82" s="18"/>
      <c r="C82" s="17" t="e" cm="1">
        <f t="array" ref="C82">-IFERROR(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2" s="418"/>
      <c r="E82" s="418"/>
      <c r="F82" s="418"/>
      <c r="G82" s="418"/>
      <c r="H82" s="418"/>
      <c r="I82" s="418"/>
      <c r="J82" s="418"/>
      <c r="K82" s="418"/>
      <c r="L82" s="418"/>
      <c r="M82" s="418"/>
      <c r="N82" s="418"/>
      <c r="O82" s="418"/>
      <c r="P82" s="215"/>
    </row>
    <row r="83" spans="2:16" ht="18" customHeight="1" x14ac:dyDescent="0.3">
      <c r="B83" s="483" t="s">
        <v>1029</v>
      </c>
      <c r="C83" s="17" t="e">
        <f>SUBTOTAL(109,Table_KeHoach_ChiPhiVatTuSX[Tham chiếu])</f>
        <v>#DIV/0!</v>
      </c>
      <c r="D83" s="17">
        <f>SUBTOTAL(109,Table_KeHoach_ChiPhiVatTuSX[Tháng 1])</f>
        <v>0</v>
      </c>
      <c r="E83" s="17">
        <f>SUBTOTAL(109,Table_KeHoach_ChiPhiVatTuSX[Tháng 2])</f>
        <v>0</v>
      </c>
      <c r="F83" s="17">
        <f>SUBTOTAL(109,Table_KeHoach_ChiPhiVatTuSX[Tháng 3])</f>
        <v>0</v>
      </c>
      <c r="G83" s="17">
        <f>SUBTOTAL(109,Table_KeHoach_ChiPhiVatTuSX[Tháng 4])</f>
        <v>0</v>
      </c>
      <c r="H83" s="17">
        <f>SUBTOTAL(109,Table_KeHoach_ChiPhiVatTuSX[Tháng 5])</f>
        <v>0</v>
      </c>
      <c r="I83" s="17">
        <f>SUBTOTAL(109,Table_KeHoach_ChiPhiVatTuSX[Tháng 6])</f>
        <v>0</v>
      </c>
      <c r="J83" s="17">
        <f>SUBTOTAL(109,Table_KeHoach_ChiPhiVatTuSX[Tháng 7])</f>
        <v>0</v>
      </c>
      <c r="K83" s="17">
        <f>SUBTOTAL(109,Table_KeHoach_ChiPhiVatTuSX[Tháng 8])</f>
        <v>0</v>
      </c>
      <c r="L83" s="17">
        <f>SUBTOTAL(109,Table_KeHoach_ChiPhiVatTuSX[Tháng 9])</f>
        <v>0</v>
      </c>
      <c r="M83" s="17">
        <f>SUBTOTAL(109,Table_KeHoach_ChiPhiVatTuSX[Tháng 10])</f>
        <v>0</v>
      </c>
      <c r="N83" s="17">
        <f>SUBTOTAL(109,Table_KeHoach_ChiPhiVatTuSX[Tháng 11])</f>
        <v>0</v>
      </c>
      <c r="O83" s="17">
        <f>SUBTOTAL(109,Table_KeHoach_ChiPhiVatTuSX[Tháng 12])</f>
        <v>0</v>
      </c>
      <c r="P83" s="28"/>
    </row>
    <row r="84" spans="2:16" ht="18" customHeight="1" x14ac:dyDescent="0.3">
      <c r="B84" s="106"/>
      <c r="C84" s="106"/>
      <c r="D84" s="216"/>
      <c r="E84" s="215"/>
      <c r="F84" s="215"/>
      <c r="G84" s="215"/>
      <c r="H84" s="215"/>
      <c r="I84" s="215"/>
      <c r="J84" s="215"/>
      <c r="K84" s="215"/>
      <c r="L84" s="215"/>
      <c r="M84" s="215"/>
      <c r="N84" s="215"/>
      <c r="O84" s="215"/>
      <c r="P84" s="215"/>
    </row>
    <row r="85" spans="2:16" ht="18" customHeight="1" x14ac:dyDescent="0.3">
      <c r="B85" s="7" t="s">
        <v>1043</v>
      </c>
      <c r="C85" s="106"/>
      <c r="D85" s="216"/>
      <c r="E85" s="215"/>
      <c r="F85" s="215"/>
      <c r="G85" s="215"/>
      <c r="H85" s="215"/>
      <c r="I85" s="215"/>
      <c r="J85" s="215"/>
      <c r="K85" s="215"/>
      <c r="L85" s="215"/>
      <c r="M85" s="215"/>
      <c r="N85" s="215"/>
      <c r="O85" s="215"/>
      <c r="P85" s="214"/>
    </row>
    <row r="86" spans="2:16" ht="18" customHeight="1" x14ac:dyDescent="0.3">
      <c r="B86" s="484" t="s">
        <v>331</v>
      </c>
      <c r="C86" s="480" t="s">
        <v>267</v>
      </c>
      <c r="D86" s="480" t="s">
        <v>268</v>
      </c>
      <c r="E86" s="480" t="s">
        <v>269</v>
      </c>
      <c r="F86" s="480" t="s">
        <v>270</v>
      </c>
      <c r="G86" s="480" t="s">
        <v>271</v>
      </c>
      <c r="H86" s="480" t="s">
        <v>272</v>
      </c>
      <c r="I86" s="480" t="s">
        <v>273</v>
      </c>
      <c r="J86" s="480" t="s">
        <v>274</v>
      </c>
      <c r="K86" s="480" t="s">
        <v>275</v>
      </c>
      <c r="L86" s="480" t="s">
        <v>276</v>
      </c>
      <c r="M86" s="480" t="s">
        <v>277</v>
      </c>
      <c r="N86" s="480" t="s">
        <v>278</v>
      </c>
      <c r="O86" s="480" t="s">
        <v>279</v>
      </c>
      <c r="P86" s="481" t="s">
        <v>873</v>
      </c>
    </row>
    <row r="87" spans="2:16" ht="18" customHeight="1" x14ac:dyDescent="0.3">
      <c r="B87" s="485"/>
      <c r="C87" s="18" t="e" cm="1">
        <f t="array" ref="C87" xml:space="preserve">
(-IFERROR(SUM(
_xlfn._xlws.FILTER(Table_ChiPhiKD[Phân bổ sản xuất],
(Table_ChiPhiKD[Kỳ] &gt;=BCQT_BatDau) *
(Table_ChiPhiKD[Kỳ] &lt;BCQT_KetThuc) *
(Table_ChiPhiKD[Nhóm chi phí] = Table_KeHoach_ChiPhiTienIchSX[[#This Row],[Kế hoạch chi phí tiện ích sản xuất]] )
)),0)
- IFERROR(SUMPRODUCT(
_xlfn._xlws.FILTER(Table_ChiPhiKD[Phân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87" s="418"/>
      <c r="E87" s="418"/>
      <c r="F87" s="418"/>
      <c r="G87" s="418"/>
      <c r="H87" s="418"/>
      <c r="I87" s="418"/>
      <c r="J87" s="418"/>
      <c r="K87" s="418"/>
      <c r="L87" s="418"/>
      <c r="M87" s="418"/>
      <c r="N87" s="418"/>
      <c r="O87" s="418"/>
      <c r="P87" s="418"/>
    </row>
    <row r="88" spans="2:16" ht="18" customHeight="1" x14ac:dyDescent="0.3">
      <c r="B88" s="483" t="s">
        <v>1029</v>
      </c>
      <c r="C88" s="483" t="e">
        <f>SUBTOTAL(109,Table_KeHoach_ChiPhiTienIchSX[Tham chiếu])</f>
        <v>#DIV/0!</v>
      </c>
      <c r="D88" s="483">
        <f>SUBTOTAL(109,Table_KeHoach_ChiPhiTienIchSX[Tháng 1])</f>
        <v>0</v>
      </c>
      <c r="E88" s="483">
        <f>SUBTOTAL(109,Table_KeHoach_ChiPhiTienIchSX[Tháng 2])</f>
        <v>0</v>
      </c>
      <c r="F88" s="483">
        <f>SUBTOTAL(109,Table_KeHoach_ChiPhiTienIchSX[Tháng 3])</f>
        <v>0</v>
      </c>
      <c r="G88" s="483">
        <f>SUBTOTAL(109,Table_KeHoach_ChiPhiTienIchSX[Tháng 4])</f>
        <v>0</v>
      </c>
      <c r="H88" s="483">
        <f>SUBTOTAL(109,Table_KeHoach_ChiPhiTienIchSX[Tháng 5])</f>
        <v>0</v>
      </c>
      <c r="I88" s="483">
        <f>SUBTOTAL(109,Table_KeHoach_ChiPhiTienIchSX[Tháng 6])</f>
        <v>0</v>
      </c>
      <c r="J88" s="483">
        <f>SUBTOTAL(109,Table_KeHoach_ChiPhiTienIchSX[Tháng 7])</f>
        <v>0</v>
      </c>
      <c r="K88" s="483">
        <f>SUBTOTAL(109,Table_KeHoach_ChiPhiTienIchSX[Tháng 8])</f>
        <v>0</v>
      </c>
      <c r="L88" s="483">
        <f>SUBTOTAL(109,Table_KeHoach_ChiPhiTienIchSX[Tháng 9])</f>
        <v>0</v>
      </c>
      <c r="M88" s="483">
        <f>SUBTOTAL(109,Table_KeHoach_ChiPhiTienIchSX[Tháng 10])</f>
        <v>0</v>
      </c>
      <c r="N88" s="483">
        <f>SUBTOTAL(109,Table_KeHoach_ChiPhiTienIchSX[Tháng 11])</f>
        <v>0</v>
      </c>
      <c r="O88" s="483">
        <f>SUBTOTAL(109,Table_KeHoach_ChiPhiTienIchSX[Tháng 12])</f>
        <v>0</v>
      </c>
      <c r="P88" s="418"/>
    </row>
    <row r="90" spans="2:16" ht="18" customHeight="1" x14ac:dyDescent="0.3">
      <c r="B90" s="7" t="s">
        <v>1044</v>
      </c>
      <c r="P90" s="215"/>
    </row>
    <row r="91" spans="2:16" ht="18" customHeight="1" x14ac:dyDescent="0.3">
      <c r="B91" s="484" t="s">
        <v>332</v>
      </c>
      <c r="C91" s="480" t="s">
        <v>267</v>
      </c>
      <c r="D91" s="480" t="s">
        <v>268</v>
      </c>
      <c r="E91" s="480" t="s">
        <v>269</v>
      </c>
      <c r="F91" s="480" t="s">
        <v>270</v>
      </c>
      <c r="G91" s="480" t="s">
        <v>271</v>
      </c>
      <c r="H91" s="480" t="s">
        <v>272</v>
      </c>
      <c r="I91" s="480" t="s">
        <v>273</v>
      </c>
      <c r="J91" s="480" t="s">
        <v>274</v>
      </c>
      <c r="K91" s="480" t="s">
        <v>275</v>
      </c>
      <c r="L91" s="480" t="s">
        <v>276</v>
      </c>
      <c r="M91" s="480" t="s">
        <v>277</v>
      </c>
      <c r="N91" s="480" t="s">
        <v>278</v>
      </c>
      <c r="O91" s="480" t="s">
        <v>279</v>
      </c>
      <c r="P91" s="481" t="s">
        <v>873</v>
      </c>
    </row>
    <row r="92" spans="2:16" ht="18" customHeight="1" x14ac:dyDescent="0.3">
      <c r="B92" s="34"/>
      <c r="C92" s="34" t="e" cm="1">
        <f t="array" ref="C92"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92" s="34"/>
      <c r="E92" s="34"/>
      <c r="F92" s="34"/>
      <c r="G92" s="34"/>
      <c r="H92" s="34"/>
      <c r="I92" s="34"/>
      <c r="J92" s="34"/>
      <c r="K92" s="34"/>
      <c r="L92" s="34"/>
      <c r="M92" s="34"/>
      <c r="N92" s="34"/>
      <c r="O92" s="34"/>
      <c r="P92" s="486"/>
    </row>
    <row r="93" spans="2:16" ht="18" customHeight="1" x14ac:dyDescent="0.3">
      <c r="B93" s="34"/>
      <c r="C93" s="34" t="e" cm="1">
        <f t="array" ref="C93"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
_xlfn._xlws.FILTER(Table_ChiPhiKD[Giá trị]-Table_ChiPhiKD[Phân bổ sản xuất],
(Table_ChiPhiKD[Kỳ] &gt;=BCQT_BatDau) *
(Table_ChiPhiKD[Kỳ] &lt;BCQT_KetThuc) *
(Table_ChiPhiKD[Nhóm chi phí] = Table_KeHoach_ChiPhiVatTuVP[[#This Row],[Kế hoạch chi phí vật tư &amp; tiện ích văn phòng]] )
)),0)
- IFERROR(SUMPRODUCT(
_xlfn._xlws.FILTER(Table_ChiPhiKD[Giá trị]-Table_ChiPhiKD[Phân bổ sản xuất],
(Table_ChiPhiKD[Phân bổ từ] &lt; BCQT_KetThuc)*
(Table_ChiPhiKD[Phân bổ đến] &gt; BCQT_BatDau)*
(VLOOKUP(Table_ChiPhiKD[Nhóm chi phí],Table_ChiPhiKD_PhanNhom[],Sheet_ChiPhiKD!$J$2,0) = "Chưa phân bổ" )),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phí],Table_ChiPhiKD_PhanNhom[],Sheet_ChiPhiKD!$J$2,0) = "Chưa phân bổ" )),
1/_xlfn._xlws.FILTER(ROUND((Table_ChiPhiKD[Phân bổ đến]-Table_ChiPhiKD[Phân bổ từ])/(365.25/12),0),
(Table_ChiPhiKD[Phân bổ từ] &lt; BCQT_KetThuc)*
(Table_ChiPhiKD[Phân bổ đến] &gt; BCQT_BatDau)*
(VLOOKUP(Table_ChiPhiKD[Nhóm chi phí],Table_ChiPhiKD_PhanNhom[],Sheet_ChiPhiKD!$J$2,0) = "Chưa phân bổ" ))
), 0))
/ROUND((BCQT_KetThuc-BCQT_BatDau)/(365.25/12),0)</f>
        <v>#DIV/0!</v>
      </c>
      <c r="D93" s="34"/>
      <c r="E93" s="34"/>
      <c r="F93" s="34"/>
      <c r="G93" s="34"/>
      <c r="H93" s="34"/>
      <c r="I93" s="34"/>
      <c r="J93" s="34"/>
      <c r="K93" s="34"/>
      <c r="L93" s="34"/>
      <c r="M93" s="34"/>
      <c r="N93" s="34"/>
      <c r="O93" s="34"/>
      <c r="P93" s="34"/>
    </row>
    <row r="94" spans="2:16" ht="18" customHeight="1" x14ac:dyDescent="0.3">
      <c r="B94" s="483" t="s">
        <v>1029</v>
      </c>
      <c r="C94" s="483" t="e">
        <f>SUBTOTAL(109,Table_KeHoach_ChiPhiVatTuVP[Tham chiếu])</f>
        <v>#DIV/0!</v>
      </c>
      <c r="D94" s="483">
        <f>SUBTOTAL(109,Table_KeHoach_ChiPhiVatTuVP[Tháng 1])</f>
        <v>0</v>
      </c>
      <c r="E94" s="483">
        <f>SUBTOTAL(109,Table_KeHoach_ChiPhiVatTuVP[Tháng 2])</f>
        <v>0</v>
      </c>
      <c r="F94" s="483">
        <f>SUBTOTAL(109,Table_KeHoach_ChiPhiVatTuVP[Tháng 3])</f>
        <v>0</v>
      </c>
      <c r="G94" s="483">
        <f>SUBTOTAL(109,Table_KeHoach_ChiPhiVatTuVP[Tháng 4])</f>
        <v>0</v>
      </c>
      <c r="H94" s="483">
        <f>SUBTOTAL(109,Table_KeHoach_ChiPhiVatTuVP[Tháng 5])</f>
        <v>0</v>
      </c>
      <c r="I94" s="483">
        <f>SUBTOTAL(109,Table_KeHoach_ChiPhiVatTuVP[Tháng 6])</f>
        <v>0</v>
      </c>
      <c r="J94" s="483">
        <f>SUBTOTAL(109,Table_KeHoach_ChiPhiVatTuVP[Tháng 7])</f>
        <v>0</v>
      </c>
      <c r="K94" s="483">
        <f>SUBTOTAL(109,Table_KeHoach_ChiPhiVatTuVP[Tháng 8])</f>
        <v>0</v>
      </c>
      <c r="L94" s="483">
        <f>SUBTOTAL(109,Table_KeHoach_ChiPhiVatTuVP[Tháng 9])</f>
        <v>0</v>
      </c>
      <c r="M94" s="483">
        <f>SUBTOTAL(109,Table_KeHoach_ChiPhiVatTuVP[Tháng 10])</f>
        <v>0</v>
      </c>
      <c r="N94" s="483">
        <f>SUBTOTAL(109,Table_KeHoach_ChiPhiVatTuVP[Tháng 11])</f>
        <v>0</v>
      </c>
      <c r="O94" s="483">
        <f>SUBTOTAL(109,Table_KeHoach_ChiPhiVatTuVP[Tháng 12])</f>
        <v>0</v>
      </c>
      <c r="P94" s="483"/>
    </row>
    <row r="95" spans="2:16" ht="18" customHeight="1" x14ac:dyDescent="0.3">
      <c r="B95" s="28"/>
      <c r="C95" s="106"/>
      <c r="D95" s="28"/>
      <c r="E95" s="28"/>
      <c r="F95" s="28"/>
      <c r="G95" s="28"/>
      <c r="H95" s="28"/>
      <c r="I95" s="28"/>
      <c r="J95" s="28"/>
      <c r="K95" s="28"/>
      <c r="L95" s="28"/>
      <c r="M95" s="28"/>
      <c r="N95" s="28"/>
      <c r="O95" s="28"/>
      <c r="P95" s="28"/>
    </row>
    <row r="96" spans="2:16" ht="18" customHeight="1" x14ac:dyDescent="0.3">
      <c r="B96" s="7" t="s">
        <v>1067</v>
      </c>
      <c r="C96" s="106"/>
      <c r="D96" s="28"/>
      <c r="E96" s="28"/>
      <c r="F96" s="28"/>
      <c r="G96" s="28"/>
      <c r="H96" s="28"/>
      <c r="I96" s="28"/>
      <c r="J96" s="28"/>
      <c r="K96" s="28"/>
      <c r="L96" s="28"/>
      <c r="M96" s="28"/>
      <c r="N96" s="28"/>
      <c r="O96" s="28"/>
      <c r="P96" s="215"/>
    </row>
    <row r="97" spans="2:17" ht="18" customHeight="1" x14ac:dyDescent="0.3">
      <c r="B97" s="45" t="s">
        <v>333</v>
      </c>
      <c r="C97" s="478" t="s">
        <v>267</v>
      </c>
      <c r="D97" s="478" t="s">
        <v>268</v>
      </c>
      <c r="E97" s="478" t="s">
        <v>269</v>
      </c>
      <c r="F97" s="478" t="s">
        <v>270</v>
      </c>
      <c r="G97" s="478" t="s">
        <v>271</v>
      </c>
      <c r="H97" s="478" t="s">
        <v>272</v>
      </c>
      <c r="I97" s="478" t="s">
        <v>273</v>
      </c>
      <c r="J97" s="478" t="s">
        <v>274</v>
      </c>
      <c r="K97" s="478" t="s">
        <v>275</v>
      </c>
      <c r="L97" s="478" t="s">
        <v>276</v>
      </c>
      <c r="M97" s="478" t="s">
        <v>277</v>
      </c>
      <c r="N97" s="478" t="s">
        <v>278</v>
      </c>
      <c r="O97" s="478" t="s">
        <v>279</v>
      </c>
      <c r="P97" s="479" t="s">
        <v>873</v>
      </c>
    </row>
    <row r="98" spans="2:17" ht="18" customHeight="1" x14ac:dyDescent="0.3">
      <c r="B98" s="45"/>
      <c r="C98" s="552" t="e" cm="1" vm="1">
        <f t="array" ref="C98"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8" s="45"/>
      <c r="E98" s="45"/>
      <c r="F98" s="45"/>
      <c r="G98" s="45"/>
      <c r="H98" s="45"/>
      <c r="I98" s="45"/>
      <c r="J98" s="45"/>
      <c r="K98" s="45"/>
      <c r="L98" s="45"/>
      <c r="M98" s="45"/>
      <c r="N98" s="45"/>
      <c r="O98" s="45"/>
      <c r="P98" s="45"/>
      <c r="Q98" s="215"/>
    </row>
    <row r="100" spans="2:17" ht="18" customHeight="1" x14ac:dyDescent="0.3">
      <c r="B100" s="7" t="s">
        <v>1068</v>
      </c>
      <c r="P100" s="217"/>
    </row>
    <row r="101" spans="2:17" ht="18" customHeight="1" x14ac:dyDescent="0.3">
      <c r="B101" s="484" t="s">
        <v>334</v>
      </c>
      <c r="C101" s="480" t="s">
        <v>267</v>
      </c>
      <c r="D101" s="480" t="s">
        <v>268</v>
      </c>
      <c r="E101" s="480" t="s">
        <v>269</v>
      </c>
      <c r="F101" s="480" t="s">
        <v>270</v>
      </c>
      <c r="G101" s="480" t="s">
        <v>271</v>
      </c>
      <c r="H101" s="480" t="s">
        <v>272</v>
      </c>
      <c r="I101" s="480" t="s">
        <v>273</v>
      </c>
      <c r="J101" s="480" t="s">
        <v>274</v>
      </c>
      <c r="K101" s="480" t="s">
        <v>275</v>
      </c>
      <c r="L101" s="480" t="s">
        <v>276</v>
      </c>
      <c r="M101" s="480" t="s">
        <v>277</v>
      </c>
      <c r="N101" s="480" t="s">
        <v>278</v>
      </c>
      <c r="O101" s="480" t="s">
        <v>279</v>
      </c>
      <c r="P101" s="481" t="s">
        <v>873</v>
      </c>
    </row>
    <row r="102" spans="2:17" ht="18" customHeight="1" x14ac:dyDescent="0.3">
      <c r="B102" s="15"/>
      <c r="C102" s="18" t="e" cm="1" vm="1">
        <f t="array" ref="C102">-SUM(_xlfn._xlws.FILTER(Table_Main[Hoa hồng],
(Table_Main[Mã SKU] = Table_KeHoach_ChiPhiHoaHong[[#This Row],[Kế hoạch chi phí hoa hồng]]) *
(Table_Main[Ngày lên đơn] &gt;= BCQT_BatDau) *
(Table_Main[Ngày lên đơn] &lt; BCQT_KetThuc)
)) /
ROUND((BCQT_KetThuc-BCQT_BatDau)/(365.25/12),0)</f>
        <v>#VALUE!</v>
      </c>
      <c r="D102" s="18" t="e">
        <f>-
INDEX(Table_KeHoach_TyleHoaHong[#All],
MATCH(Table_KeHoach_ChiPhiHoaHong[[#This Row],[Kế hoạch chi phí hoa hồng]],Table_KeHoach_TyleHoaHong[[#All],[Kế hoạch tỷ lệ hoa hồng]],0),
MATCH(D$101,Table_KeHoach_TyleHoaHong[#Headers],0)) *
INDEX(Table_KeHoach_DoanhThu[[#Headers],[#Data]],
MATCH(Table_KeHoach_ChiPhiHoaHong[[#This Row],[Kế hoạch chi phí hoa hồng]],Table_KeHoach_DoanhThu[[#Headers],[#Data],[Kế hoạch doanh thu gộp]],0),
MATCH(D$101, Table_KeHoach_DoanhThu[#Headers],0))</f>
        <v>#N/A</v>
      </c>
      <c r="E102" s="18" t="e">
        <f>-
INDEX(Table_KeHoach_TyleHoaHong[#All],
MATCH(Table_KeHoach_ChiPhiHoaHong[[#This Row],[Kế hoạch chi phí hoa hồng]],Table_KeHoach_TyleHoaHong[[#All],[Kế hoạch tỷ lệ hoa hồng]],0),
MATCH(E$101,Table_KeHoach_TyleHoaHong[#Headers],0)) *
INDEX(Table_KeHoach_DoanhThu[[#Headers],[#Data]],
MATCH(Table_KeHoach_ChiPhiHoaHong[[#This Row],[Kế hoạch chi phí hoa hồng]],Table_KeHoach_DoanhThu[[#Headers],[#Data],[Kế hoạch doanh thu gộp]],0),
MATCH(E$101, Table_KeHoach_DoanhThu[#Headers],0))</f>
        <v>#N/A</v>
      </c>
      <c r="F102" s="18" t="e">
        <f>-
INDEX(Table_KeHoach_TyleHoaHong[#All],
MATCH(Table_KeHoach_ChiPhiHoaHong[[#This Row],[Kế hoạch chi phí hoa hồng]],Table_KeHoach_TyleHoaHong[[#All],[Kế hoạch tỷ lệ hoa hồng]],0),
MATCH(F$101,Table_KeHoach_TyleHoaHong[#Headers],0)) *
INDEX(Table_KeHoach_DoanhThu[[#Headers],[#Data]],
MATCH(Table_KeHoach_ChiPhiHoaHong[[#This Row],[Kế hoạch chi phí hoa hồng]],Table_KeHoach_DoanhThu[[#Headers],[#Data],[Kế hoạch doanh thu gộp]],0),
MATCH(F$101, Table_KeHoach_DoanhThu[#Headers],0))</f>
        <v>#N/A</v>
      </c>
      <c r="G102" s="18" t="e">
        <f>-
INDEX(Table_KeHoach_TyleHoaHong[#All],
MATCH(Table_KeHoach_ChiPhiHoaHong[[#This Row],[Kế hoạch chi phí hoa hồng]],Table_KeHoach_TyleHoaHong[[#All],[Kế hoạch tỷ lệ hoa hồng]],0),
MATCH(G$101,Table_KeHoach_TyleHoaHong[#Headers],0)) *
INDEX(Table_KeHoach_DoanhThu[[#Headers],[#Data]],
MATCH(Table_KeHoach_ChiPhiHoaHong[[#This Row],[Kế hoạch chi phí hoa hồng]],Table_KeHoach_DoanhThu[[#Headers],[#Data],[Kế hoạch doanh thu gộp]],0),
MATCH(G$101, Table_KeHoach_DoanhThu[#Headers],0))</f>
        <v>#N/A</v>
      </c>
      <c r="H102" s="18" t="e">
        <f>-
INDEX(Table_KeHoach_TyleHoaHong[#All],
MATCH(Table_KeHoach_ChiPhiHoaHong[[#This Row],[Kế hoạch chi phí hoa hồng]],Table_KeHoach_TyleHoaHong[[#All],[Kế hoạch tỷ lệ hoa hồng]],0),
MATCH(H$101,Table_KeHoach_TyleHoaHong[#Headers],0)) *
INDEX(Table_KeHoach_DoanhThu[[#Headers],[#Data]],
MATCH(Table_KeHoach_ChiPhiHoaHong[[#This Row],[Kế hoạch chi phí hoa hồng]],Table_KeHoach_DoanhThu[[#Headers],[#Data],[Kế hoạch doanh thu gộp]],0),
MATCH(H$101, Table_KeHoach_DoanhThu[#Headers],0))</f>
        <v>#N/A</v>
      </c>
      <c r="I102" s="18" t="e">
        <f>-
INDEX(Table_KeHoach_TyleHoaHong[#All],
MATCH(Table_KeHoach_ChiPhiHoaHong[[#This Row],[Kế hoạch chi phí hoa hồng]],Table_KeHoach_TyleHoaHong[[#All],[Kế hoạch tỷ lệ hoa hồng]],0),
MATCH(I$101,Table_KeHoach_TyleHoaHong[#Headers],0)) *
INDEX(Table_KeHoach_DoanhThu[[#Headers],[#Data]],
MATCH(Table_KeHoach_ChiPhiHoaHong[[#This Row],[Kế hoạch chi phí hoa hồng]],Table_KeHoach_DoanhThu[[#Headers],[#Data],[Kế hoạch doanh thu gộp]],0),
MATCH(I$101, Table_KeHoach_DoanhThu[#Headers],0))</f>
        <v>#N/A</v>
      </c>
      <c r="J102" s="18" t="e">
        <f>-
INDEX(Table_KeHoach_TyleHoaHong[#All],
MATCH(Table_KeHoach_ChiPhiHoaHong[[#This Row],[Kế hoạch chi phí hoa hồng]],Table_KeHoach_TyleHoaHong[[#All],[Kế hoạch tỷ lệ hoa hồng]],0),
MATCH(J$101,Table_KeHoach_TyleHoaHong[#Headers],0)) *
INDEX(Table_KeHoach_DoanhThu[[#Headers],[#Data]],
MATCH(Table_KeHoach_ChiPhiHoaHong[[#This Row],[Kế hoạch chi phí hoa hồng]],Table_KeHoach_DoanhThu[[#Headers],[#Data],[Kế hoạch doanh thu gộp]],0),
MATCH(J$101, Table_KeHoach_DoanhThu[#Headers],0))</f>
        <v>#N/A</v>
      </c>
      <c r="K102" s="18" t="e">
        <f>-
INDEX(Table_KeHoach_TyleHoaHong[#All],
MATCH(Table_KeHoach_ChiPhiHoaHong[[#This Row],[Kế hoạch chi phí hoa hồng]],Table_KeHoach_TyleHoaHong[[#All],[Kế hoạch tỷ lệ hoa hồng]],0),
MATCH(K$101,Table_KeHoach_TyleHoaHong[#Headers],0)) *
INDEX(Table_KeHoach_DoanhThu[[#Headers],[#Data]],
MATCH(Table_KeHoach_ChiPhiHoaHong[[#This Row],[Kế hoạch chi phí hoa hồng]],Table_KeHoach_DoanhThu[[#Headers],[#Data],[Kế hoạch doanh thu gộp]],0),
MATCH(K$101, Table_KeHoach_DoanhThu[#Headers],0))</f>
        <v>#N/A</v>
      </c>
      <c r="L102" s="18" t="e">
        <f>-
INDEX(Table_KeHoach_TyleHoaHong[#All],
MATCH(Table_KeHoach_ChiPhiHoaHong[[#This Row],[Kế hoạch chi phí hoa hồng]],Table_KeHoach_TyleHoaHong[[#All],[Kế hoạch tỷ lệ hoa hồng]],0),
MATCH(L$101,Table_KeHoach_TyleHoaHong[#Headers],0)) *
INDEX(Table_KeHoach_DoanhThu[[#Headers],[#Data]],
MATCH(Table_KeHoach_ChiPhiHoaHong[[#This Row],[Kế hoạch chi phí hoa hồng]],Table_KeHoach_DoanhThu[[#Headers],[#Data],[Kế hoạch doanh thu gộp]],0),
MATCH(L$101, Table_KeHoach_DoanhThu[#Headers],0))</f>
        <v>#N/A</v>
      </c>
      <c r="M102" s="18" t="e">
        <f>-
INDEX(Table_KeHoach_TyleHoaHong[#All],
MATCH(Table_KeHoach_ChiPhiHoaHong[[#This Row],[Kế hoạch chi phí hoa hồng]],Table_KeHoach_TyleHoaHong[[#All],[Kế hoạch tỷ lệ hoa hồng]],0),
MATCH(M$101,Table_KeHoach_TyleHoaHong[#Headers],0)) *
INDEX(Table_KeHoach_DoanhThu[[#Headers],[#Data]],
MATCH(Table_KeHoach_ChiPhiHoaHong[[#This Row],[Kế hoạch chi phí hoa hồng]],Table_KeHoach_DoanhThu[[#Headers],[#Data],[Kế hoạch doanh thu gộp]],0),
MATCH(M$101, Table_KeHoach_DoanhThu[#Headers],0))</f>
        <v>#N/A</v>
      </c>
      <c r="N102" s="18" t="e">
        <f>-
INDEX(Table_KeHoach_TyleHoaHong[#All],
MATCH(Table_KeHoach_ChiPhiHoaHong[[#This Row],[Kế hoạch chi phí hoa hồng]],Table_KeHoach_TyleHoaHong[[#All],[Kế hoạch tỷ lệ hoa hồng]],0),
MATCH(N$101,Table_KeHoach_TyleHoaHong[#Headers],0)) *
INDEX(Table_KeHoach_DoanhThu[[#Headers],[#Data]],
MATCH(Table_KeHoach_ChiPhiHoaHong[[#This Row],[Kế hoạch chi phí hoa hồng]],Table_KeHoach_DoanhThu[[#Headers],[#Data],[Kế hoạch doanh thu gộp]],0),
MATCH(N$101, Table_KeHoach_DoanhThu[#Headers],0))</f>
        <v>#N/A</v>
      </c>
      <c r="O102" s="18" t="e">
        <f>-
INDEX(Table_KeHoach_TyleHoaHong[#All],
MATCH(Table_KeHoach_ChiPhiHoaHong[[#This Row],[Kế hoạch chi phí hoa hồng]],Table_KeHoach_TyleHoaHong[[#All],[Kế hoạch tỷ lệ hoa hồng]],0),
MATCH(O$101,Table_KeHoach_TyleHoaHong[#Headers],0)) *
INDEX(Table_KeHoach_DoanhThu[[#Headers],[#Data]],
MATCH(Table_KeHoach_ChiPhiHoaHong[[#This Row],[Kế hoạch chi phí hoa hồng]],Table_KeHoach_DoanhThu[[#Headers],[#Data],[Kế hoạch doanh thu gộp]],0),
MATCH(O$101, Table_KeHoach_DoanhThu[#Headers],0))</f>
        <v>#N/A</v>
      </c>
      <c r="P102" s="18"/>
    </row>
    <row r="103" spans="2:17" ht="18" customHeight="1" x14ac:dyDescent="0.15">
      <c r="B103" s="483" t="s">
        <v>1029</v>
      </c>
      <c r="C103" s="487" t="e" vm="2">
        <f>SUBTOTAL(109,Table_KeHoach_ChiPhiHoaHong[Tham chiếu])</f>
        <v>#VALUE!</v>
      </c>
      <c r="D103" s="487" t="e">
        <f>SUBTOTAL(109,Table_KeHoach_ChiPhiHoaHong[Tháng 1])</f>
        <v>#N/A</v>
      </c>
      <c r="E103" s="487" t="e">
        <f>SUBTOTAL(109,Table_KeHoach_ChiPhiHoaHong[Tháng 2])</f>
        <v>#N/A</v>
      </c>
      <c r="F103" s="487" t="e">
        <f>SUBTOTAL(109,Table_KeHoach_ChiPhiHoaHong[Tháng 3])</f>
        <v>#N/A</v>
      </c>
      <c r="G103" s="487" t="e">
        <f>SUBTOTAL(109,Table_KeHoach_ChiPhiHoaHong[Tháng 4])</f>
        <v>#N/A</v>
      </c>
      <c r="H103" s="487" t="e">
        <f>SUBTOTAL(109,Table_KeHoach_ChiPhiHoaHong[Tháng 5])</f>
        <v>#N/A</v>
      </c>
      <c r="I103" s="487" t="e">
        <f>SUBTOTAL(109,Table_KeHoach_ChiPhiHoaHong[Tháng 6])</f>
        <v>#N/A</v>
      </c>
      <c r="J103" s="487" t="e">
        <f>SUBTOTAL(109,Table_KeHoach_ChiPhiHoaHong[Tháng 7])</f>
        <v>#N/A</v>
      </c>
      <c r="K103" s="487" t="e">
        <f>SUBTOTAL(109,Table_KeHoach_ChiPhiHoaHong[Tháng 8])</f>
        <v>#N/A</v>
      </c>
      <c r="L103" s="487" t="e">
        <f>SUBTOTAL(109,Table_KeHoach_ChiPhiHoaHong[Tháng 9])</f>
        <v>#N/A</v>
      </c>
      <c r="M103" s="487" t="e">
        <f>SUBTOTAL(109,Table_KeHoach_ChiPhiHoaHong[Tháng 10])</f>
        <v>#N/A</v>
      </c>
      <c r="N103" s="487" t="e">
        <f>SUBTOTAL(109,Table_KeHoach_ChiPhiHoaHong[Tháng 11])</f>
        <v>#N/A</v>
      </c>
      <c r="O103" s="487" t="e">
        <f>SUBTOTAL(109,Table_KeHoach_ChiPhiHoaHong[Tháng 12])</f>
        <v>#N/A</v>
      </c>
      <c r="P103" s="487"/>
    </row>
    <row r="105" spans="2:17" ht="18" customHeight="1" x14ac:dyDescent="0.3">
      <c r="B105" s="7" t="s">
        <v>1045</v>
      </c>
      <c r="P105" s="45"/>
    </row>
    <row r="106" spans="2:17" ht="18" customHeight="1" x14ac:dyDescent="0.3">
      <c r="B106" s="488" t="s">
        <v>336</v>
      </c>
      <c r="C106" s="478" t="s">
        <v>267</v>
      </c>
      <c r="D106" s="478" t="s">
        <v>268</v>
      </c>
      <c r="E106" s="478" t="s">
        <v>269</v>
      </c>
      <c r="F106" s="478" t="s">
        <v>270</v>
      </c>
      <c r="G106" s="478" t="s">
        <v>271</v>
      </c>
      <c r="H106" s="478" t="s">
        <v>272</v>
      </c>
      <c r="I106" s="478" t="s">
        <v>273</v>
      </c>
      <c r="J106" s="478" t="s">
        <v>274</v>
      </c>
      <c r="K106" s="478" t="s">
        <v>275</v>
      </c>
      <c r="L106" s="478" t="s">
        <v>276</v>
      </c>
      <c r="M106" s="478" t="s">
        <v>277</v>
      </c>
      <c r="N106" s="478" t="s">
        <v>278</v>
      </c>
      <c r="O106" s="478" t="s">
        <v>279</v>
      </c>
      <c r="P106" s="479" t="s">
        <v>873</v>
      </c>
    </row>
    <row r="107" spans="2:17" ht="18" customHeight="1" x14ac:dyDescent="0.3">
      <c r="B107" s="45"/>
      <c r="C107" s="68" t="e" cm="1">
        <f t="array" ref="C107">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7" s="68"/>
      <c r="E107" s="68"/>
      <c r="F107" s="68"/>
      <c r="G107" s="68"/>
      <c r="H107" s="68"/>
      <c r="I107" s="68"/>
      <c r="J107" s="68"/>
      <c r="K107" s="68"/>
      <c r="L107" s="68"/>
      <c r="M107" s="68"/>
      <c r="N107" s="68"/>
      <c r="O107" s="68"/>
      <c r="P107" s="68"/>
    </row>
    <row r="108" spans="2:17" ht="18" customHeight="1" x14ac:dyDescent="0.3">
      <c r="B108" s="28"/>
      <c r="C108" s="106"/>
      <c r="D108" s="28"/>
      <c r="E108" s="28"/>
      <c r="F108" s="28"/>
      <c r="G108" s="28"/>
      <c r="H108" s="28"/>
      <c r="I108" s="28"/>
      <c r="J108" s="28"/>
      <c r="K108" s="28"/>
      <c r="L108" s="28"/>
      <c r="M108" s="28"/>
      <c r="N108" s="28"/>
      <c r="O108" s="28"/>
      <c r="P108" s="28"/>
    </row>
    <row r="109" spans="2:17" ht="18" customHeight="1" x14ac:dyDescent="0.3">
      <c r="B109" s="7" t="s">
        <v>1046</v>
      </c>
      <c r="C109" s="106"/>
      <c r="D109" s="28"/>
      <c r="E109" s="28"/>
      <c r="F109" s="28"/>
      <c r="G109" s="28"/>
      <c r="H109" s="28"/>
      <c r="I109" s="28"/>
      <c r="J109" s="28"/>
      <c r="K109" s="28"/>
      <c r="L109" s="28"/>
      <c r="M109" s="28"/>
      <c r="N109" s="28"/>
      <c r="O109" s="28"/>
      <c r="P109" s="18"/>
    </row>
    <row r="110" spans="2:17" ht="18" customHeight="1" x14ac:dyDescent="0.3">
      <c r="B110" s="45" t="s">
        <v>335</v>
      </c>
      <c r="C110" s="478" t="s">
        <v>267</v>
      </c>
      <c r="D110" s="478" t="s">
        <v>268</v>
      </c>
      <c r="E110" s="478" t="s">
        <v>269</v>
      </c>
      <c r="F110" s="478" t="s">
        <v>270</v>
      </c>
      <c r="G110" s="478" t="s">
        <v>271</v>
      </c>
      <c r="H110" s="478" t="s">
        <v>272</v>
      </c>
      <c r="I110" s="478" t="s">
        <v>273</v>
      </c>
      <c r="J110" s="478" t="s">
        <v>274</v>
      </c>
      <c r="K110" s="478" t="s">
        <v>275</v>
      </c>
      <c r="L110" s="478" t="s">
        <v>276</v>
      </c>
      <c r="M110" s="478" t="s">
        <v>277</v>
      </c>
      <c r="N110" s="478" t="s">
        <v>278</v>
      </c>
      <c r="O110" s="478" t="s">
        <v>279</v>
      </c>
      <c r="P110" s="479" t="s">
        <v>873</v>
      </c>
    </row>
    <row r="111" spans="2:17" ht="18" customHeight="1" x14ac:dyDescent="0.3">
      <c r="B111" s="45"/>
      <c r="C111" s="68" cm="1">
        <f t="array" ref="C11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1" s="68"/>
      <c r="E111" s="68"/>
      <c r="F111" s="68"/>
      <c r="G111" s="68"/>
      <c r="H111" s="68"/>
      <c r="I111" s="68"/>
      <c r="J111" s="68"/>
      <c r="K111" s="68"/>
      <c r="L111" s="68"/>
      <c r="M111" s="68"/>
      <c r="N111" s="68"/>
      <c r="O111" s="68"/>
      <c r="P111" s="68"/>
    </row>
    <row r="112" spans="2:17" ht="18" customHeight="1" x14ac:dyDescent="0.3">
      <c r="B112" s="28"/>
      <c r="C112" s="106"/>
      <c r="D112" s="28"/>
      <c r="E112" s="28"/>
      <c r="F112" s="28"/>
      <c r="G112" s="28"/>
      <c r="H112" s="28"/>
      <c r="I112" s="28"/>
      <c r="J112" s="28"/>
      <c r="K112" s="28"/>
      <c r="L112" s="28"/>
      <c r="M112" s="28"/>
      <c r="N112" s="28"/>
    </row>
    <row r="113" spans="2:16" ht="18" customHeight="1" x14ac:dyDescent="0.3">
      <c r="B113" s="21" t="s">
        <v>1047</v>
      </c>
      <c r="C113" s="106"/>
      <c r="D113" s="28"/>
      <c r="E113" s="28"/>
      <c r="F113" s="28"/>
      <c r="G113" s="28"/>
      <c r="H113" s="28"/>
      <c r="I113" s="28"/>
      <c r="J113" s="28"/>
      <c r="K113" s="28"/>
      <c r="L113" s="28"/>
      <c r="M113" s="28"/>
      <c r="N113" s="28"/>
      <c r="P113" s="86"/>
    </row>
    <row r="114" spans="2:16" ht="18" customHeight="1" x14ac:dyDescent="0.3">
      <c r="B114" s="484" t="s">
        <v>337</v>
      </c>
      <c r="C114" s="480" t="s">
        <v>267</v>
      </c>
      <c r="D114" s="480" t="s">
        <v>268</v>
      </c>
      <c r="E114" s="480" t="s">
        <v>269</v>
      </c>
      <c r="F114" s="480" t="s">
        <v>270</v>
      </c>
      <c r="G114" s="480" t="s">
        <v>271</v>
      </c>
      <c r="H114" s="480" t="s">
        <v>272</v>
      </c>
      <c r="I114" s="480" t="s">
        <v>273</v>
      </c>
      <c r="J114" s="480" t="s">
        <v>274</v>
      </c>
      <c r="K114" s="480" t="s">
        <v>275</v>
      </c>
      <c r="L114" s="480" t="s">
        <v>276</v>
      </c>
      <c r="M114" s="480" t="s">
        <v>277</v>
      </c>
      <c r="N114" s="480" t="s">
        <v>278</v>
      </c>
      <c r="O114" s="480" t="s">
        <v>279</v>
      </c>
      <c r="P114" s="481" t="s">
        <v>873</v>
      </c>
    </row>
    <row r="115" spans="2:16" ht="18" customHeight="1" x14ac:dyDescent="0.3">
      <c r="B115" s="15"/>
      <c r="C115" s="18" t="e" cm="1">
        <f t="array" ref="C115">-IFERROR(
SUM(_xlfn._xlws.FILTER(Table_ThuChiKD[Phí GD],
(Table_ThuChiKD[TK GD] = Table_KeHoach_ChiPhiThanhToan[[#This Row],[Kế hoạch chi phí thanh toán]]) *
(Table_ThuChiKD[Ngày GD] &gt;=BCQT_BatDau) *
(Table_ThuChiKD[Ngày GD] &lt; BCQT_KetThuc )
)),0)/
ROUND((BCQT_KetThuc-BCQT_BatDau)/(365.25/12),0)</f>
        <v>#DIV/0!</v>
      </c>
      <c r="D115" s="18" t="e">
        <f>-
INDEX(Table_KeHoach_DoanhThuTaiKhoan[#All],
MATCH(Table_KeHoach_ChiPhiThanhToan[[#This Row],[Kế hoạch chi phí thanh toán]],Table_KeHoach_DoanhThuTaiKhoan[[#All],[Kế hoạch tỷ trọng doanh thu]],0),
MATCH(D$114,Table_KeHoach_DoanhThuTaiKhoan[#Headers],0)) *
INDEX(Table_KeHoach_ChietKhauThanToan[#All],
MATCH(Table_KeHoach_ChiPhiThanhToan[[#This Row],[Kế hoạch chi phí thanh toán]],Table_KeHoach_ChietKhauThanToan[[#All],[Kế hoạch tỷ lệ CK thanh toán]],0),
MATCH(D$114,Table_KeHoach_ChietKhauThanToan[#Headers],0)) *
HLOOKUP(D$114,Table_KeHoach_DoanhThu[#All],COUNTA(Table_KeHoach_DoanhThu[[#All],[Kế hoạch doanh thu gộp]]),0)</f>
        <v>#N/A</v>
      </c>
      <c r="E115" s="18" t="e">
        <f>-
INDEX(Table_KeHoach_DoanhThuTaiKhoan[#All],
MATCH(Table_KeHoach_ChiPhiThanhToan[[#This Row],[Kế hoạch chi phí thanh toán]],Table_KeHoach_DoanhThuTaiKhoan[[#All],[Kế hoạch tỷ trọng doanh thu]],0),
MATCH(E$114,Table_KeHoach_DoanhThuTaiKhoan[#Headers],0)) *
INDEX(Table_KeHoach_ChietKhauThanToan[#All],
MATCH(Table_KeHoach_ChiPhiThanhToan[[#This Row],[Kế hoạch chi phí thanh toán]],Table_KeHoach_ChietKhauThanToan[[#All],[Kế hoạch tỷ lệ CK thanh toán]],0),
MATCH(E$114,Table_KeHoach_ChietKhauThanToan[#Headers],0)) *
HLOOKUP(E$114,Table_KeHoach_DoanhThu[#All],COUNTA(Table_KeHoach_DoanhThu[[#All],[Kế hoạch doanh thu gộp]]),0)</f>
        <v>#N/A</v>
      </c>
      <c r="F115" s="18" t="e">
        <f>-
INDEX(Table_KeHoach_DoanhThuTaiKhoan[#All],
MATCH(Table_KeHoach_ChiPhiThanhToan[[#This Row],[Kế hoạch chi phí thanh toán]],Table_KeHoach_DoanhThuTaiKhoan[[#All],[Kế hoạch tỷ trọng doanh thu]],0),
MATCH(F$114,Table_KeHoach_DoanhThuTaiKhoan[#Headers],0)) *
INDEX(Table_KeHoach_ChietKhauThanToan[#All],
MATCH(Table_KeHoach_ChiPhiThanhToan[[#This Row],[Kế hoạch chi phí thanh toán]],Table_KeHoach_ChietKhauThanToan[[#All],[Kế hoạch tỷ lệ CK thanh toán]],0),
MATCH(F$114,Table_KeHoach_ChietKhauThanToan[#Headers],0)) *
HLOOKUP(F$114,Table_KeHoach_DoanhThu[#All],COUNTA(Table_KeHoach_DoanhThu[[#All],[Kế hoạch doanh thu gộp]]),0)</f>
        <v>#N/A</v>
      </c>
      <c r="G115" s="18" t="e">
        <f>-
INDEX(Table_KeHoach_DoanhThuTaiKhoan[#All],
MATCH(Table_KeHoach_ChiPhiThanhToan[[#This Row],[Kế hoạch chi phí thanh toán]],Table_KeHoach_DoanhThuTaiKhoan[[#All],[Kế hoạch tỷ trọng doanh thu]],0),
MATCH(G$114,Table_KeHoach_DoanhThuTaiKhoan[#Headers],0)) *
INDEX(Table_KeHoach_ChietKhauThanToan[#All],
MATCH(Table_KeHoach_ChiPhiThanhToan[[#This Row],[Kế hoạch chi phí thanh toán]],Table_KeHoach_ChietKhauThanToan[[#All],[Kế hoạch tỷ lệ CK thanh toán]],0),
MATCH(G$114,Table_KeHoach_ChietKhauThanToan[#Headers],0)) *
HLOOKUP(G$114,Table_KeHoach_DoanhThu[#All],COUNTA(Table_KeHoach_DoanhThu[[#All],[Kế hoạch doanh thu gộp]]),0)</f>
        <v>#N/A</v>
      </c>
      <c r="H115" s="18" t="e">
        <f>-
INDEX(Table_KeHoach_DoanhThuTaiKhoan[#All],
MATCH(Table_KeHoach_ChiPhiThanhToan[[#This Row],[Kế hoạch chi phí thanh toán]],Table_KeHoach_DoanhThuTaiKhoan[[#All],[Kế hoạch tỷ trọng doanh thu]],0),
MATCH(H$114,Table_KeHoach_DoanhThuTaiKhoan[#Headers],0)) *
INDEX(Table_KeHoach_ChietKhauThanToan[#All],
MATCH(Table_KeHoach_ChiPhiThanhToan[[#This Row],[Kế hoạch chi phí thanh toán]],Table_KeHoach_ChietKhauThanToan[[#All],[Kế hoạch tỷ lệ CK thanh toán]],0),
MATCH(H$114,Table_KeHoach_ChietKhauThanToan[#Headers],0)) *
HLOOKUP(H$114,Table_KeHoach_DoanhThu[#All],COUNTA(Table_KeHoach_DoanhThu[[#All],[Kế hoạch doanh thu gộp]]),0)</f>
        <v>#N/A</v>
      </c>
      <c r="I115" s="18" t="e">
        <f>-
INDEX(Table_KeHoach_DoanhThuTaiKhoan[#All],
MATCH(Table_KeHoach_ChiPhiThanhToan[[#This Row],[Kế hoạch chi phí thanh toán]],Table_KeHoach_DoanhThuTaiKhoan[[#All],[Kế hoạch tỷ trọng doanh thu]],0),
MATCH(I$114,Table_KeHoach_DoanhThuTaiKhoan[#Headers],0)) *
INDEX(Table_KeHoach_ChietKhauThanToan[#All],
MATCH(Table_KeHoach_ChiPhiThanhToan[[#This Row],[Kế hoạch chi phí thanh toán]],Table_KeHoach_ChietKhauThanToan[[#All],[Kế hoạch tỷ lệ CK thanh toán]],0),
MATCH(I$114,Table_KeHoach_ChietKhauThanToan[#Headers],0)) *
HLOOKUP(I$114,Table_KeHoach_DoanhThu[#All],COUNTA(Table_KeHoach_DoanhThu[[#All],[Kế hoạch doanh thu gộp]]),0)</f>
        <v>#N/A</v>
      </c>
      <c r="J115" s="18" t="e">
        <f>-
INDEX(Table_KeHoach_DoanhThuTaiKhoan[#All],
MATCH(Table_KeHoach_ChiPhiThanhToan[[#This Row],[Kế hoạch chi phí thanh toán]],Table_KeHoach_DoanhThuTaiKhoan[[#All],[Kế hoạch tỷ trọng doanh thu]],0),
MATCH(J$114,Table_KeHoach_DoanhThuTaiKhoan[#Headers],0)) *
INDEX(Table_KeHoach_ChietKhauThanToan[#All],
MATCH(Table_KeHoach_ChiPhiThanhToan[[#This Row],[Kế hoạch chi phí thanh toán]],Table_KeHoach_ChietKhauThanToan[[#All],[Kế hoạch tỷ lệ CK thanh toán]],0),
MATCH(J$114,Table_KeHoach_ChietKhauThanToan[#Headers],0)) *
HLOOKUP(J$114,Table_KeHoach_DoanhThu[#All],COUNTA(Table_KeHoach_DoanhThu[[#All],[Kế hoạch doanh thu gộp]]),0)</f>
        <v>#N/A</v>
      </c>
      <c r="K115" s="18" t="e">
        <f>-
INDEX(Table_KeHoach_DoanhThuTaiKhoan[#All],
MATCH(Table_KeHoach_ChiPhiThanhToan[[#This Row],[Kế hoạch chi phí thanh toán]],Table_KeHoach_DoanhThuTaiKhoan[[#All],[Kế hoạch tỷ trọng doanh thu]],0),
MATCH(K$114,Table_KeHoach_DoanhThuTaiKhoan[#Headers],0)) *
INDEX(Table_KeHoach_ChietKhauThanToan[#All],
MATCH(Table_KeHoach_ChiPhiThanhToan[[#This Row],[Kế hoạch chi phí thanh toán]],Table_KeHoach_ChietKhauThanToan[[#All],[Kế hoạch tỷ lệ CK thanh toán]],0),
MATCH(K$114,Table_KeHoach_ChietKhauThanToan[#Headers],0)) *
HLOOKUP(K$114,Table_KeHoach_DoanhThu[#All],COUNTA(Table_KeHoach_DoanhThu[[#All],[Kế hoạch doanh thu gộp]]),0)</f>
        <v>#N/A</v>
      </c>
      <c r="L115" s="18" t="e">
        <f>-
INDEX(Table_KeHoach_DoanhThuTaiKhoan[#All],
MATCH(Table_KeHoach_ChiPhiThanhToan[[#This Row],[Kế hoạch chi phí thanh toán]],Table_KeHoach_DoanhThuTaiKhoan[[#All],[Kế hoạch tỷ trọng doanh thu]],0),
MATCH(L$114,Table_KeHoach_DoanhThuTaiKhoan[#Headers],0)) *
INDEX(Table_KeHoach_ChietKhauThanToan[#All],
MATCH(Table_KeHoach_ChiPhiThanhToan[[#This Row],[Kế hoạch chi phí thanh toán]],Table_KeHoach_ChietKhauThanToan[[#All],[Kế hoạch tỷ lệ CK thanh toán]],0),
MATCH(L$114,Table_KeHoach_ChietKhauThanToan[#Headers],0)) *
HLOOKUP(L$114,Table_KeHoach_DoanhThu[#All],COUNTA(Table_KeHoach_DoanhThu[[#All],[Kế hoạch doanh thu gộp]]),0)</f>
        <v>#N/A</v>
      </c>
      <c r="M115" s="18" t="e">
        <f>-
INDEX(Table_KeHoach_DoanhThuTaiKhoan[#All],
MATCH(Table_KeHoach_ChiPhiThanhToan[[#This Row],[Kế hoạch chi phí thanh toán]],Table_KeHoach_DoanhThuTaiKhoan[[#All],[Kế hoạch tỷ trọng doanh thu]],0),
MATCH(M$114,Table_KeHoach_DoanhThuTaiKhoan[#Headers],0)) *
INDEX(Table_KeHoach_ChietKhauThanToan[#All],
MATCH(Table_KeHoach_ChiPhiThanhToan[[#This Row],[Kế hoạch chi phí thanh toán]],Table_KeHoach_ChietKhauThanToan[[#All],[Kế hoạch tỷ lệ CK thanh toán]],0),
MATCH(M$114,Table_KeHoach_ChietKhauThanToan[#Headers],0)) *
HLOOKUP(M$114,Table_KeHoach_DoanhThu[#All],COUNTA(Table_KeHoach_DoanhThu[[#All],[Kế hoạch doanh thu gộp]]),0)</f>
        <v>#N/A</v>
      </c>
      <c r="N115" s="18" t="e">
        <f>-
INDEX(Table_KeHoach_DoanhThuTaiKhoan[#All],
MATCH(Table_KeHoach_ChiPhiThanhToan[[#This Row],[Kế hoạch chi phí thanh toán]],Table_KeHoach_DoanhThuTaiKhoan[[#All],[Kế hoạch tỷ trọng doanh thu]],0),
MATCH(N$114,Table_KeHoach_DoanhThuTaiKhoan[#Headers],0)) *
INDEX(Table_KeHoach_ChietKhauThanToan[#All],
MATCH(Table_KeHoach_ChiPhiThanhToan[[#This Row],[Kế hoạch chi phí thanh toán]],Table_KeHoach_ChietKhauThanToan[[#All],[Kế hoạch tỷ lệ CK thanh toán]],0),
MATCH(N$114,Table_KeHoach_ChietKhauThanToan[#Headers],0)) *
HLOOKUP(N$114,Table_KeHoach_DoanhThu[#All],COUNTA(Table_KeHoach_DoanhThu[[#All],[Kế hoạch doanh thu gộp]]),0)</f>
        <v>#N/A</v>
      </c>
      <c r="O115" s="18" t="e">
        <f>-
INDEX(Table_KeHoach_DoanhThuTaiKhoan[#All],
MATCH(Table_KeHoach_ChiPhiThanhToan[[#This Row],[Kế hoạch chi phí thanh toán]],Table_KeHoach_DoanhThuTaiKhoan[[#All],[Kế hoạch tỷ trọng doanh thu]],0),
MATCH(O$114,Table_KeHoach_DoanhThuTaiKhoan[#Headers],0)) *
INDEX(Table_KeHoach_ChietKhauThanToan[#All],
MATCH(Table_KeHoach_ChiPhiThanhToan[[#This Row],[Kế hoạch chi phí thanh toán]],Table_KeHoach_ChietKhauThanToan[[#All],[Kế hoạch tỷ lệ CK thanh toán]],0),
MATCH(O$114,Table_KeHoach_ChietKhauThanToan[#Headers],0)) *
HLOOKUP(O$114,Table_KeHoach_DoanhThu[#All],COUNTA(Table_KeHoach_DoanhThu[[#All],[Kế hoạch doanh thu gộp]]),0)</f>
        <v>#N/A</v>
      </c>
      <c r="P115" s="18"/>
    </row>
    <row r="116" spans="2:16" ht="18" customHeight="1" x14ac:dyDescent="0.3">
      <c r="B116" s="483" t="s">
        <v>1029</v>
      </c>
      <c r="C116" s="483" t="e">
        <f>SUBTOTAL(109,Table_KeHoach_ChiPhiThanhToan[Tham chiếu])</f>
        <v>#DIV/0!</v>
      </c>
      <c r="D116" s="483" t="e">
        <f>SUBTOTAL(109,Table_KeHoach_ChiPhiThanhToan[Tháng 1])</f>
        <v>#N/A</v>
      </c>
      <c r="E116" s="483" t="e">
        <f>SUBTOTAL(109,Table_KeHoach_ChiPhiThanhToan[Tháng 2])</f>
        <v>#N/A</v>
      </c>
      <c r="F116" s="483" t="e">
        <f>SUBTOTAL(109,Table_KeHoach_ChiPhiThanhToan[Tháng 3])</f>
        <v>#N/A</v>
      </c>
      <c r="G116" s="483" t="e">
        <f>SUBTOTAL(109,Table_KeHoach_ChiPhiThanhToan[Tháng 4])</f>
        <v>#N/A</v>
      </c>
      <c r="H116" s="483" t="e">
        <f>SUBTOTAL(109,Table_KeHoach_ChiPhiThanhToan[Tháng 5])</f>
        <v>#N/A</v>
      </c>
      <c r="I116" s="483" t="e">
        <f>SUBTOTAL(109,Table_KeHoach_ChiPhiThanhToan[Tháng 6])</f>
        <v>#N/A</v>
      </c>
      <c r="J116" s="483" t="e">
        <f>SUBTOTAL(109,Table_KeHoach_ChiPhiThanhToan[Tháng 7])</f>
        <v>#N/A</v>
      </c>
      <c r="K116" s="483" t="e">
        <f>SUBTOTAL(109,Table_KeHoach_ChiPhiThanhToan[Tháng 8])</f>
        <v>#N/A</v>
      </c>
      <c r="L116" s="483" t="e">
        <f>SUBTOTAL(109,Table_KeHoach_ChiPhiThanhToan[Tháng 9])</f>
        <v>#N/A</v>
      </c>
      <c r="M116" s="483" t="e">
        <f>SUBTOTAL(109,Table_KeHoach_ChiPhiThanhToan[Tháng 10])</f>
        <v>#N/A</v>
      </c>
      <c r="N116" s="483" t="e">
        <f>SUBTOTAL(109,Table_KeHoach_ChiPhiThanhToan[Tháng 11])</f>
        <v>#N/A</v>
      </c>
      <c r="O116" s="483" t="e">
        <f>SUBTOTAL(109,Table_KeHoach_ChiPhiThanhToan[Tháng 12])</f>
        <v>#N/A</v>
      </c>
      <c r="P116" s="483"/>
    </row>
    <row r="118" spans="2:16" ht="18" customHeight="1" x14ac:dyDescent="0.3">
      <c r="B118" s="7" t="s">
        <v>1048</v>
      </c>
      <c r="P118" s="68"/>
    </row>
    <row r="119" spans="2:16" ht="18" customHeight="1" x14ac:dyDescent="0.3">
      <c r="B119" s="7" t="s">
        <v>338</v>
      </c>
      <c r="C119" s="12" t="s">
        <v>267</v>
      </c>
      <c r="D119" s="16" t="s">
        <v>268</v>
      </c>
      <c r="E119" s="16" t="s">
        <v>269</v>
      </c>
      <c r="F119" s="16" t="s">
        <v>270</v>
      </c>
      <c r="G119" s="16" t="s">
        <v>271</v>
      </c>
      <c r="H119" s="16" t="s">
        <v>272</v>
      </c>
      <c r="I119" s="16" t="s">
        <v>273</v>
      </c>
      <c r="J119" s="16" t="s">
        <v>274</v>
      </c>
      <c r="K119" s="16" t="s">
        <v>275</v>
      </c>
      <c r="L119" s="16" t="s">
        <v>276</v>
      </c>
      <c r="M119" s="16" t="s">
        <v>277</v>
      </c>
      <c r="N119" s="16" t="s">
        <v>278</v>
      </c>
      <c r="O119" s="16" t="s">
        <v>279</v>
      </c>
      <c r="P119" s="4" t="s">
        <v>873</v>
      </c>
    </row>
    <row r="120" spans="2:16" ht="18" customHeight="1" x14ac:dyDescent="0.3">
      <c r="B120" s="45" t="s">
        <v>339</v>
      </c>
      <c r="C120" s="68" t="e">
        <f>-C121/SUM(Table_KeHoach_DoanhThu[Tham chiếu])</f>
        <v>#DIV/0!</v>
      </c>
      <c r="D120" s="68"/>
      <c r="E120" s="68"/>
      <c r="F120" s="68"/>
      <c r="G120" s="68"/>
      <c r="H120" s="68"/>
      <c r="I120" s="68"/>
      <c r="J120" s="68"/>
      <c r="K120" s="68"/>
      <c r="L120" s="68"/>
      <c r="M120" s="68"/>
      <c r="N120" s="68"/>
      <c r="O120" s="68"/>
      <c r="P120" s="68"/>
    </row>
    <row r="121" spans="2:16" ht="18" customHeight="1" x14ac:dyDescent="0.3">
      <c r="B121" s="482" t="s">
        <v>290</v>
      </c>
      <c r="C121" s="482" t="e" cm="1">
        <f t="array" ref="C121"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1" s="482" t="e">
        <f>-D120*HLOOKUP(D$119,Table_KeHoach_DoanhThu[#All],COUNTA(Table_KeHoach_DoanhThu[[#All],[Kế hoạch doanh thu gộp]]),0)</f>
        <v>#N/A</v>
      </c>
      <c r="E121" s="482" t="e">
        <f>-E120*HLOOKUP(E$119,Table_KeHoach_DoanhThu[#All],COUNTA(Table_KeHoach_DoanhThu[[#All],[Kế hoạch doanh thu gộp]]),0)</f>
        <v>#N/A</v>
      </c>
      <c r="F121" s="482" t="e">
        <f>-F120*HLOOKUP(F$119,Table_KeHoach_DoanhThu[#All],COUNTA(Table_KeHoach_DoanhThu[[#All],[Kế hoạch doanh thu gộp]]),0)</f>
        <v>#N/A</v>
      </c>
      <c r="G121" s="482" t="e">
        <f>-G120*HLOOKUP(G$119,Table_KeHoach_DoanhThu[#All],COUNTA(Table_KeHoach_DoanhThu[[#All],[Kế hoạch doanh thu gộp]]),0)</f>
        <v>#N/A</v>
      </c>
      <c r="H121" s="482" t="e">
        <f>-H120*HLOOKUP(H$119,Table_KeHoach_DoanhThu[#All],COUNTA(Table_KeHoach_DoanhThu[[#All],[Kế hoạch doanh thu gộp]]),0)</f>
        <v>#N/A</v>
      </c>
      <c r="I121" s="482" t="e">
        <f>-I120*HLOOKUP(I$119,Table_KeHoach_DoanhThu[#All],COUNTA(Table_KeHoach_DoanhThu[[#All],[Kế hoạch doanh thu gộp]]),0)</f>
        <v>#N/A</v>
      </c>
      <c r="J121" s="482" t="e">
        <f>-J120*HLOOKUP(J$119,Table_KeHoach_DoanhThu[#All],COUNTA(Table_KeHoach_DoanhThu[[#All],[Kế hoạch doanh thu gộp]]),0)</f>
        <v>#N/A</v>
      </c>
      <c r="K121" s="482" t="e">
        <f>-K120*HLOOKUP(K$119,Table_KeHoach_DoanhThu[#All],COUNTA(Table_KeHoach_DoanhThu[[#All],[Kế hoạch doanh thu gộp]]),0)</f>
        <v>#N/A</v>
      </c>
      <c r="L121" s="482" t="e">
        <f>-L120*HLOOKUP(L$119,Table_KeHoach_DoanhThu[#All],COUNTA(Table_KeHoach_DoanhThu[[#All],[Kế hoạch doanh thu gộp]]),0)</f>
        <v>#N/A</v>
      </c>
      <c r="M121" s="482" t="e">
        <f>-M120*HLOOKUP(M$119,Table_KeHoach_DoanhThu[#All],COUNTA(Table_KeHoach_DoanhThu[[#All],[Kế hoạch doanh thu gộp]]),0)</f>
        <v>#N/A</v>
      </c>
      <c r="N121" s="482" t="e">
        <f>-N120*HLOOKUP(N$119,Table_KeHoach_DoanhThu[#All],COUNTA(Table_KeHoach_DoanhThu[[#All],[Kế hoạch doanh thu gộp]]),0)</f>
        <v>#N/A</v>
      </c>
      <c r="O121" s="482" t="e">
        <f>-O120*HLOOKUP(O$119,Table_KeHoach_DoanhThu[#All],COUNTA(Table_KeHoach_DoanhThu[[#All],[Kế hoạch doanh thu gộp]]),0)</f>
        <v>#N/A</v>
      </c>
      <c r="P121" s="482">
        <f>-P120*HLOOKUP(P$119,Table_KeHoach_DoanhThu[#All],COUNTA(Table_KeHoach_DoanhThu[[#All],[Kế hoạch doanh thu gộp]]),0)</f>
        <v>0</v>
      </c>
    </row>
    <row r="123" spans="2:16" ht="18" customHeight="1" x14ac:dyDescent="0.3">
      <c r="B123" s="7" t="s">
        <v>1049</v>
      </c>
    </row>
    <row r="124" spans="2:16" ht="18" customHeight="1" x14ac:dyDescent="0.3">
      <c r="B124" s="15" t="s">
        <v>340</v>
      </c>
      <c r="C124" s="480" t="s">
        <v>267</v>
      </c>
      <c r="D124" s="480" t="s">
        <v>268</v>
      </c>
      <c r="E124" s="480" t="s">
        <v>269</v>
      </c>
      <c r="F124" s="480" t="s">
        <v>270</v>
      </c>
      <c r="G124" s="480" t="s">
        <v>271</v>
      </c>
      <c r="H124" s="480" t="s">
        <v>272</v>
      </c>
      <c r="I124" s="480" t="s">
        <v>273</v>
      </c>
      <c r="J124" s="480" t="s">
        <v>274</v>
      </c>
      <c r="K124" s="480" t="s">
        <v>275</v>
      </c>
      <c r="L124" s="480" t="s">
        <v>276</v>
      </c>
      <c r="M124" s="480" t="s">
        <v>277</v>
      </c>
      <c r="N124" s="480" t="s">
        <v>278</v>
      </c>
      <c r="O124" s="480" t="s">
        <v>279</v>
      </c>
      <c r="P124" s="481" t="s">
        <v>873</v>
      </c>
    </row>
    <row r="125" spans="2:16" ht="18" customHeight="1" x14ac:dyDescent="0.3">
      <c r="B125" s="15"/>
      <c r="C125" s="15" t="e">
        <f>-VLOOKUP(Table_KeHoach_LuongNet[[#This Row],[Kế hoạch lương gross]],Table_NhanVien[],COUNTA(Table_NhanVien[[#Headers],[Mã NV]:[Lương gross]]),0)</f>
        <v>#N/A</v>
      </c>
      <c r="D125" s="15"/>
      <c r="E125" s="15"/>
      <c r="F125" s="15"/>
      <c r="G125" s="15"/>
      <c r="H125" s="15"/>
      <c r="I125" s="15"/>
      <c r="J125" s="15"/>
      <c r="K125" s="15"/>
      <c r="L125" s="15"/>
      <c r="M125" s="15"/>
      <c r="N125" s="15"/>
      <c r="O125" s="15"/>
      <c r="P125" s="15"/>
    </row>
    <row r="127" spans="2:16" ht="18" customHeight="1" x14ac:dyDescent="0.3">
      <c r="B127" s="7" t="s">
        <v>1050</v>
      </c>
      <c r="P127" s="85"/>
    </row>
    <row r="128" spans="2:16" ht="18" customHeight="1" x14ac:dyDescent="0.3">
      <c r="B128" s="484" t="s">
        <v>1069</v>
      </c>
      <c r="C128" s="480" t="s">
        <v>267</v>
      </c>
      <c r="D128" s="480" t="s">
        <v>268</v>
      </c>
      <c r="E128" s="480" t="s">
        <v>269</v>
      </c>
      <c r="F128" s="480" t="s">
        <v>270</v>
      </c>
      <c r="G128" s="480" t="s">
        <v>271</v>
      </c>
      <c r="H128" s="480" t="s">
        <v>272</v>
      </c>
      <c r="I128" s="480" t="s">
        <v>273</v>
      </c>
      <c r="J128" s="480" t="s">
        <v>274</v>
      </c>
      <c r="K128" s="480" t="s">
        <v>275</v>
      </c>
      <c r="L128" s="480" t="s">
        <v>276</v>
      </c>
      <c r="M128" s="480" t="s">
        <v>277</v>
      </c>
      <c r="N128" s="480" t="s">
        <v>278</v>
      </c>
      <c r="O128" s="480" t="s">
        <v>279</v>
      </c>
      <c r="P128" s="481" t="s">
        <v>873</v>
      </c>
    </row>
    <row r="129" spans="2:16" ht="18" customHeight="1" x14ac:dyDescent="0.3">
      <c r="B129" s="15"/>
      <c r="C129" s="18" t="e" cm="1">
        <f t="array" ref="C129"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29" s="18" t="e">
        <f xml:space="preserve">
INDEX(Table_KeHoach_LuongNet[#All],
MATCH(Table_KeHoach_LuongGross[[#This Row],[Kế hoạch chi phí nhân sự (+ bảo hiểm)]],Table_KeHoach_LuongNet[[#All],[Kế hoạch lương gross]],0),
MATCH(D$128,Table_KeHoach_LuongNet[#Headers],0))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29" s="18" t="e">
        <f xml:space="preserve">
INDEX(Table_KeHoach_LuongNet[#All],
MATCH(Table_KeHoach_LuongGross[[#This Row],[Kế hoạch chi phí nhân sự (+ bảo hiểm)]],Table_KeHoach_LuongNet[[#All],[Kế hoạch lương gross]],0),
MATCH(E$128,Table_KeHoach_LuongNet[#Headers],0))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29" s="18" t="e">
        <f xml:space="preserve">
INDEX(Table_KeHoach_LuongNet[#All],
MATCH(Table_KeHoach_LuongGross[[#This Row],[Kế hoạch chi phí nhân sự (+ bảo hiểm)]],Table_KeHoach_LuongNet[[#All],[Kế hoạch lương gross]],0),
MATCH(F$128,Table_KeHoach_LuongNet[#Headers],0))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29" s="18" t="e">
        <f xml:space="preserve">
INDEX(Table_KeHoach_LuongNet[#All],
MATCH(Table_KeHoach_LuongGross[[#This Row],[Kế hoạch chi phí nhân sự (+ bảo hiểm)]],Table_KeHoach_LuongNet[[#All],[Kế hoạch lương gross]],0),
MATCH(G$128,Table_KeHoach_LuongNet[#Headers],0))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29" s="18" t="e">
        <f xml:space="preserve">
INDEX(Table_KeHoach_LuongNet[#All],
MATCH(Table_KeHoach_LuongGross[[#This Row],[Kế hoạch chi phí nhân sự (+ bảo hiểm)]],Table_KeHoach_LuongNet[[#All],[Kế hoạch lương gross]],0),
MATCH(H$128,Table_KeHoach_LuongNet[#Headers],0))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29" s="18" t="e">
        <f xml:space="preserve">
INDEX(Table_KeHoach_LuongNet[#All],
MATCH(Table_KeHoach_LuongGross[[#This Row],[Kế hoạch chi phí nhân sự (+ bảo hiểm)]],Table_KeHoach_LuongNet[[#All],[Kế hoạch lương gross]],0),
MATCH(I$128,Table_KeHoach_LuongNet[#Headers],0))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29" s="18" t="e">
        <f xml:space="preserve">
INDEX(Table_KeHoach_LuongNet[#All],
MATCH(Table_KeHoach_LuongGross[[#This Row],[Kế hoạch chi phí nhân sự (+ bảo hiểm)]],Table_KeHoach_LuongNet[[#All],[Kế hoạch lương gross]],0),
MATCH(J$128,Table_KeHoach_LuongNet[#Headers],0))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29" s="18" t="e">
        <f xml:space="preserve">
INDEX(Table_KeHoach_LuongNet[#All],
MATCH(Table_KeHoach_LuongGross[[#This Row],[Kế hoạch chi phí nhân sự (+ bảo hiểm)]],Table_KeHoach_LuongNet[[#All],[Kế hoạch lương gross]],0),
MATCH(K$128,Table_KeHoach_LuongNet[#Headers],0))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29" s="18" t="e">
        <f xml:space="preserve">
INDEX(Table_KeHoach_LuongNet[#All],
MATCH(Table_KeHoach_LuongGross[[#This Row],[Kế hoạch chi phí nhân sự (+ bảo hiểm)]],Table_KeHoach_LuongNet[[#All],[Kế hoạch lương gross]],0),
MATCH(L$128,Table_KeHoach_LuongNet[#Headers],0))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29" s="18" t="e">
        <f xml:space="preserve">
INDEX(Table_KeHoach_LuongNet[#All],
MATCH(Table_KeHoach_LuongGross[[#This Row],[Kế hoạch chi phí nhân sự (+ bảo hiểm)]],Table_KeHoach_LuongNet[[#All],[Kế hoạch lương gross]],0),
MATCH(M$128,Table_KeHoach_LuongNet[#Headers],0))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29" s="18" t="e">
        <f xml:space="preserve">
INDEX(Table_KeHoach_LuongNet[#All],
MATCH(Table_KeHoach_LuongGross[[#This Row],[Kế hoạch chi phí nhân sự (+ bảo hiểm)]],Table_KeHoach_LuongNet[[#All],[Kế hoạch lương gross]],0),
MATCH(N$128,Table_KeHoach_LuongNet[#Headers],0))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29" s="18" t="e">
        <f xml:space="preserve">
INDEX(Table_KeHoach_LuongNet[#All],
MATCH(Table_KeHoach_LuongGross[[#This Row],[Kế hoạch chi phí nhân sự (+ bảo hiểm)]],Table_KeHoach_LuongNet[[#All],[Kế hoạch lương gross]],0),
MATCH(O$128,Table_KeHoach_LuongNet[#Headers],0))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MATCH(O$128,Table_KeHoach_LuongNet[#Headers],0))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MATCH(O$128,Table_KeHoach_LuongNet[#Headers],0))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29" s="18"/>
    </row>
    <row r="130" spans="2:16" ht="18" customHeight="1" x14ac:dyDescent="0.3">
      <c r="B130" s="498" t="s">
        <v>1029</v>
      </c>
      <c r="C130" s="498" t="e">
        <f>SUBTOTAL(109,Table_KeHoach_LuongGross[Tham chiếu])</f>
        <v>#DIV/0!</v>
      </c>
      <c r="D130" s="498" t="e">
        <f>SUBTOTAL(109,Table_KeHoach_LuongGross[Tháng 1])</f>
        <v>#N/A</v>
      </c>
      <c r="E130" s="498" t="e">
        <f>SUBTOTAL(109,Table_KeHoach_LuongGross[Tháng 2])</f>
        <v>#N/A</v>
      </c>
      <c r="F130" s="498" t="e">
        <f>SUBTOTAL(109,Table_KeHoach_LuongGross[Tháng 3])</f>
        <v>#N/A</v>
      </c>
      <c r="G130" s="498" t="e">
        <f>SUBTOTAL(109,Table_KeHoach_LuongGross[Tháng 4])</f>
        <v>#N/A</v>
      </c>
      <c r="H130" s="498" t="e">
        <f>SUBTOTAL(109,Table_KeHoach_LuongGross[Tháng 5])</f>
        <v>#N/A</v>
      </c>
      <c r="I130" s="498" t="e">
        <f>SUBTOTAL(109,Table_KeHoach_LuongGross[Tháng 6])</f>
        <v>#N/A</v>
      </c>
      <c r="J130" s="498" t="e">
        <f>SUBTOTAL(109,Table_KeHoach_LuongGross[Tháng 7])</f>
        <v>#N/A</v>
      </c>
      <c r="K130" s="498" t="e">
        <f>SUBTOTAL(109,Table_KeHoach_LuongGross[Tháng 8])</f>
        <v>#N/A</v>
      </c>
      <c r="L130" s="498" t="e">
        <f>SUBTOTAL(109,Table_KeHoach_LuongGross[Tháng 9])</f>
        <v>#N/A</v>
      </c>
      <c r="M130" s="498" t="e">
        <f>SUBTOTAL(109,Table_KeHoach_LuongGross[Tháng 10])</f>
        <v>#N/A</v>
      </c>
      <c r="N130" s="498" t="e">
        <f>SUBTOTAL(109,Table_KeHoach_LuongGross[Tháng 11])</f>
        <v>#N/A</v>
      </c>
      <c r="O130" s="498" t="e">
        <f>SUBTOTAL(109,Table_KeHoach_LuongGross[Tháng 12])</f>
        <v>#N/A</v>
      </c>
      <c r="P130" s="498"/>
    </row>
    <row r="132" spans="2:16" ht="18" customHeight="1" x14ac:dyDescent="0.3">
      <c r="B132" s="7" t="s">
        <v>1051</v>
      </c>
      <c r="P132" s="212"/>
    </row>
    <row r="133" spans="2:16" ht="18" customHeight="1" x14ac:dyDescent="0.3">
      <c r="B133" s="15" t="s">
        <v>341</v>
      </c>
      <c r="C133" s="480" t="s">
        <v>267</v>
      </c>
      <c r="D133" s="480" t="s">
        <v>268</v>
      </c>
      <c r="E133" s="480" t="s">
        <v>269</v>
      </c>
      <c r="F133" s="480" t="s">
        <v>270</v>
      </c>
      <c r="G133" s="480" t="s">
        <v>271</v>
      </c>
      <c r="H133" s="480" t="s">
        <v>272</v>
      </c>
      <c r="I133" s="480" t="s">
        <v>273</v>
      </c>
      <c r="J133" s="480" t="s">
        <v>274</v>
      </c>
      <c r="K133" s="480" t="s">
        <v>275</v>
      </c>
      <c r="L133" s="480" t="s">
        <v>276</v>
      </c>
      <c r="M133" s="480" t="s">
        <v>277</v>
      </c>
      <c r="N133" s="480" t="s">
        <v>278</v>
      </c>
      <c r="O133" s="480" t="s">
        <v>279</v>
      </c>
      <c r="P133" s="481" t="s">
        <v>873</v>
      </c>
    </row>
    <row r="134" spans="2:16" ht="18" customHeight="1" x14ac:dyDescent="0.3">
      <c r="B134" s="15"/>
      <c r="C134" s="15" t="e" cm="1">
        <f t="array" ref="C134"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4" s="15"/>
      <c r="E134" s="15"/>
      <c r="F134" s="15"/>
      <c r="G134" s="15"/>
      <c r="H134" s="15"/>
      <c r="I134" s="15"/>
      <c r="J134" s="15"/>
      <c r="K134" s="15"/>
      <c r="L134" s="15"/>
      <c r="M134" s="15"/>
      <c r="N134" s="15"/>
      <c r="O134" s="15"/>
      <c r="P134" s="15"/>
    </row>
    <row r="135" spans="2:16" ht="18" customHeight="1" x14ac:dyDescent="0.3">
      <c r="B135" s="483" t="s">
        <v>1029</v>
      </c>
      <c r="C135" s="483" t="e">
        <f>SUBTOTAL(109,Table_KeHoach_ThuongNhanSu[Tham chiếu])</f>
        <v>#DIV/0!</v>
      </c>
      <c r="D135" s="483">
        <f>SUBTOTAL(109,Table_KeHoach_ThuongNhanSu[Tháng 1])</f>
        <v>0</v>
      </c>
      <c r="E135" s="483">
        <f>SUBTOTAL(109,Table_KeHoach_ThuongNhanSu[Tháng 2])</f>
        <v>0</v>
      </c>
      <c r="F135" s="483">
        <f>SUBTOTAL(109,Table_KeHoach_ThuongNhanSu[Tháng 3])</f>
        <v>0</v>
      </c>
      <c r="G135" s="483">
        <f>SUBTOTAL(109,Table_KeHoach_ThuongNhanSu[Tháng 4])</f>
        <v>0</v>
      </c>
      <c r="H135" s="483">
        <f>SUBTOTAL(109,Table_KeHoach_ThuongNhanSu[Tháng 5])</f>
        <v>0</v>
      </c>
      <c r="I135" s="483">
        <f>SUBTOTAL(109,Table_KeHoach_ThuongNhanSu[Tháng 6])</f>
        <v>0</v>
      </c>
      <c r="J135" s="483">
        <f>SUBTOTAL(109,Table_KeHoach_ThuongNhanSu[Tháng 7])</f>
        <v>0</v>
      </c>
      <c r="K135" s="483">
        <f>SUBTOTAL(109,Table_KeHoach_ThuongNhanSu[Tháng 8])</f>
        <v>0</v>
      </c>
      <c r="L135" s="483">
        <f>SUBTOTAL(109,Table_KeHoach_ThuongNhanSu[Tháng 9])</f>
        <v>0</v>
      </c>
      <c r="M135" s="483">
        <f>SUBTOTAL(109,Table_KeHoach_ThuongNhanSu[Tháng 10])</f>
        <v>0</v>
      </c>
      <c r="N135" s="483">
        <f>SUBTOTAL(109,Table_KeHoach_ThuongNhanSu[Tháng 11])</f>
        <v>0</v>
      </c>
      <c r="O135" s="483">
        <f>SUBTOTAL(109,Table_KeHoach_ThuongNhanSu[Tháng 12])</f>
        <v>0</v>
      </c>
      <c r="P135" s="483"/>
    </row>
    <row r="137" spans="2:16" ht="18" customHeight="1" x14ac:dyDescent="0.3">
      <c r="B137" s="7" t="s">
        <v>1052</v>
      </c>
      <c r="P137" s="18"/>
    </row>
    <row r="138" spans="2:16" ht="18" customHeight="1" x14ac:dyDescent="0.3">
      <c r="B138" s="15" t="s">
        <v>342</v>
      </c>
      <c r="C138" s="480" t="s">
        <v>267</v>
      </c>
      <c r="D138" s="480" t="s">
        <v>268</v>
      </c>
      <c r="E138" s="480" t="s">
        <v>269</v>
      </c>
      <c r="F138" s="480" t="s">
        <v>270</v>
      </c>
      <c r="G138" s="480" t="s">
        <v>271</v>
      </c>
      <c r="H138" s="480" t="s">
        <v>272</v>
      </c>
      <c r="I138" s="480" t="s">
        <v>273</v>
      </c>
      <c r="J138" s="480" t="s">
        <v>274</v>
      </c>
      <c r="K138" s="480" t="s">
        <v>275</v>
      </c>
      <c r="L138" s="480" t="s">
        <v>276</v>
      </c>
      <c r="M138" s="480" t="s">
        <v>277</v>
      </c>
      <c r="N138" s="480" t="s">
        <v>278</v>
      </c>
      <c r="O138" s="480" t="s">
        <v>279</v>
      </c>
      <c r="P138" s="481" t="s">
        <v>873</v>
      </c>
    </row>
    <row r="139" spans="2:16" ht="18" customHeight="1" x14ac:dyDescent="0.3">
      <c r="B139" s="414" t="s">
        <v>343</v>
      </c>
      <c r="C139" s="15" t="e" cm="1">
        <f t="array" ref="C139"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39" s="15"/>
      <c r="E139" s="15"/>
      <c r="F139" s="15"/>
      <c r="G139" s="15"/>
      <c r="H139" s="15"/>
      <c r="I139" s="15"/>
      <c r="J139" s="15"/>
      <c r="K139" s="15"/>
      <c r="L139" s="15"/>
      <c r="M139" s="15"/>
      <c r="N139" s="15"/>
      <c r="O139" s="15"/>
      <c r="P139" s="15"/>
    </row>
    <row r="140" spans="2:16" ht="18" customHeight="1" x14ac:dyDescent="0.3">
      <c r="B140" s="414" t="s">
        <v>344</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4" t="s">
        <v>345</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(LEFT(Table_ChiPhiKD[Nhóm chi phí],LEN(Table_KeHoach_ChiPhiBanHang[[#This Row],[Kế hoạch ngân sách]])) = Table_KeHoach_ChiPhiBanHang[[#This Row],[Kế hoạch ngân sách]])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15">
      <c r="B142" s="483" t="s">
        <v>1029</v>
      </c>
      <c r="C142" s="487" t="e">
        <f>SUBTOTAL(109,Table_KeHoach_ChiPhiBanHang[Tham chiếu])</f>
        <v>#DIV/0!</v>
      </c>
      <c r="D142" s="487">
        <f>SUBTOTAL(109,Table_KeHoach_ChiPhiBanHang[Tháng 1])</f>
        <v>0</v>
      </c>
      <c r="E142" s="487">
        <f>SUBTOTAL(109,Table_KeHoach_ChiPhiBanHang[Tháng 2])</f>
        <v>0</v>
      </c>
      <c r="F142" s="487">
        <f>SUBTOTAL(109,Table_KeHoach_ChiPhiBanHang[Tháng 3])</f>
        <v>0</v>
      </c>
      <c r="G142" s="487">
        <f>SUBTOTAL(109,Table_KeHoach_ChiPhiBanHang[Tháng 4])</f>
        <v>0</v>
      </c>
      <c r="H142" s="487">
        <f>SUBTOTAL(109,Table_KeHoach_ChiPhiBanHang[Tháng 5])</f>
        <v>0</v>
      </c>
      <c r="I142" s="487">
        <f>SUBTOTAL(109,Table_KeHoach_ChiPhiBanHang[Tháng 6])</f>
        <v>0</v>
      </c>
      <c r="J142" s="487">
        <f>SUBTOTAL(109,Table_KeHoach_ChiPhiBanHang[Tháng 7])</f>
        <v>0</v>
      </c>
      <c r="K142" s="487">
        <f>SUBTOTAL(109,Table_KeHoach_ChiPhiBanHang[Tháng 8])</f>
        <v>0</v>
      </c>
      <c r="L142" s="487">
        <f>SUBTOTAL(109,Table_KeHoach_ChiPhiBanHang[Tháng 9])</f>
        <v>0</v>
      </c>
      <c r="M142" s="487">
        <f>SUBTOTAL(109,Table_KeHoach_ChiPhiBanHang[Tháng 10])</f>
        <v>0</v>
      </c>
      <c r="N142" s="487">
        <f>SUBTOTAL(109,Table_KeHoach_ChiPhiBanHang[Tháng 11])</f>
        <v>0</v>
      </c>
      <c r="O142" s="487">
        <f>SUBTOTAL(109,Table_KeHoach_ChiPhiBanHang[Tháng 12])</f>
        <v>0</v>
      </c>
      <c r="P142" s="483"/>
    </row>
    <row r="143" spans="2:16" ht="18" customHeight="1" x14ac:dyDescent="0.3">
      <c r="B143" s="28"/>
      <c r="C143" s="106"/>
      <c r="D143" s="28"/>
      <c r="E143" s="28"/>
      <c r="F143" s="28"/>
      <c r="G143" s="28"/>
      <c r="H143" s="28"/>
      <c r="I143" s="28"/>
      <c r="J143" s="28"/>
      <c r="K143" s="28"/>
      <c r="L143" s="28"/>
      <c r="M143" s="28"/>
      <c r="N143" s="28"/>
      <c r="O143" s="28"/>
      <c r="P143" s="28"/>
    </row>
    <row r="144" spans="2:16" ht="18" customHeight="1" x14ac:dyDescent="0.3">
      <c r="B144" s="7" t="s">
        <v>1053</v>
      </c>
      <c r="C144" s="106"/>
      <c r="D144" s="28"/>
      <c r="E144" s="28"/>
      <c r="F144" s="28"/>
      <c r="G144" s="28"/>
      <c r="H144" s="28"/>
      <c r="I144" s="28"/>
      <c r="J144" s="28"/>
      <c r="K144" s="28"/>
      <c r="L144" s="28"/>
      <c r="M144" s="28"/>
      <c r="N144" s="28"/>
      <c r="O144" s="28"/>
      <c r="P144" s="16"/>
    </row>
    <row r="145" spans="2:16" ht="18" customHeight="1" x14ac:dyDescent="0.3">
      <c r="B145" s="15" t="s">
        <v>342</v>
      </c>
      <c r="C145" s="480" t="s">
        <v>267</v>
      </c>
      <c r="D145" s="480" t="s">
        <v>268</v>
      </c>
      <c r="E145" s="480" t="s">
        <v>269</v>
      </c>
      <c r="F145" s="480" t="s">
        <v>270</v>
      </c>
      <c r="G145" s="480" t="s">
        <v>271</v>
      </c>
      <c r="H145" s="480" t="s">
        <v>272</v>
      </c>
      <c r="I145" s="480" t="s">
        <v>273</v>
      </c>
      <c r="J145" s="480" t="s">
        <v>274</v>
      </c>
      <c r="K145" s="480" t="s">
        <v>275</v>
      </c>
      <c r="L145" s="480" t="s">
        <v>276</v>
      </c>
      <c r="M145" s="480" t="s">
        <v>277</v>
      </c>
      <c r="N145" s="480" t="s">
        <v>278</v>
      </c>
      <c r="O145" s="480" t="s">
        <v>279</v>
      </c>
      <c r="P145" s="481" t="s">
        <v>873</v>
      </c>
    </row>
    <row r="146" spans="2:16" ht="18" customHeight="1" x14ac:dyDescent="0.3">
      <c r="B146" s="15" t="s">
        <v>346</v>
      </c>
      <c r="C146" s="15" t="e" cm="1">
        <f t="array" ref="C146"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6" s="15"/>
      <c r="E146" s="15"/>
      <c r="F146" s="15"/>
      <c r="G146" s="15"/>
      <c r="H146" s="15"/>
      <c r="I146" s="15"/>
      <c r="J146" s="15"/>
      <c r="K146" s="15"/>
      <c r="L146" s="15"/>
      <c r="M146" s="15"/>
      <c r="N146" s="15"/>
      <c r="O146" s="15"/>
      <c r="P146" s="15"/>
    </row>
    <row r="147" spans="2:16" ht="18" customHeight="1" x14ac:dyDescent="0.3">
      <c r="B147" s="414" t="s">
        <v>347</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(LEFT(Table_ChiPhiKD[Nhóm chi phí],LEN(Table_KeHoach_ChiPhiKhac[[#This Row],[Kế hoạch ngân sách]])) = Table_KeHoach_ChiPhiKhac[[#This Row],[Kế hoạch ngân sách]])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83" t="s">
        <v>1029</v>
      </c>
      <c r="C148" s="483" t="e">
        <f>SUBTOTAL(109,Table_KeHoach_ChiPhiKhac[Tham chiếu])</f>
        <v>#DIV/0!</v>
      </c>
      <c r="D148" s="483">
        <f>SUBTOTAL(109,Table_KeHoach_ChiPhiKhac[Tháng 1])</f>
        <v>0</v>
      </c>
      <c r="E148" s="483">
        <f>SUBTOTAL(109,Table_KeHoach_ChiPhiKhac[Tháng 2])</f>
        <v>0</v>
      </c>
      <c r="F148" s="483">
        <f>SUBTOTAL(109,Table_KeHoach_ChiPhiKhac[Tháng 3])</f>
        <v>0</v>
      </c>
      <c r="G148" s="483">
        <f>SUBTOTAL(109,Table_KeHoach_ChiPhiKhac[Tháng 4])</f>
        <v>0</v>
      </c>
      <c r="H148" s="483">
        <f>SUBTOTAL(109,Table_KeHoach_ChiPhiKhac[Tháng 5])</f>
        <v>0</v>
      </c>
      <c r="I148" s="483">
        <f>SUBTOTAL(109,Table_KeHoach_ChiPhiKhac[Tháng 6])</f>
        <v>0</v>
      </c>
      <c r="J148" s="483">
        <f>SUBTOTAL(109,Table_KeHoach_ChiPhiKhac[Tháng 7])</f>
        <v>0</v>
      </c>
      <c r="K148" s="483">
        <f>SUBTOTAL(109,Table_KeHoach_ChiPhiKhac[Tháng 8])</f>
        <v>0</v>
      </c>
      <c r="L148" s="483">
        <f>SUBTOTAL(109,Table_KeHoach_ChiPhiKhac[Tháng 9])</f>
        <v>0</v>
      </c>
      <c r="M148" s="483">
        <f>SUBTOTAL(109,Table_KeHoach_ChiPhiKhac[Tháng 10])</f>
        <v>0</v>
      </c>
      <c r="N148" s="483">
        <f>SUBTOTAL(109,Table_KeHoach_ChiPhiKhac[Tháng 11])</f>
        <v>0</v>
      </c>
      <c r="O148" s="483">
        <f>SUBTOTAL(109,Table_KeHoach_ChiPhiKhac[Tháng 12])</f>
        <v>0</v>
      </c>
      <c r="P148" s="483"/>
    </row>
    <row r="150" spans="2:16" ht="18" customHeight="1" x14ac:dyDescent="0.3">
      <c r="B150" s="7" t="s">
        <v>1053</v>
      </c>
      <c r="P150" s="16"/>
    </row>
    <row r="151" spans="2:16" ht="18" customHeight="1" x14ac:dyDescent="0.3">
      <c r="B151" s="484" t="s">
        <v>348</v>
      </c>
      <c r="C151" s="480" t="s">
        <v>267</v>
      </c>
      <c r="D151" s="480" t="s">
        <v>268</v>
      </c>
      <c r="E151" s="480" t="s">
        <v>269</v>
      </c>
      <c r="F151" s="480" t="s">
        <v>270</v>
      </c>
      <c r="G151" s="480" t="s">
        <v>271</v>
      </c>
      <c r="H151" s="480" t="s">
        <v>272</v>
      </c>
      <c r="I151" s="480" t="s">
        <v>273</v>
      </c>
      <c r="J151" s="480" t="s">
        <v>274</v>
      </c>
      <c r="K151" s="480" t="s">
        <v>275</v>
      </c>
      <c r="L151" s="480" t="s">
        <v>276</v>
      </c>
      <c r="M151" s="480" t="s">
        <v>277</v>
      </c>
      <c r="N151" s="480" t="s">
        <v>278</v>
      </c>
      <c r="O151" s="480" t="s">
        <v>279</v>
      </c>
      <c r="P151" s="481" t="s">
        <v>873</v>
      </c>
    </row>
    <row r="152" spans="2:16" ht="18" customHeight="1" x14ac:dyDescent="0.3">
      <c r="B152" s="415" t="s">
        <v>349</v>
      </c>
      <c r="C152" s="18"/>
      <c r="D152" s="18" cm="1">
        <f t="array" ref="D152">-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2" s="18" cm="1">
        <f t="array" ref="E152">-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2" s="18" cm="1">
        <f t="array" ref="F152">-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2" s="18" cm="1">
        <f t="array" ref="G152">-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2" s="18" cm="1">
        <f t="array" ref="H152">-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2" s="18" cm="1">
        <f t="array" ref="I152">-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2" s="18" cm="1">
        <f t="array" ref="J152">-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2" s="18" cm="1">
        <f t="array" ref="K152">-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2" s="18" cm="1">
        <f t="array" ref="L152">-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2" s="18" cm="1">
        <f t="array" ref="M152">-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2" s="18" cm="1">
        <f t="array" ref="N152">-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2" s="18" cm="1">
        <f t="array" ref="O152">-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2" s="18"/>
    </row>
    <row r="153" spans="2:16" ht="18" customHeight="1" x14ac:dyDescent="0.3">
      <c r="B153" s="415" t="s">
        <v>297</v>
      </c>
      <c r="C153" s="18"/>
      <c r="D153" s="18" cm="1">
        <f t="array" ref="D153">-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3" s="18" cm="1">
        <f t="array" ref="E153">-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3" s="18" cm="1">
        <f t="array" ref="F153">-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3" s="18" cm="1">
        <f t="array" ref="G153">-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3" s="18" cm="1">
        <f t="array" ref="H153">-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3" s="18" cm="1">
        <f t="array" ref="I153">-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3" s="18" cm="1">
        <f t="array" ref="J153">-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3" s="18" cm="1">
        <f t="array" ref="K153">-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3" s="18" cm="1">
        <f t="array" ref="L153">-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3" s="18" cm="1">
        <f t="array" ref="M153">-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3" s="18" cm="1">
        <f t="array" ref="N153">-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3" s="18" cm="1">
        <f t="array" ref="O153">-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3" s="18"/>
    </row>
    <row r="154" spans="2:16" ht="18" customHeight="1" x14ac:dyDescent="0.3">
      <c r="B154" s="18" t="s">
        <v>350</v>
      </c>
      <c r="C154" s="18"/>
      <c r="D154" s="18" cm="1">
        <f t="array" ref="D154">-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482"/>
    </row>
    <row r="156" spans="2:16" ht="18" customHeight="1" x14ac:dyDescent="0.3">
      <c r="B156" s="7" t="s">
        <v>1054</v>
      </c>
    </row>
    <row r="157" spans="2:16" ht="18" customHeight="1" x14ac:dyDescent="0.3">
      <c r="B157" s="15" t="s">
        <v>1027</v>
      </c>
      <c r="C157" s="480" t="s">
        <v>673</v>
      </c>
      <c r="D157" s="480" t="s">
        <v>268</v>
      </c>
      <c r="E157" s="480" t="s">
        <v>269</v>
      </c>
      <c r="F157" s="480" t="s">
        <v>270</v>
      </c>
      <c r="G157" s="480" t="s">
        <v>271</v>
      </c>
      <c r="H157" s="480" t="s">
        <v>272</v>
      </c>
      <c r="I157" s="480" t="s">
        <v>273</v>
      </c>
      <c r="J157" s="480" t="s">
        <v>274</v>
      </c>
      <c r="K157" s="480" t="s">
        <v>275</v>
      </c>
      <c r="L157" s="480" t="s">
        <v>276</v>
      </c>
      <c r="M157" s="480" t="s">
        <v>277</v>
      </c>
      <c r="N157" s="480" t="s">
        <v>278</v>
      </c>
      <c r="O157" s="480" t="s">
        <v>279</v>
      </c>
      <c r="P157" s="481" t="s">
        <v>873</v>
      </c>
    </row>
    <row r="158" spans="2:16" ht="18" customHeight="1" x14ac:dyDescent="0.3">
      <c r="B158" s="15" t="s">
        <v>1028</v>
      </c>
      <c r="C158" s="8"/>
      <c r="D158" s="15"/>
      <c r="E158" s="15"/>
      <c r="F158" s="15"/>
      <c r="G158" s="15"/>
      <c r="H158" s="15"/>
      <c r="I158" s="15"/>
      <c r="J158" s="15"/>
      <c r="K158" s="15"/>
      <c r="L158" s="15"/>
      <c r="M158" s="15"/>
      <c r="N158" s="15"/>
      <c r="O158" s="15"/>
      <c r="P158" s="15"/>
    </row>
    <row r="159" spans="2:16" ht="18" customHeight="1" x14ac:dyDescent="0.3">
      <c r="B159" s="15" t="s">
        <v>1030</v>
      </c>
      <c r="C159" s="8"/>
      <c r="D159" s="15"/>
      <c r="E159" s="15"/>
      <c r="F159" s="15"/>
      <c r="G159" s="15"/>
      <c r="H159" s="15"/>
      <c r="I159" s="15"/>
      <c r="J159" s="15"/>
      <c r="K159" s="15"/>
      <c r="L159" s="15"/>
      <c r="M159" s="15"/>
      <c r="N159" s="15"/>
      <c r="O159" s="15"/>
      <c r="P159" s="15"/>
    </row>
    <row r="160" spans="2:16" ht="18" customHeight="1" x14ac:dyDescent="0.3">
      <c r="B160" s="15" t="s">
        <v>666</v>
      </c>
      <c r="C160" s="494">
        <v>0.2</v>
      </c>
      <c r="D160" s="18" t="e">
        <f>Table_KeHoach_ThuePhi[[#This Row],[Thuế suất TNDN]]*(D20-SUM(D23:D29)-D31-SUM(D158:D159))</f>
        <v>#N/A</v>
      </c>
      <c r="E160" s="18" t="e">
        <f>Table_KeHoach_ThuePhi[[#This Row],[Thuế suất TNDN]]*(E20-SUM(E23:E29)-E31-SUM(E158:E159))</f>
        <v>#N/A</v>
      </c>
      <c r="F160" s="18" t="e">
        <f>Table_KeHoach_ThuePhi[[#This Row],[Thuế suất TNDN]]*(F20-SUM(F23:F29)-F31-SUM(F158:F159))</f>
        <v>#N/A</v>
      </c>
      <c r="G160" s="18" t="e">
        <f>Table_KeHoach_ThuePhi[[#This Row],[Thuế suất TNDN]]*(G20-SUM(G23:G29)-G31-SUM(G158:G159))</f>
        <v>#N/A</v>
      </c>
      <c r="H160" s="18" t="e">
        <f>Table_KeHoach_ThuePhi[[#This Row],[Thuế suất TNDN]]*(H20-SUM(H23:H29)-H31-SUM(H158:H159))</f>
        <v>#N/A</v>
      </c>
      <c r="I160" s="18" t="e">
        <f>Table_KeHoach_ThuePhi[[#This Row],[Thuế suất TNDN]]*(I20-SUM(I23:I29)-I31-SUM(I158:I159))</f>
        <v>#N/A</v>
      </c>
      <c r="J160" s="18" t="e">
        <f>Table_KeHoach_ThuePhi[[#This Row],[Thuế suất TNDN]]*(J20-SUM(J23:J29)-J31-SUM(J158:J159))</f>
        <v>#N/A</v>
      </c>
      <c r="K160" s="18" t="e">
        <f>Table_KeHoach_ThuePhi[[#This Row],[Thuế suất TNDN]]*(K20-SUM(K23:K29)-K31-SUM(K158:K159))</f>
        <v>#N/A</v>
      </c>
      <c r="L160" s="18" t="e">
        <f>Table_KeHoach_ThuePhi[[#This Row],[Thuế suất TNDN]]*(L20-SUM(L23:L29)-L31-SUM(L158:L159))</f>
        <v>#N/A</v>
      </c>
      <c r="M160" s="18" t="e">
        <f>Table_KeHoach_ThuePhi[[#This Row],[Thuế suất TNDN]]*(M20-SUM(M23:M29)-M31-SUM(M158:M159))</f>
        <v>#N/A</v>
      </c>
      <c r="N160" s="18" t="e">
        <f>Table_KeHoach_ThuePhi[[#This Row],[Thuế suất TNDN]]*(N20-SUM(N23:N29)-N31-SUM(N158:N159))</f>
        <v>#N/A</v>
      </c>
      <c r="O160" s="18" t="e">
        <f>Table_KeHoach_ThuePhi[[#This Row],[Thuế suất TNDN]]*(O20-SUM(O23:O29)-O31-SUM(O158:O159))</f>
        <v>#N/A</v>
      </c>
      <c r="P160" s="15"/>
    </row>
    <row r="161" spans="2:16" ht="18" customHeight="1" x14ac:dyDescent="0.3">
      <c r="B161" s="18" t="s">
        <v>1029</v>
      </c>
      <c r="C161" s="489"/>
      <c r="D161" s="18" t="e">
        <f>SUBTOTAL(109,Table_KeHoach_ThuePhi[Tháng 1])</f>
        <v>#N/A</v>
      </c>
      <c r="E161" s="18" t="e">
        <f>SUBTOTAL(109,Table_KeHoach_ThuePhi[Tháng 2])</f>
        <v>#N/A</v>
      </c>
      <c r="F161" s="18" t="e">
        <f>SUBTOTAL(109,Table_KeHoach_ThuePhi[Tháng 3])</f>
        <v>#N/A</v>
      </c>
      <c r="G161" s="18" t="e">
        <f>SUBTOTAL(109,Table_KeHoach_ThuePhi[Tháng 4])</f>
        <v>#N/A</v>
      </c>
      <c r="H161" s="18" t="e">
        <f>SUBTOTAL(109,Table_KeHoach_ThuePhi[Tháng 5])</f>
        <v>#N/A</v>
      </c>
      <c r="I161" s="18" t="e">
        <f>SUBTOTAL(109,Table_KeHoach_ThuePhi[Tháng 6])</f>
        <v>#N/A</v>
      </c>
      <c r="J161" s="18" t="e">
        <f>SUBTOTAL(109,Table_KeHoach_ThuePhi[Tháng 7])</f>
        <v>#N/A</v>
      </c>
      <c r="K161" s="18" t="e">
        <f>SUBTOTAL(109,Table_KeHoach_ThuePhi[Tháng 8])</f>
        <v>#N/A</v>
      </c>
      <c r="L161" s="18" t="e">
        <f>SUBTOTAL(109,Table_KeHoach_ThuePhi[Tháng 9])</f>
        <v>#N/A</v>
      </c>
      <c r="M161" s="18" t="e">
        <f>SUBTOTAL(109,Table_KeHoach_ThuePhi[Tháng 10])</f>
        <v>#N/A</v>
      </c>
      <c r="N161" s="18" t="e">
        <f>SUBTOTAL(109,Table_KeHoach_ThuePhi[Tháng 11])</f>
        <v>#N/A</v>
      </c>
      <c r="O161" s="18" t="e">
        <f>SUBTOTAL(109,Table_KeHoach_ThuePhi[Tháng 12])</f>
        <v>#N/A</v>
      </c>
      <c r="P161" s="15"/>
    </row>
    <row r="163" spans="2:16" ht="18" customHeight="1" x14ac:dyDescent="0.3">
      <c r="B163" s="7" t="s">
        <v>1055</v>
      </c>
      <c r="D163" s="28"/>
      <c r="E163" s="28"/>
      <c r="F163" s="28"/>
      <c r="G163" s="28"/>
      <c r="H163" s="28"/>
      <c r="I163" s="28"/>
      <c r="J163" s="28"/>
      <c r="K163" s="28"/>
      <c r="L163" s="28"/>
      <c r="M163" s="28"/>
      <c r="N163" s="28"/>
      <c r="O163" s="28"/>
      <c r="P163" s="16"/>
    </row>
    <row r="164" spans="2:16" ht="18" customHeight="1" x14ac:dyDescent="0.3">
      <c r="B164" s="15" t="s">
        <v>298</v>
      </c>
      <c r="C164" s="480" t="s">
        <v>1031</v>
      </c>
      <c r="D164" s="480" t="s">
        <v>268</v>
      </c>
      <c r="E164" s="480" t="s">
        <v>269</v>
      </c>
      <c r="F164" s="480" t="s">
        <v>270</v>
      </c>
      <c r="G164" s="480" t="s">
        <v>271</v>
      </c>
      <c r="H164" s="480" t="s">
        <v>272</v>
      </c>
      <c r="I164" s="480" t="s">
        <v>273</v>
      </c>
      <c r="J164" s="480" t="s">
        <v>274</v>
      </c>
      <c r="K164" s="480" t="s">
        <v>275</v>
      </c>
      <c r="L164" s="480" t="s">
        <v>276</v>
      </c>
      <c r="M164" s="480" t="s">
        <v>277</v>
      </c>
      <c r="N164" s="480" t="s">
        <v>278</v>
      </c>
      <c r="O164" s="480" t="s">
        <v>279</v>
      </c>
      <c r="P164" s="481" t="s">
        <v>873</v>
      </c>
    </row>
    <row r="165" spans="2:16" ht="18" customHeight="1" x14ac:dyDescent="0.3">
      <c r="B165" s="15" t="s">
        <v>133</v>
      </c>
      <c r="C165" s="8"/>
      <c r="D165" s="15"/>
      <c r="E165" s="15"/>
      <c r="F165" s="15"/>
      <c r="G165" s="15"/>
      <c r="H165" s="15"/>
      <c r="I165" s="15"/>
      <c r="J165" s="15"/>
      <c r="K165" s="15"/>
      <c r="L165" s="15"/>
      <c r="M165" s="15"/>
      <c r="N165" s="15"/>
      <c r="O165" s="15"/>
      <c r="P165" s="15"/>
    </row>
    <row r="166" spans="2:16" ht="18" customHeight="1" x14ac:dyDescent="0.3">
      <c r="B166" s="18" t="s">
        <v>1029</v>
      </c>
      <c r="C166" s="489"/>
      <c r="D166" s="18">
        <f>SUBTOTAL(109,Table_KeHoach_CPKhac[Tháng 1])</f>
        <v>0</v>
      </c>
      <c r="E166" s="18">
        <f>SUBTOTAL(109,Table_KeHoach_CPKhac[Tháng 2])</f>
        <v>0</v>
      </c>
      <c r="F166" s="18">
        <f>SUBTOTAL(109,Table_KeHoach_CPKhac[Tháng 3])</f>
        <v>0</v>
      </c>
      <c r="G166" s="18">
        <f>SUBTOTAL(109,Table_KeHoach_CPKhac[Tháng 4])</f>
        <v>0</v>
      </c>
      <c r="H166" s="18">
        <f>SUBTOTAL(109,Table_KeHoach_CPKhac[Tháng 5])</f>
        <v>0</v>
      </c>
      <c r="I166" s="18">
        <f>SUBTOTAL(109,Table_KeHoach_CPKhac[Tháng 6])</f>
        <v>0</v>
      </c>
      <c r="J166" s="18">
        <f>SUBTOTAL(109,Table_KeHoach_CPKhac[Tháng 7])</f>
        <v>0</v>
      </c>
      <c r="K166" s="18">
        <f>SUBTOTAL(109,Table_KeHoach_CPKhac[Tháng 8])</f>
        <v>0</v>
      </c>
      <c r="L166" s="18">
        <f>SUBTOTAL(109,Table_KeHoach_CPKhac[Tháng 9])</f>
        <v>0</v>
      </c>
      <c r="M166" s="18">
        <f>SUBTOTAL(109,Table_KeHoach_CPKhac[Tháng 10])</f>
        <v>0</v>
      </c>
      <c r="N166" s="18">
        <f>SUBTOTAL(109,Table_KeHoach_CPKhac[Tháng 11])</f>
        <v>0</v>
      </c>
      <c r="O166" s="18">
        <f>SUBTOTAL(109,Table_KeHoach_CPKhac[Tháng 12])</f>
        <v>0</v>
      </c>
      <c r="P166" s="18"/>
    </row>
    <row r="168" spans="2:16" ht="18" customHeight="1" x14ac:dyDescent="0.3">
      <c r="B168" s="7" t="s">
        <v>1056</v>
      </c>
      <c r="P168" s="28"/>
    </row>
    <row r="169" spans="2:16" ht="18" customHeight="1" x14ac:dyDescent="0.3">
      <c r="B169" s="7" t="s">
        <v>101</v>
      </c>
      <c r="C169" s="12" t="s">
        <v>267</v>
      </c>
      <c r="D169" s="16" t="s">
        <v>268</v>
      </c>
      <c r="E169" s="16" t="s">
        <v>269</v>
      </c>
      <c r="F169" s="16" t="s">
        <v>270</v>
      </c>
      <c r="G169" s="16" t="s">
        <v>271</v>
      </c>
      <c r="H169" s="16" t="s">
        <v>272</v>
      </c>
      <c r="I169" s="16" t="s">
        <v>273</v>
      </c>
      <c r="J169" s="16" t="s">
        <v>274</v>
      </c>
      <c r="K169" s="16" t="s">
        <v>275</v>
      </c>
      <c r="L169" s="16" t="s">
        <v>276</v>
      </c>
      <c r="M169" s="16" t="s">
        <v>277</v>
      </c>
      <c r="N169" s="16" t="s">
        <v>278</v>
      </c>
      <c r="O169" s="16" t="s">
        <v>279</v>
      </c>
      <c r="P169" s="4" t="s">
        <v>873</v>
      </c>
    </row>
    <row r="170" spans="2:16" ht="18" customHeight="1" collapsed="1" x14ac:dyDescent="0.3">
      <c r="B170" s="45" t="s">
        <v>156</v>
      </c>
      <c r="C170" s="497" t="e" cm="1">
        <f t="array" ref="C170"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0" s="45"/>
      <c r="E170" s="45"/>
      <c r="F170" s="45"/>
      <c r="G170" s="45"/>
      <c r="H170" s="45"/>
      <c r="I170" s="45"/>
      <c r="J170" s="45"/>
      <c r="K170" s="45"/>
      <c r="L170" s="45"/>
      <c r="M170" s="45"/>
      <c r="N170" s="45"/>
      <c r="O170" s="45"/>
      <c r="P170" s="45"/>
    </row>
    <row r="172" spans="2:16" ht="18" customHeight="1" x14ac:dyDescent="0.3">
      <c r="B172" s="7" t="s">
        <v>1071</v>
      </c>
    </row>
    <row r="173" spans="2:16" ht="18" customHeight="1" x14ac:dyDescent="0.3">
      <c r="B173" s="491" t="s">
        <v>1070</v>
      </c>
      <c r="C173" s="480" t="s">
        <v>1031</v>
      </c>
      <c r="D173" s="480" t="s">
        <v>268</v>
      </c>
      <c r="E173" s="480" t="s">
        <v>269</v>
      </c>
      <c r="F173" s="480" t="s">
        <v>270</v>
      </c>
      <c r="G173" s="480" t="s">
        <v>271</v>
      </c>
      <c r="H173" s="480" t="s">
        <v>272</v>
      </c>
      <c r="I173" s="480" t="s">
        <v>273</v>
      </c>
      <c r="J173" s="480" t="s">
        <v>274</v>
      </c>
      <c r="K173" s="480" t="s">
        <v>275</v>
      </c>
      <c r="L173" s="480" t="s">
        <v>276</v>
      </c>
      <c r="M173" s="480" t="s">
        <v>277</v>
      </c>
      <c r="N173" s="480" t="s">
        <v>278</v>
      </c>
      <c r="O173" s="480" t="s">
        <v>279</v>
      </c>
      <c r="P173" s="481" t="s">
        <v>873</v>
      </c>
    </row>
    <row r="174" spans="2:16" ht="18" customHeight="1" x14ac:dyDescent="0.3">
      <c r="B174" s="15"/>
      <c r="C174" s="8"/>
      <c r="D174" s="15"/>
      <c r="E174" s="15"/>
      <c r="F174" s="15"/>
      <c r="G174" s="15"/>
      <c r="H174" s="15"/>
      <c r="I174" s="15"/>
      <c r="J174" s="15"/>
      <c r="K174" s="15"/>
      <c r="L174" s="15"/>
      <c r="M174" s="15"/>
      <c r="N174" s="15"/>
      <c r="O174" s="15"/>
      <c r="P174" s="15"/>
    </row>
    <row r="175" spans="2:16" ht="18" customHeight="1" x14ac:dyDescent="0.3">
      <c r="B175" s="29" t="s">
        <v>1080</v>
      </c>
      <c r="C175" s="492">
        <f>SUBTOTAL(109,Table_KeHoach_TSCD[Column1])</f>
        <v>0</v>
      </c>
      <c r="D175" s="492">
        <f>SUBTOTAL(109,Table_KeHoach_TSCD[Tháng 1])</f>
        <v>0</v>
      </c>
      <c r="E175" s="492">
        <f>SUBTOTAL(109,Table_KeHoach_TSCD[Tháng 2])</f>
        <v>0</v>
      </c>
      <c r="F175" s="492">
        <f>SUBTOTAL(109,Table_KeHoach_TSCD[Tháng 3])</f>
        <v>0</v>
      </c>
      <c r="G175" s="492">
        <f>SUBTOTAL(109,Table_KeHoach_TSCD[Tháng 4])</f>
        <v>0</v>
      </c>
      <c r="H175" s="492">
        <f>SUBTOTAL(109,Table_KeHoach_TSCD[Tháng 5])</f>
        <v>0</v>
      </c>
      <c r="I175" s="492">
        <f>SUBTOTAL(109,Table_KeHoach_TSCD[Tháng 6])</f>
        <v>0</v>
      </c>
      <c r="J175" s="492">
        <f>SUBTOTAL(109,Table_KeHoach_TSCD[Tháng 7])</f>
        <v>0</v>
      </c>
      <c r="K175" s="492">
        <f>SUBTOTAL(109,Table_KeHoach_TSCD[Tháng 8])</f>
        <v>0</v>
      </c>
      <c r="L175" s="492">
        <f>SUBTOTAL(109,Table_KeHoach_TSCD[Tháng 9])</f>
        <v>0</v>
      </c>
      <c r="M175" s="492">
        <f>SUBTOTAL(109,Table_KeHoach_TSCD[Tháng 10])</f>
        <v>0</v>
      </c>
      <c r="N175" s="492">
        <f>SUBTOTAL(109,Table_KeHoach_TSCD[Tháng 11])</f>
        <v>0</v>
      </c>
      <c r="O175" s="492">
        <f>SUBTOTAL(109,Table_KeHoach_TSCD[Tháng 12])</f>
        <v>0</v>
      </c>
      <c r="P175" s="29"/>
    </row>
    <row r="177" spans="2:16" ht="18" customHeight="1" x14ac:dyDescent="0.3">
      <c r="B177" s="7" t="s">
        <v>1072</v>
      </c>
    </row>
    <row r="178" spans="2:16" ht="18" customHeight="1" x14ac:dyDescent="0.3">
      <c r="B178" s="491" t="s">
        <v>1073</v>
      </c>
      <c r="C178" s="480" t="s">
        <v>1031</v>
      </c>
      <c r="D178" s="480" t="s">
        <v>268</v>
      </c>
      <c r="E178" s="480" t="s">
        <v>269</v>
      </c>
      <c r="F178" s="480" t="s">
        <v>270</v>
      </c>
      <c r="G178" s="480" t="s">
        <v>271</v>
      </c>
      <c r="H178" s="480" t="s">
        <v>272</v>
      </c>
      <c r="I178" s="480" t="s">
        <v>273</v>
      </c>
      <c r="J178" s="480" t="s">
        <v>274</v>
      </c>
      <c r="K178" s="480" t="s">
        <v>275</v>
      </c>
      <c r="L178" s="480" t="s">
        <v>276</v>
      </c>
      <c r="M178" s="480" t="s">
        <v>277</v>
      </c>
      <c r="N178" s="480" t="s">
        <v>278</v>
      </c>
      <c r="O178" s="480" t="s">
        <v>279</v>
      </c>
      <c r="P178" s="481" t="s">
        <v>873</v>
      </c>
    </row>
    <row r="179" spans="2:16" ht="18" customHeight="1" x14ac:dyDescent="0.3">
      <c r="B179" s="15"/>
      <c r="C179" s="8"/>
      <c r="D179" s="15"/>
      <c r="E179" s="15"/>
      <c r="F179" s="15"/>
      <c r="G179" s="15"/>
      <c r="H179" s="15"/>
      <c r="I179" s="15"/>
      <c r="J179" s="15"/>
      <c r="K179" s="15"/>
      <c r="L179" s="15"/>
      <c r="M179" s="15"/>
      <c r="N179" s="15"/>
      <c r="O179" s="15"/>
      <c r="P179" s="15"/>
    </row>
    <row r="180" spans="2:16" ht="18" customHeight="1" x14ac:dyDescent="0.3">
      <c r="B180" s="29" t="s">
        <v>1081</v>
      </c>
      <c r="C180" s="492">
        <f>SUBTOTAL(109,Table_KeHoach_DTTC[Column1])</f>
        <v>0</v>
      </c>
      <c r="D180" s="492">
        <f>SUBTOTAL(109,Table_KeHoach_DTTC[Tháng 1])</f>
        <v>0</v>
      </c>
      <c r="E180" s="492">
        <f>SUBTOTAL(109,Table_KeHoach_DTTC[Tháng 2])</f>
        <v>0</v>
      </c>
      <c r="F180" s="492">
        <f>SUBTOTAL(109,Table_KeHoach_DTTC[Tháng 3])</f>
        <v>0</v>
      </c>
      <c r="G180" s="492">
        <f>SUBTOTAL(109,Table_KeHoach_DTTC[Tháng 4])</f>
        <v>0</v>
      </c>
      <c r="H180" s="492">
        <f>SUBTOTAL(109,Table_KeHoach_DTTC[Tháng 5])</f>
        <v>0</v>
      </c>
      <c r="I180" s="492">
        <f>SUBTOTAL(109,Table_KeHoach_DTTC[Tháng 6])</f>
        <v>0</v>
      </c>
      <c r="J180" s="492">
        <f>SUBTOTAL(109,Table_KeHoach_DTTC[Tháng 7])</f>
        <v>0</v>
      </c>
      <c r="K180" s="492">
        <f>SUBTOTAL(109,Table_KeHoach_DTTC[Tháng 8])</f>
        <v>0</v>
      </c>
      <c r="L180" s="492">
        <f>SUBTOTAL(109,Table_KeHoach_DTTC[Tháng 9])</f>
        <v>0</v>
      </c>
      <c r="M180" s="492">
        <f>SUBTOTAL(109,Table_KeHoach_DTTC[Tháng 10])</f>
        <v>0</v>
      </c>
      <c r="N180" s="492">
        <f>SUBTOTAL(109,Table_KeHoach_DTTC[Tháng 11])</f>
        <v>0</v>
      </c>
      <c r="O180" s="492">
        <f>SUBTOTAL(109,Table_KeHoach_DTTC[Tháng 12])</f>
        <v>0</v>
      </c>
      <c r="P180" s="29"/>
    </row>
    <row r="182" spans="2:16" ht="18" customHeight="1" x14ac:dyDescent="0.3">
      <c r="B182" s="7" t="s">
        <v>1074</v>
      </c>
    </row>
    <row r="183" spans="2:16" ht="18" customHeight="1" x14ac:dyDescent="0.3">
      <c r="B183" s="491" t="s">
        <v>1079</v>
      </c>
      <c r="C183" s="480" t="s">
        <v>1031</v>
      </c>
      <c r="D183" s="480" t="s">
        <v>268</v>
      </c>
      <c r="E183" s="480" t="s">
        <v>269</v>
      </c>
      <c r="F183" s="480" t="s">
        <v>270</v>
      </c>
      <c r="G183" s="480" t="s">
        <v>271</v>
      </c>
      <c r="H183" s="480" t="s">
        <v>272</v>
      </c>
      <c r="I183" s="480" t="s">
        <v>273</v>
      </c>
      <c r="J183" s="480" t="s">
        <v>274</v>
      </c>
      <c r="K183" s="480" t="s">
        <v>275</v>
      </c>
      <c r="L183" s="480" t="s">
        <v>276</v>
      </c>
      <c r="M183" s="480" t="s">
        <v>277</v>
      </c>
      <c r="N183" s="480" t="s">
        <v>278</v>
      </c>
      <c r="O183" s="480" t="s">
        <v>279</v>
      </c>
      <c r="P183" s="481" t="s">
        <v>873</v>
      </c>
    </row>
    <row r="184" spans="2:16" ht="18" customHeight="1" x14ac:dyDescent="0.3">
      <c r="B184" s="15"/>
      <c r="C184" s="8"/>
      <c r="D184" s="18" cm="1">
        <f t="array" ref="D184">-IFERROR(
SUM(_xlfn._xlws.FILTER(Table_DauTu_LichThu[Tổng phải thu],
(Table_DauTu_LichThu[Năm]=DiemHoaVon_NamKeHoach)*
(Table_DauTu_LichThu[Tháng]=D1)*
(Table_DauTu_LichThu[Tài sản đầu tư]=Table_KeHoach_LaiDTTC[[#This Row],[Dòng tiền thu hồi từ đầu tư tài chính]])
)),0)</f>
        <v>0</v>
      </c>
      <c r="E184" s="18" cm="1">
        <f t="array" ref="E184">-IFERROR(
SUM(_xlfn._xlws.FILTER(Table_DauTu_LichThu[Thu nhập tính thuế],
(Table_DauTu_LichThu[Tháng]=DiemHoaVon_NamKeHoach)*
(Table_DauTu_LichThu[Tài sản đầu tư]=E1)*
(Table_DauTu_LichThu[Nhận gốc]=Table_KeHoach_LaiDTTC[[#This Row],[Column1]])
)),0)</f>
        <v>0</v>
      </c>
      <c r="F184" s="18" cm="1">
        <f t="array" ref="F184">-IFERROR(
SUM(_xlfn._xlws.FILTER(Table_DauTu_LichThu[Add],
(Table_DauTu_LichThu[Tài sản đầu tư]=DiemHoaVon_NamKeHoach)*
(Table_DauTu_LichThu[Nhận gốc]=F1)*
(Table_DauTu_LichThu[Nhận lãi]=Table_KeHoach_LaiDTTC[[#This Row],[Tháng 1]])
)),0)</f>
        <v>0</v>
      </c>
      <c r="G184" s="18" cm="1">
        <f t="array" ref="G184">-IFERROR(
SUM(_xlfn._xlws.FILTER(Table_DauTu_LichThu[Còn lại],
(Table_DauTu_LichThu[Nhận gốc]=DiemHoaVon_NamKeHoach)*
(Table_DauTu_LichThu[Nhận lãi]=G1)*
(Table_DauTu_LichThu[Tổng phải thu]=Table_KeHoach_LaiDTTC[[#This Row],[Tháng 2]])
)),0)</f>
        <v>0</v>
      </c>
      <c r="H184" s="18" cm="1">
        <f t="array" ref="H184">-IFERROR(
SUM(_xlfn._xlws.FILTER(Table_DauTu_LichThu[Kỳ],
(Table_DauTu_LichThu[Nhận lãi]=DiemHoaVon_NamKeHoach)*
(Table_DauTu_LichThu[Tổng phải thu]=H1)*
(Table_DauTu_LichThu[Thu nhập tính thuế]=Table_KeHoach_LaiDTTC[[#This Row],[Tháng 3]])
)),0)</f>
        <v>0</v>
      </c>
      <c r="I184" s="18" cm="1">
        <f t="array" ref="I184">-IFERROR(
SUM(_xlfn._xlws.FILTER(Table_DauTu_LichThu[Năm],
(Table_DauTu_LichThu[Tổng phải thu]=DiemHoaVon_NamKeHoach)*
(Table_DauTu_LichThu[Thu nhập tính thuế]=I1)*
(Table_DauTu_LichThu[Add]=Table_KeHoach_LaiDTTC[[#This Row],[Tháng 4]])
)),0)</f>
        <v>0</v>
      </c>
      <c r="J184" s="18" cm="1">
        <f t="array" ref="J184">-IFERROR(
SUM(_xlfn._xlws.FILTER(Table_DauTu_LichThu[Tháng],
(Table_DauTu_LichThu[Thu nhập tính thuế]=DiemHoaVon_NamKeHoach)*
(Table_DauTu_LichThu[Add]=J1)*
(Table_DauTu_LichThu[Còn lại]=Table_KeHoach_LaiDTTC[[#This Row],[Tháng 5]])
)),0)</f>
        <v>0</v>
      </c>
      <c r="K184" s="18" cm="1">
        <f t="array" ref="K184">-IFERROR(
SUM(_xlfn._xlws.FILTER(Table_DauTu_LichThu[Tài sản đầu tư],
(Table_DauTu_LichThu[Add]=DiemHoaVon_NamKeHoach)*
(Table_DauTu_LichThu[Còn lại]=K1)*
(Table_DauTu_LichThu[Kỳ]=Table_KeHoach_LaiDTTC[[#This Row],[Tháng 6]])
)),0)</f>
        <v>0</v>
      </c>
      <c r="L184" s="18" cm="1">
        <f t="array" ref="L184">-IFERROR(
SUM(_xlfn._xlws.FILTER(Table_DauTu_LichThu[Nhận gốc],
(Table_DauTu_LichThu[Còn lại]=DiemHoaVon_NamKeHoach)*
(Table_DauTu_LichThu[Kỳ]=L1)*
(Table_DauTu_LichThu[Năm]=Table_KeHoach_LaiDTTC[[#This Row],[Tháng 7]])
)),0)</f>
        <v>0</v>
      </c>
      <c r="M184" s="18" cm="1">
        <f t="array" ref="M184">-IFERROR(
SUM(_xlfn._xlws.FILTER(Table_DauTu_LichThu[Nhận lãi],
(Table_DauTu_LichThu[Kỳ]=DiemHoaVon_NamKeHoach)*
(Table_DauTu_LichThu[Năm]=M1)*
(Table_DauTu_LichThu[Tháng]=Table_KeHoach_LaiDTTC[[#This Row],[Tháng 8]])
)),0)</f>
        <v>0</v>
      </c>
      <c r="N184" s="18" cm="1">
        <f t="array" ref="N184">-IFERROR(
SUM(_xlfn._xlws.FILTER(Table_DauTu_LichThu[Tổng phải thu],
(Table_DauTu_LichThu[Năm]=DiemHoaVon_NamKeHoach)*
(Table_DauTu_LichThu[Tháng]=N1)*
(Table_DauTu_LichThu[Tài sản đầu tư]=Table_KeHoach_LaiDTTC[[#This Row],[Tháng 9]])
)),0)</f>
        <v>0</v>
      </c>
      <c r="O184" s="18" cm="1">
        <f t="array" ref="O184">-IFERROR(
SUM(_xlfn._xlws.FILTER(Table_DauTu_LichThu[Thu nhập tính thuế],
(Table_DauTu_LichThu[Tháng]=DiemHoaVon_NamKeHoach)*
(Table_DauTu_LichThu[Tài sản đầu tư]=O1)*
(Table_DauTu_LichThu[Nhận gốc]=Table_KeHoach_LaiDTTC[[#This Row],[Tháng 10]])
)),0)</f>
        <v>0</v>
      </c>
      <c r="P184" s="15"/>
    </row>
    <row r="185" spans="2:16" ht="18" customHeight="1" x14ac:dyDescent="0.3">
      <c r="B185" s="29" t="s">
        <v>1082</v>
      </c>
      <c r="C185" s="492">
        <f>SUBTOTAL(109,Table_KeHoach_LaiDTTC[Column1])</f>
        <v>0</v>
      </c>
      <c r="D185" s="492">
        <f>SUBTOTAL(109,Table_KeHoach_LaiDTTC[Tháng 1])</f>
        <v>0</v>
      </c>
      <c r="E185" s="492">
        <f>SUBTOTAL(109,Table_KeHoach_LaiDTTC[Tháng 2])</f>
        <v>0</v>
      </c>
      <c r="F185" s="492">
        <f>SUBTOTAL(109,Table_KeHoach_LaiDTTC[Tháng 3])</f>
        <v>0</v>
      </c>
      <c r="G185" s="492">
        <f>SUBTOTAL(109,Table_KeHoach_LaiDTTC[Tháng 4])</f>
        <v>0</v>
      </c>
      <c r="H185" s="492">
        <f>SUBTOTAL(109,Table_KeHoach_LaiDTTC[Tháng 5])</f>
        <v>0</v>
      </c>
      <c r="I185" s="492">
        <f>SUBTOTAL(109,Table_KeHoach_LaiDTTC[Tháng 6])</f>
        <v>0</v>
      </c>
      <c r="J185" s="492">
        <f>SUBTOTAL(109,Table_KeHoach_LaiDTTC[Tháng 7])</f>
        <v>0</v>
      </c>
      <c r="K185" s="492">
        <f>SUBTOTAL(109,Table_KeHoach_LaiDTTC[Tháng 8])</f>
        <v>0</v>
      </c>
      <c r="L185" s="492">
        <f>SUBTOTAL(109,Table_KeHoach_LaiDTTC[Tháng 9])</f>
        <v>0</v>
      </c>
      <c r="M185" s="492">
        <f>SUBTOTAL(109,Table_KeHoach_LaiDTTC[Tháng 10])</f>
        <v>0</v>
      </c>
      <c r="N185" s="492">
        <f>SUBTOTAL(109,Table_KeHoach_LaiDTTC[Tháng 11])</f>
        <v>0</v>
      </c>
      <c r="O185" s="492">
        <f>SUBTOTAL(109,Table_KeHoach_LaiDTTC[Tháng 12])</f>
        <v>0</v>
      </c>
      <c r="P185" s="29"/>
    </row>
    <row r="187" spans="2:16" ht="18" customHeight="1" x14ac:dyDescent="0.3">
      <c r="B187" s="7" t="s">
        <v>1076</v>
      </c>
    </row>
    <row r="188" spans="2:16" ht="18" customHeight="1" x14ac:dyDescent="0.3">
      <c r="B188" s="491" t="s">
        <v>1075</v>
      </c>
      <c r="C188" s="480" t="s">
        <v>1031</v>
      </c>
      <c r="D188" s="480" t="s">
        <v>268</v>
      </c>
      <c r="E188" s="480" t="s">
        <v>269</v>
      </c>
      <c r="F188" s="480" t="s">
        <v>270</v>
      </c>
      <c r="G188" s="480" t="s">
        <v>271</v>
      </c>
      <c r="H188" s="480" t="s">
        <v>272</v>
      </c>
      <c r="I188" s="480" t="s">
        <v>273</v>
      </c>
      <c r="J188" s="480" t="s">
        <v>274</v>
      </c>
      <c r="K188" s="480" t="s">
        <v>275</v>
      </c>
      <c r="L188" s="480" t="s">
        <v>276</v>
      </c>
      <c r="M188" s="480" t="s">
        <v>277</v>
      </c>
      <c r="N188" s="480" t="s">
        <v>278</v>
      </c>
      <c r="O188" s="480" t="s">
        <v>279</v>
      </c>
      <c r="P188" s="481" t="s">
        <v>873</v>
      </c>
    </row>
    <row r="189" spans="2:16" ht="18" customHeight="1" x14ac:dyDescent="0.3">
      <c r="B189" s="15"/>
      <c r="C189" s="8"/>
      <c r="D189" s="18"/>
      <c r="E189" s="18"/>
      <c r="F189" s="18"/>
      <c r="G189" s="18"/>
      <c r="H189" s="18"/>
      <c r="I189" s="18"/>
      <c r="J189" s="18"/>
      <c r="K189" s="18"/>
      <c r="L189" s="18"/>
      <c r="M189" s="18"/>
      <c r="N189" s="18"/>
      <c r="O189" s="18"/>
      <c r="P189" s="15"/>
    </row>
    <row r="190" spans="2:16" ht="18" customHeight="1" x14ac:dyDescent="0.3">
      <c r="B190" s="29" t="s">
        <v>1083</v>
      </c>
      <c r="C190" s="492">
        <f>SUBTOTAL(109,Table_KeHoach_VonVay[Column1])</f>
        <v>0</v>
      </c>
      <c r="D190" s="492">
        <f>SUBTOTAL(109,Table_KeHoach_VonVay[Tháng 1])</f>
        <v>0</v>
      </c>
      <c r="E190" s="492">
        <f>SUBTOTAL(109,Table_KeHoach_VonVay[Tháng 2])</f>
        <v>0</v>
      </c>
      <c r="F190" s="492">
        <f>SUBTOTAL(109,Table_KeHoach_VonVay[Tháng 3])</f>
        <v>0</v>
      </c>
      <c r="G190" s="492">
        <f>SUBTOTAL(109,Table_KeHoach_VonVay[Tháng 4])</f>
        <v>0</v>
      </c>
      <c r="H190" s="492">
        <f>SUBTOTAL(109,Table_KeHoach_VonVay[Tháng 5])</f>
        <v>0</v>
      </c>
      <c r="I190" s="492">
        <f>SUBTOTAL(109,Table_KeHoach_VonVay[Tháng 6])</f>
        <v>0</v>
      </c>
      <c r="J190" s="492">
        <f>SUBTOTAL(109,Table_KeHoach_VonVay[Tháng 7])</f>
        <v>0</v>
      </c>
      <c r="K190" s="492">
        <f>SUBTOTAL(109,Table_KeHoach_VonVay[Tháng 8])</f>
        <v>0</v>
      </c>
      <c r="L190" s="492">
        <f>SUBTOTAL(109,Table_KeHoach_VonVay[Tháng 9])</f>
        <v>0</v>
      </c>
      <c r="M190" s="492">
        <f>SUBTOTAL(109,Table_KeHoach_VonVay[Tháng 10])</f>
        <v>0</v>
      </c>
      <c r="N190" s="492">
        <f>SUBTOTAL(109,Table_KeHoach_VonVay[Tháng 11])</f>
        <v>0</v>
      </c>
      <c r="O190" s="492">
        <f>SUBTOTAL(109,Table_KeHoach_VonVay[Tháng 12])</f>
        <v>0</v>
      </c>
      <c r="P190" s="29"/>
    </row>
    <row r="192" spans="2:16" ht="18" customHeight="1" x14ac:dyDescent="0.3">
      <c r="B192" s="7" t="s">
        <v>1078</v>
      </c>
    </row>
    <row r="193" spans="2:16" ht="18" customHeight="1" x14ac:dyDescent="0.3">
      <c r="B193" s="491" t="s">
        <v>1077</v>
      </c>
      <c r="C193" s="493" t="s">
        <v>1031</v>
      </c>
      <c r="D193" s="480" t="s">
        <v>268</v>
      </c>
      <c r="E193" s="480" t="s">
        <v>269</v>
      </c>
      <c r="F193" s="480" t="s">
        <v>270</v>
      </c>
      <c r="G193" s="480" t="s">
        <v>271</v>
      </c>
      <c r="H193" s="480" t="s">
        <v>272</v>
      </c>
      <c r="I193" s="480" t="s">
        <v>273</v>
      </c>
      <c r="J193" s="480" t="s">
        <v>274</v>
      </c>
      <c r="K193" s="480" t="s">
        <v>275</v>
      </c>
      <c r="L193" s="480" t="s">
        <v>276</v>
      </c>
      <c r="M193" s="480" t="s">
        <v>277</v>
      </c>
      <c r="N193" s="480" t="s">
        <v>278</v>
      </c>
      <c r="O193" s="480" t="s">
        <v>279</v>
      </c>
      <c r="P193" s="481" t="s">
        <v>873</v>
      </c>
    </row>
    <row r="194" spans="2:16" ht="18" customHeight="1" x14ac:dyDescent="0.3">
      <c r="B194" s="15"/>
      <c r="C194" s="489"/>
      <c r="D194" s="18"/>
      <c r="E194" s="18"/>
      <c r="F194" s="18"/>
      <c r="G194" s="18"/>
      <c r="H194" s="18"/>
      <c r="I194" s="18"/>
      <c r="J194" s="18"/>
      <c r="K194" s="18"/>
      <c r="L194" s="18"/>
      <c r="M194" s="18"/>
      <c r="N194" s="18"/>
      <c r="O194" s="18"/>
      <c r="P194" s="15"/>
    </row>
    <row r="195" spans="2:16" ht="18" customHeight="1" x14ac:dyDescent="0.3">
      <c r="B195" s="29" t="s">
        <v>1084</v>
      </c>
      <c r="C195" s="492">
        <f>SUBTOTAL(109,Table_KeHoach_VonGop[Column1])</f>
        <v>0</v>
      </c>
      <c r="D195" s="492">
        <f>SUBTOTAL(109,Table_KeHoach_VonGop[Tháng 1])</f>
        <v>0</v>
      </c>
      <c r="E195" s="492">
        <f>SUBTOTAL(109,Table_KeHoach_VonGop[Tháng 2])</f>
        <v>0</v>
      </c>
      <c r="F195" s="492">
        <f>SUBTOTAL(109,Table_KeHoach_VonGop[Tháng 3])</f>
        <v>0</v>
      </c>
      <c r="G195" s="492">
        <f>SUBTOTAL(109,Table_KeHoach_VonGop[Tháng 4])</f>
        <v>0</v>
      </c>
      <c r="H195" s="492">
        <f>SUBTOTAL(109,Table_KeHoach_VonGop[Tháng 5])</f>
        <v>0</v>
      </c>
      <c r="I195" s="492">
        <f>SUBTOTAL(109,Table_KeHoach_VonGop[Tháng 6])</f>
        <v>0</v>
      </c>
      <c r="J195" s="492">
        <f>SUBTOTAL(109,Table_KeHoach_VonGop[Tháng 7])</f>
        <v>0</v>
      </c>
      <c r="K195" s="492">
        <f>SUBTOTAL(109,Table_KeHoach_VonGop[Tháng 8])</f>
        <v>0</v>
      </c>
      <c r="L195" s="492">
        <f>SUBTOTAL(109,Table_KeHoach_VonGop[Tháng 9])</f>
        <v>0</v>
      </c>
      <c r="M195" s="492">
        <f>SUBTOTAL(109,Table_KeHoach_VonGop[Tháng 10])</f>
        <v>0</v>
      </c>
      <c r="N195" s="492">
        <f>SUBTOTAL(109,Table_KeHoach_VonGop[Tháng 11])</f>
        <v>0</v>
      </c>
      <c r="O195" s="492">
        <f>SUBTOTAL(109,Table_KeHoach_VonGop[Tháng 12])</f>
        <v>0</v>
      </c>
      <c r="P195" s="29"/>
    </row>
    <row r="197" spans="2:16" ht="18" customHeight="1" x14ac:dyDescent="0.3">
      <c r="B197" s="7" t="s">
        <v>1057</v>
      </c>
    </row>
    <row r="198" spans="2:16" ht="18" customHeight="1" x14ac:dyDescent="0.3">
      <c r="B198" s="456" t="s">
        <v>1007</v>
      </c>
      <c r="C198" s="495" t="s">
        <v>1008</v>
      </c>
      <c r="D198" s="493" t="s">
        <v>268</v>
      </c>
      <c r="E198" s="493" t="s">
        <v>269</v>
      </c>
      <c r="F198" s="493" t="s">
        <v>270</v>
      </c>
      <c r="G198" s="493" t="s">
        <v>271</v>
      </c>
      <c r="H198" s="493" t="s">
        <v>272</v>
      </c>
      <c r="I198" s="493" t="s">
        <v>273</v>
      </c>
      <c r="J198" s="493" t="s">
        <v>274</v>
      </c>
      <c r="K198" s="493" t="s">
        <v>275</v>
      </c>
      <c r="L198" s="493" t="s">
        <v>276</v>
      </c>
      <c r="M198" s="493" t="s">
        <v>277</v>
      </c>
      <c r="N198" s="493" t="s">
        <v>278</v>
      </c>
      <c r="O198" s="493" t="s">
        <v>279</v>
      </c>
      <c r="P198" s="481" t="s">
        <v>873</v>
      </c>
    </row>
    <row r="199" spans="2:16" ht="18" customHeight="1" x14ac:dyDescent="0.3">
      <c r="C199" s="490" t="e">
        <f>VLOOKUP(Table_KeHoach_CoTuc[[#This Row],[Kế hoạch cổ tức]],Table_CoDong[],COUNTA(Table_CoDong[[#Headers],[Mã Cổ đông]:[Tỷ lệ chia lợi nhuận]]),0)</f>
        <v>#N/A</v>
      </c>
      <c r="D199" s="18" t="e">
        <f>Table_KeHoach_CoTuc[[#This Row],[Tỷ lệ lợi ích]]*D$45</f>
        <v>#N/A</v>
      </c>
      <c r="E199" s="18" t="e">
        <f>Table_KeHoach_CoTuc[[#This Row],[Tỷ lệ lợi ích]]*E$45</f>
        <v>#N/A</v>
      </c>
      <c r="F199" s="18" t="e">
        <f>Table_KeHoach_CoTuc[[#This Row],[Tỷ lệ lợi ích]]*F$45</f>
        <v>#N/A</v>
      </c>
      <c r="G199" s="18" t="e">
        <f>Table_KeHoach_CoTuc[[#This Row],[Tỷ lệ lợi ích]]*G$45</f>
        <v>#N/A</v>
      </c>
      <c r="H199" s="18" t="e">
        <f>Table_KeHoach_CoTuc[[#This Row],[Tỷ lệ lợi ích]]*H$45</f>
        <v>#N/A</v>
      </c>
      <c r="I199" s="18" t="e">
        <f>Table_KeHoach_CoTuc[[#This Row],[Tỷ lệ lợi ích]]*I$45</f>
        <v>#N/A</v>
      </c>
      <c r="J199" s="18" t="e">
        <f>Table_KeHoach_CoTuc[[#This Row],[Tỷ lệ lợi ích]]*J$45</f>
        <v>#N/A</v>
      </c>
      <c r="K199" s="18" t="e">
        <f>Table_KeHoach_CoTuc[[#This Row],[Tỷ lệ lợi ích]]*K$45</f>
        <v>#N/A</v>
      </c>
      <c r="L199" s="18" t="e">
        <f>Table_KeHoach_CoTuc[[#This Row],[Tỷ lệ lợi ích]]*L$45</f>
        <v>#N/A</v>
      </c>
      <c r="M199" s="18" t="e">
        <f>Table_KeHoach_CoTuc[[#This Row],[Tỷ lệ lợi ích]]*M$45</f>
        <v>#N/A</v>
      </c>
      <c r="N199" s="18" t="e">
        <f>Table_KeHoach_CoTuc[[#This Row],[Tỷ lệ lợi ích]]*N$45</f>
        <v>#N/A</v>
      </c>
      <c r="O199" s="18" t="e">
        <f>Table_KeHoach_CoTuc[[#This Row],[Tỷ lệ lợi ích]]*O$45</f>
        <v>#N/A</v>
      </c>
      <c r="P199" s="18"/>
    </row>
    <row r="200" spans="2:16" ht="18" customHeight="1" x14ac:dyDescent="0.3">
      <c r="B200" s="29" t="s">
        <v>1085</v>
      </c>
      <c r="C200" s="496" t="e">
        <f>SUBTOTAL(109,Table_KeHoach_CoTuc[Tỷ lệ lợi ích])</f>
        <v>#N/A</v>
      </c>
      <c r="D200" s="492" t="e">
        <f>SUBTOTAL(109,Table_KeHoach_CoTuc[Tháng 1])</f>
        <v>#N/A</v>
      </c>
      <c r="E200" s="492" t="e">
        <f>SUBTOTAL(109,Table_KeHoach_CoTuc[Tháng 2])</f>
        <v>#N/A</v>
      </c>
      <c r="F200" s="492" t="e">
        <f>SUBTOTAL(109,Table_KeHoach_CoTuc[Tháng 3])</f>
        <v>#N/A</v>
      </c>
      <c r="G200" s="492" t="e">
        <f>SUBTOTAL(109,Table_KeHoach_CoTuc[Tháng 4])</f>
        <v>#N/A</v>
      </c>
      <c r="H200" s="492" t="e">
        <f>SUBTOTAL(109,Table_KeHoach_CoTuc[Tháng 5])</f>
        <v>#N/A</v>
      </c>
      <c r="I200" s="492" t="e">
        <f>SUBTOTAL(109,Table_KeHoach_CoTuc[Tháng 6])</f>
        <v>#N/A</v>
      </c>
      <c r="J200" s="492" t="e">
        <f>SUBTOTAL(109,Table_KeHoach_CoTuc[Tháng 7])</f>
        <v>#N/A</v>
      </c>
      <c r="K200" s="492" t="e">
        <f>SUBTOTAL(109,Table_KeHoach_CoTuc[Tháng 8])</f>
        <v>#N/A</v>
      </c>
      <c r="L200" s="492" t="e">
        <f>SUBTOTAL(109,Table_KeHoach_CoTuc[Tháng 9])</f>
        <v>#N/A</v>
      </c>
      <c r="M200" s="492" t="e">
        <f>SUBTOTAL(109,Table_KeHoach_CoTuc[Tháng 10])</f>
        <v>#N/A</v>
      </c>
      <c r="N200" s="492" t="e">
        <f>SUBTOTAL(109,Table_KeHoach_CoTuc[Tháng 11])</f>
        <v>#N/A</v>
      </c>
      <c r="O200" s="492" t="e">
        <f>SUBTOTAL(109,Table_KeHoach_CoTuc[Tháng 12])</f>
        <v>#N/A</v>
      </c>
      <c r="P200" s="29"/>
    </row>
  </sheetData>
  <sheetProtection algorithmName="SHA-512" hashValue="oHyfqPzcrHotM7pmWercuXusIoh8TMY84Vxz9wAR518nD65lWCtFrNRLEVW/ZGlHhQdG+cmcfbJPLAsEWSv7IA==" saltValue="esDOwwcSe9IYvLhP+WDmtw==" spinCount="100000" sheet="1" scenarios="1" formatCells="0" formatColumns="0" formatRows="0" insertColumns="0" insertRows="0" deleteColumns="0" deleteRows="0" sort="0" autoFilter="0" pivotTables="0"/>
  <protectedRanges>
    <protectedRange sqref="B13 B22 B10 B48:P48 Q1:S1 B51:P51 B154:P155 T207:T1048576 X207:X1048576 T54:T55 X54:X55 P49:P50 P53:P55 R48:S48 P58:P59 R49:T51 X58:X59 T58:T59 T62:T64 X62:X64 V56:W56 R56:S56 V60:W60 R60:S60 X67:X69 T67:T69 T72:T73 X72:X73 V65:W65 V70:W70 X76:X77 T76:T77 Q86 Q90 T80:T81 X80:X81 V74:W74 V78:W78 X84:X85 T84:T85 Q94 T88:T89 X88:X89 V82:W82 Q102 V86:W86 X92:X93 T92:T93 T96:T97 X96:X97 V90:W90 Q106 Q110 V94:W94 X100:X101 T100:T101 T104:T105 X104:X105 V98:W98 Q114 Q118 V102:W102 X108:X109 T108:T109 T112:T114 X112:X114 V106:W106 Q122 Q126 V110:W110 X117:X118 T117:T118 T121:T122 X121:X122 V115:W115 Q131 Q134 V119:W119 X125:X126 T125:T126 T129:T132 X129:X132 V123:W123 Q138 V127:W127 T135:T137 P145:P147 T140:T143 X140:X143 V133:W133 V138:W138 V49:X51 Q81 U219:U1048576 Y219:Y1048576 Q71 B157 P62 P72:P73 P76:P77 P81:P82 P86:P87 P91:P93 P106:P107 P110:P111 P114:P115 P119:P120 P124:P125 P128:P129 P133:P134 P138:P141 P151 P198 B158:P162 B164 P164 Q164:Q167 V144:W144 Y6:XFD52 P169 B169 P157 Q2:Q52 T1:XFD5 A6:A52 U63:U66 X135:X137 R53:T53 V53:X53 Y54:XFD57 Q54:Q57 A54:A57 Y59:XFD61 Q59:Q61 A59:A61 Y63:XFD66 Q63:Q66 A63:A66 B52 U68:U71 Y68:XFD71 P67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V146:W151 Y147:XFD152 A147:A152 V153:W156 Y154:XFD157 A154:A157 V158:W160 Y159:XFD161 B165:P167 U163:U170 Y163:XFD170 Q147 Q141 A159:A161 P97:P98 P101:P102 B170:P171 P173 B174:P176 P178 B179:P181 B185:P186 B184:C184 P183:P184 B190:P191 B189:C189 P188:P189 R165:S1048576 Z171:XFD1048576 V162:W1048576 B195:P196 P193:P194 B199:H1048576 J199:P1048576 I199:I200 I202:I1048576 B194:C194 A163:A1048576 Q68 P6:P47 Q171:Q1048576 T6:T36 U159:U161 U154:U157 U147:U152 X6:X36" name="Range1_63"/>
    <protectedRange sqref="D20:O20 B8:B9 C7 C11 V6:W6 R6:S6 C23:C29 C38 C31 C14:C20 B6:C6 B32 B34:B47 D17:O17" name="Range1_63_63_1"/>
    <protectedRange sqref="B20 C21:O21 C12:O12" name="Range1_5_1_3_1"/>
    <protectedRange sqref="B140:B141 B152:B153 B147" name="Range1_2_2"/>
    <protectedRange sqref="B18" name="Range1_5_1"/>
    <protectedRange sqref="B7" name="Range1_5_3"/>
    <protectedRange sqref="B33" name="Range1_63_63_1_1"/>
    <protectedRange sqref="C30" name="Range1_63_63_1_3"/>
    <protectedRange sqref="R13:S13 R22:S22 R10:S10" name="Range1_63_1"/>
    <protectedRange sqref="R8:S9 R32:S33 R37:S37 R41:S41" name="Range1_63_63_1_6"/>
    <protectedRange sqref="R20:S20" name="Range1_5_1_3_1_2"/>
    <protectedRange sqref="R18:S18" name="Range1_5_1_1"/>
    <protectedRange sqref="R7:S7" name="Range1_5_4"/>
    <protectedRange sqref="S11" name="Range1_5_2_1"/>
    <protectedRange sqref="V13:W13 V22:W22 V10:W10" name="Range1_63_2"/>
    <protectedRange sqref="V8:W9 V46:W47 V32:W33 V37:W37 V41:W41" name="Range1_63_63_1_7"/>
    <protectedRange sqref="V20:W20" name="Range1_5_1_3_1_2_1"/>
    <protectedRange sqref="V18:W18" name="Range1_5_1_2"/>
    <protectedRange sqref="V7:W7" name="Range1_5_5"/>
    <protectedRange sqref="W11" name="Range1_5_2_2"/>
    <protectedRange sqref="R46:R47" name="Range1_63_3"/>
    <protectedRange sqref="S46:S47" name="Range1_63_4"/>
    <protectedRange sqref="S2:S5" name="Range1_63_5"/>
    <protectedRange sqref="R4:R5" name="Range1_63_6"/>
    <protectedRange sqref="S52:T52 P52 A53 B57 V52:X52 U53 Y53:XFD53" name="Range1_63_7"/>
    <protectedRange sqref="R57 V57:X57 A58 R61 V61:X61 B61 A62 Q62 Q58 U62 Y62:XFD62 U58 Y58:XFD58" name="Range1_63_8"/>
    <protectedRange sqref="Y67:XFD67 V66:W66 B66 A67 U67" name="Range1_63_9"/>
    <protectedRange sqref="Y72:XFD72 V71:W71 S71 B71 A72 U72" name="Range1_63_10"/>
    <protectedRange sqref="S75:T75 B75 A76 V75:X75 U76 Y76:XFD76" name="Range1_63_11"/>
    <protectedRange sqref="S79:T79 A80:B80 V79:X79 U80 Y80:XFD80" name="Range1_63_12"/>
    <protectedRange sqref="S83:T83 B85 A84 V83:X83 U84 Y84:XFD84" name="Range1_63_13"/>
    <protectedRange sqref="S87:T87 B90 A88 V87:X87 U88 Y88:XFD88" name="Range1_63_14"/>
    <protectedRange sqref="S91:T91 B96 A92 V91:X91 U92 Y92:XFD92" name="Range1_63_16"/>
    <protectedRange sqref="S95:T95 B100 A96 V95:X95 U96 Y96:XFD96" name="Range1_63_17"/>
    <protectedRange sqref="S99:T99 B105 A100 V99:X99 U100 Y100:XFD100" name="Range1_63_18"/>
    <protectedRange sqref="S103:T103 B109 A104 V103:X103 U104 Y104:XFD104" name="Range1_63_19"/>
    <protectedRange sqref="A108 S107:T107 V107:X107 U108 Y108:XFD108" name="Range1_63_20"/>
    <protectedRange sqref="R111 A112 T111 V111:X111 Q112 U112 Y112:XFD112" name="Range1_63_21"/>
    <protectedRange sqref="S116 A117 Y117:XFD117 V116:W116 U117" name="Range1_63_22"/>
    <protectedRange sqref="A121 S120:T120 V120:X120 U121 Y121:XFD121" name="Range1_63_23"/>
    <protectedRange sqref="A125 S124:T124 V124:X124 U125 Y125:XFD125" name="Range1_63_24"/>
    <protectedRange sqref="A129 S128:T128 V128:X128 U129 Y129:XFD129" name="Range1_63_25"/>
    <protectedRange sqref="A135 S134:T134 V134:X134 U135 Y135:XFD135" name="Range1_63_26"/>
    <protectedRange sqref="A140 S139:T139 V139:X139 U140 Y140:XFD140" name="Range1_63_27"/>
    <protectedRange sqref="Y146:XFD146 A146 W145 C156:O156" name="Range1_63_28"/>
    <protectedRange sqref="X152 A153 T152 V152 U153 Y153:XFD153" name="Range1_63_29"/>
    <protectedRange sqref="C163:O163" name="Range1_63_3_1"/>
    <protectedRange sqref="X157 A158 T157 V157 U158 Y158:XFD158" name="Range1_63_30"/>
    <protectedRange sqref="P168" name="Range1_63_3_2"/>
    <protectedRange sqref="B168:O168" name="Range1_63_4_1"/>
    <protectedRange sqref="A162 T161 X161 V161 U162 Y162:XFD162" name="Range1_63_31"/>
    <protectedRange sqref="B197:P197 B172:P172 B177:P177 B182:P182 B192:P192 B187:P187" name="Range1_63_4_2"/>
    <protectedRange sqref="R3" name="Range1_63_5_1"/>
    <protectedRange sqref="R2" name="Range1_63_5_1_1"/>
    <protectedRange sqref="B11" name="Range1"/>
    <protectedRange sqref="R11" name="Range1_1"/>
    <protectedRange sqref="V11" name="Range1_2"/>
  </protectedRanges>
  <dataConsolidate link="1"/>
  <phoneticPr fontId="14" type="noConversion"/>
  <conditionalFormatting sqref="B125">
    <cfRule type="duplicateValues" dxfId="1945" priority="247"/>
  </conditionalFormatting>
  <conditionalFormatting sqref="B129">
    <cfRule type="duplicateValues" dxfId="1944" priority="248"/>
  </conditionalFormatting>
  <conditionalFormatting sqref="B134">
    <cfRule type="duplicateValues" dxfId="1943" priority="249"/>
  </conditionalFormatting>
  <dataValidations count="8">
    <dataValidation type="list" allowBlank="1" showInputMessage="1" showErrorMessage="1" sqref="B102 B54 B98 B63 B50 B59 B77 B73 B75" xr:uid="{013536CD-67B8-4385-ADA6-80C28315C80B}">
      <formula1>Ma_SKU</formula1>
    </dataValidation>
    <dataValidation type="list" allowBlank="1" showInputMessage="1" showErrorMessage="1" sqref="B111 B107 B115" xr:uid="{20FCE550-D25C-4631-B117-3A8EE8A547D3}">
      <formula1>MaTaiKhoan</formula1>
    </dataValidation>
    <dataValidation type="list" allowBlank="1" showInputMessage="1" showErrorMessage="1" sqref="B134 B125 B129" xr:uid="{94439D58-9D87-433C-96D6-0EC0AC620345}">
      <formula1>MaNhanVien</formula1>
    </dataValidation>
    <dataValidation type="list" allowBlank="1" showInputMessage="1" showErrorMessage="1" sqref="B82 B85" xr:uid="{AFAB2C1A-AFB4-45BD-8469-21BF7600BB9A}">
      <formula1>MaNguyenLieu</formula1>
    </dataValidation>
    <dataValidation type="list" allowBlank="1" showInputMessage="1" showErrorMessage="1" sqref="B199 B194" xr:uid="{C905500D-B607-462A-965C-6F8158474686}">
      <formula1>MaCoDong</formula1>
    </dataValidation>
    <dataValidation type="list" allowBlank="1" showInputMessage="1" showErrorMessage="1" sqref="B174" xr:uid="{3E1FEBB2-C9DE-4EC0-A9F4-C7847722CBAB}">
      <formula1>MaTaiSan</formula1>
    </dataValidation>
    <dataValidation type="list" allowBlank="1" showInputMessage="1" showErrorMessage="1" sqref="B179 B184" xr:uid="{21265826-A0EE-442E-A282-736567944CAB}">
      <formula1>MaDauTu</formula1>
    </dataValidation>
    <dataValidation type="list" allowBlank="1" showInputMessage="1" showErrorMessage="1" sqref="B189"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9" id="{8FDBA642-DE3F-4297-8F37-5F29D79C75AB}">
            <xm:f>Security!$A$1="NO VBA"</xm:f>
            <x14:dxf>
              <font>
                <color theme="0"/>
              </font>
              <border>
                <vertical/>
                <horizontal/>
              </border>
            </x14:dxf>
          </x14:cfRule>
          <xm:sqref>C6:O6 B49:O49 B53:O53 B58:O58 B50:P51 B54:P56 B62:O62 B67:O67 B72:O72 B76:O76 B81:O81 B86:O86 B91:O91 B97:O97 B101:O101 B106:O106 B110:O110 B114:O114 B119:O119 B124:O124 B128:O128 B133:O133 B138:O138 B145:O145 B151:O151 B157:C157 B198:O198 B162:P162 B165:P165 B167:P167 B170:P171 B169 Q2:Q3 F4:Q5 Q1:R1 U1:V1 Y1:XFD1 B59:P60 B63:P65 B68:P70 B107:P108 B111:P112 B125:P126 B152:P155 A4:D5 T46:T47 T2:XFD3 A6:A52 U6:U52 Y6:XFD52 Q6:Q52 R48:T51 A54:A57 A59:A61 A63:A66 A68:A71 A73:A75 A77:A79 A81:A83 A85:A87 A89:A91 A97:A99 A101:A103 A109:A111 A113:A116 A126:A128 A130:A134 A141:A145 A147:A152 A154:A157 B73:P74 B77:P77 B79:P79 B82:P82 B84:P84 B87:P87 B89:P89 A118:A120 B95:P95 A136:A139 B104:P104 A105:A107 B102:P102 B98:P99 A122:A124 B120:P122 B115:P115 B117:P117 B131:P131 B134:P134 B136:P136 B139:P141 B143:P143 B146:P147 B149:P149 B199:P199 B176:P176 B173:B174 C174:P174 B181:P181 B178:B179 C179:P179 B186:P186 B184:P184 B191:P191 B188:B189 C189:P189 B196:P196 B193:B194 B201:H201 J201:P201 B202:P1048576 B194:P194 A163:A1048576 B129:P129 T5:XFD5 U4:XFD4 A1:O3 A93:A95 B92:P93 A159:A161 B158:P160 B7:P10 Q54:Q57 R53:T56 Q59:Q61 R58:T60 Q63:Q66 R62:T65 Q68:Q71 R67:T70 Q73:Q75 R72:T74 Q77:Q79 R76:T78 Q81:Q83 R80:T82 Q85:Q87 R84:T86 Q89:Q91 R88:T90 Q97:Q99 R96:T98 Q101:Q103 R100:T102 Q109:Q111 R108:T110 Q113:Q116 R112:T115 Q126:Q128 R125:T127 Q130:Q134 R129:T133 Q141:Q145 R140:T144 Q147:Q152 R146:T151 Q154:Q157 R153:T156 Q118:Q120 R117:T119 Q136:Q139 R135:T138 Q105:Q107 R104:T106 Q122:Q124 R121:T123 Q163:Q1048576 R162:T1048576 R7:T10 Q93:Q95 R92:T94 Q159:Q161 R158:T160 V7:X10 U54:U57 Y54:XFD57 V53:X56 U59:U61 Y59:XFD61 V58:X60 U63:U66 Y63:XFD66 V62:X65 U68:U71 Y68:XFD71 V67:X70 U73:U75 Y73:XFD75 V72:X74 U77:U79 Y77:XFD79 V76:X78 U81:U83 Y81:XFD83 V80:X82 U85:U87 Y85:XFD87 V84:X86 U89:U91 Y89:XFD91 V88:X90 U97:U99 Y97:XFD99 V96:X98 U101:U103 Y101:XFD103 V100:X102 U109:U111 Y109:XFD111 V108:X110 U113:U116 Y113:XFD116 V112:X115 U126:U128 Y126:XFD128 V125:X127 U130:U134 Y130:XFD134 V129:X133 U141:U145 Y141:XFD145 V140:X144 U147:U152 Y147:XFD152 V146:X151 U154:U157 Y154:XFD157 V153:X156 U118:U120 Y118:XFD120 V117:X119 U136:U139 Y136:XFD139 V135:X138 U105:U107 Y105:XFD107 V104:X106 U122:U124 Y122:XFD124 V121:X123 U163:U1048576 Y163:XFD1048576 V162:X1048576 U93:U95 Y93:XFD95 V92:X94 U159:U161 Y159:XFD161 V158:X160 B12:P47 R12:T45 S11:T11 V12:X51 W11:X11 C11:P11</xm:sqref>
        </x14:conditionalFormatting>
        <x14:conditionalFormatting xmlns:xm="http://schemas.microsoft.com/office/excel/2006/main">
          <x14:cfRule type="expression" priority="68"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7" id="{27A67DF0-42FA-4AED-B5F2-39F20D48E4B2}">
            <xm:f>Security!$A$1="NO VBA"</xm:f>
            <x14:dxf>
              <font>
                <color theme="0"/>
              </font>
              <border>
                <vertical/>
                <horizontal/>
              </border>
            </x14:dxf>
          </x14:cfRule>
          <xm:sqref>P49</xm:sqref>
        </x14:conditionalFormatting>
        <x14:conditionalFormatting xmlns:xm="http://schemas.microsoft.com/office/excel/2006/main">
          <x14:cfRule type="expression" priority="66" id="{3738111B-B3D6-4679-9737-B6E001D6A241}">
            <xm:f>Security!$A$1="NO VBA"</xm:f>
            <x14:dxf>
              <font>
                <color theme="0"/>
              </font>
              <border>
                <vertical/>
                <horizontal/>
              </border>
            </x14:dxf>
          </x14:cfRule>
          <xm:sqref>P53</xm:sqref>
        </x14:conditionalFormatting>
        <x14:conditionalFormatting xmlns:xm="http://schemas.microsoft.com/office/excel/2006/main">
          <x14:cfRule type="expression" priority="65" id="{2F5F0532-5D5F-4E60-A862-808F997170FD}">
            <xm:f>Security!$A$1="NO VBA"</xm:f>
            <x14:dxf>
              <font>
                <color theme="0"/>
              </font>
              <border>
                <vertical/>
                <horizontal/>
              </border>
            </x14:dxf>
          </x14:cfRule>
          <xm:sqref>P58</xm:sqref>
        </x14:conditionalFormatting>
        <x14:conditionalFormatting xmlns:xm="http://schemas.microsoft.com/office/excel/2006/main">
          <x14:cfRule type="expression" priority="64"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3"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62"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61"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60"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3" id="{57EA9CB5-4A03-4848-930B-9D985A56D6D6}">
            <xm:f>Security!$A$1="NO VBA"</xm:f>
            <x14:dxf>
              <font>
                <color theme="0"/>
              </font>
              <border>
                <vertical/>
                <horizontal/>
              </border>
            </x14:dxf>
          </x14:cfRule>
          <xm:sqref>P62</xm:sqref>
        </x14:conditionalFormatting>
        <x14:conditionalFormatting xmlns:xm="http://schemas.microsoft.com/office/excel/2006/main">
          <x14:cfRule type="expression" priority="52" id="{73C94914-A139-4648-91CD-80AAA8BF9D66}">
            <xm:f>Security!$A$1="NO VBA"</xm:f>
            <x14:dxf>
              <font>
                <color theme="0"/>
              </font>
              <border>
                <vertical/>
                <horizontal/>
              </border>
            </x14:dxf>
          </x14:cfRule>
          <xm:sqref>P67</xm:sqref>
        </x14:conditionalFormatting>
        <x14:conditionalFormatting xmlns:xm="http://schemas.microsoft.com/office/excel/2006/main">
          <x14:cfRule type="expression" priority="51" id="{DB82F2D6-F053-41F7-AAFC-16CC469EF4C2}">
            <xm:f>Security!$A$1="NO VBA"</xm:f>
            <x14:dxf>
              <font>
                <color theme="0"/>
              </font>
              <border>
                <vertical/>
                <horizontal/>
              </border>
            </x14:dxf>
          </x14:cfRule>
          <xm:sqref>P72</xm:sqref>
        </x14:conditionalFormatting>
        <x14:conditionalFormatting xmlns:xm="http://schemas.microsoft.com/office/excel/2006/main">
          <x14:cfRule type="expression" priority="50" id="{97E18889-0B1D-4CF4-9806-8A12D7442620}">
            <xm:f>Security!$A$1="NO VBA"</xm:f>
            <x14:dxf>
              <font>
                <color theme="0"/>
              </font>
              <border>
                <vertical/>
                <horizontal/>
              </border>
            </x14:dxf>
          </x14:cfRule>
          <xm:sqref>P76</xm:sqref>
        </x14:conditionalFormatting>
        <x14:conditionalFormatting xmlns:xm="http://schemas.microsoft.com/office/excel/2006/main">
          <x14:cfRule type="expression" priority="49" id="{A79EEE6B-3808-469C-9667-8F4F4BD2F973}">
            <xm:f>Security!$A$1="NO VBA"</xm:f>
            <x14:dxf>
              <font>
                <color theme="0"/>
              </font>
              <border>
                <vertical/>
                <horizontal/>
              </border>
            </x14:dxf>
          </x14:cfRule>
          <xm:sqref>P81</xm:sqref>
        </x14:conditionalFormatting>
        <x14:conditionalFormatting xmlns:xm="http://schemas.microsoft.com/office/excel/2006/main">
          <x14:cfRule type="expression" priority="48" id="{06C818ED-40A0-4EEE-B6B7-E4813360AABF}">
            <xm:f>Security!$A$1="NO VBA"</xm:f>
            <x14:dxf>
              <font>
                <color theme="0"/>
              </font>
              <border>
                <vertical/>
                <horizontal/>
              </border>
            </x14:dxf>
          </x14:cfRule>
          <xm:sqref>P86</xm:sqref>
        </x14:conditionalFormatting>
        <x14:conditionalFormatting xmlns:xm="http://schemas.microsoft.com/office/excel/2006/main">
          <x14:cfRule type="expression" priority="47" id="{D135D4BA-7832-4C9E-98A2-D4A94665A57E}">
            <xm:f>Security!$A$1="NO VBA"</xm:f>
            <x14:dxf>
              <font>
                <color theme="0"/>
              </font>
              <border>
                <vertical/>
                <horizontal/>
              </border>
            </x14:dxf>
          </x14:cfRule>
          <xm:sqref>P91</xm:sqref>
        </x14:conditionalFormatting>
        <x14:conditionalFormatting xmlns:xm="http://schemas.microsoft.com/office/excel/2006/main">
          <x14:cfRule type="expression" priority="46" id="{8D60DA36-23E8-481A-B237-80A434031EAA}">
            <xm:f>Security!$A$1="NO VBA"</xm:f>
            <x14:dxf>
              <font>
                <color theme="0"/>
              </font>
              <border>
                <vertical/>
                <horizontal/>
              </border>
            </x14:dxf>
          </x14:cfRule>
          <xm:sqref>P97</xm:sqref>
        </x14:conditionalFormatting>
        <x14:conditionalFormatting xmlns:xm="http://schemas.microsoft.com/office/excel/2006/main">
          <x14:cfRule type="expression" priority="45" id="{6C78D690-3438-42C1-86AD-037AC753EB27}">
            <xm:f>Security!$A$1="NO VBA"</xm:f>
            <x14:dxf>
              <font>
                <color theme="0"/>
              </font>
              <border>
                <vertical/>
                <horizontal/>
              </border>
            </x14:dxf>
          </x14:cfRule>
          <xm:sqref>P101</xm:sqref>
        </x14:conditionalFormatting>
        <x14:conditionalFormatting xmlns:xm="http://schemas.microsoft.com/office/excel/2006/main">
          <x14:cfRule type="expression" priority="44" id="{E68582C2-EB54-46C5-8F2B-60709A105FA2}">
            <xm:f>Security!$A$1="NO VBA"</xm:f>
            <x14:dxf>
              <font>
                <color theme="0"/>
              </font>
              <border>
                <vertical/>
                <horizontal/>
              </border>
            </x14:dxf>
          </x14:cfRule>
          <xm:sqref>P106</xm:sqref>
        </x14:conditionalFormatting>
        <x14:conditionalFormatting xmlns:xm="http://schemas.microsoft.com/office/excel/2006/main">
          <x14:cfRule type="expression" priority="43" id="{50B1FB18-4CBC-4A27-A4AE-BDCBBCCABE9D}">
            <xm:f>Security!$A$1="NO VBA"</xm:f>
            <x14:dxf>
              <font>
                <color theme="0"/>
              </font>
              <border>
                <vertical/>
                <horizontal/>
              </border>
            </x14:dxf>
          </x14:cfRule>
          <xm:sqref>P110</xm:sqref>
        </x14:conditionalFormatting>
        <x14:conditionalFormatting xmlns:xm="http://schemas.microsoft.com/office/excel/2006/main">
          <x14:cfRule type="expression" priority="42" id="{E1F1352F-0A5F-4ADC-B417-5312CA7D3049}">
            <xm:f>Security!$A$1="NO VBA"</xm:f>
            <x14:dxf>
              <font>
                <color theme="0"/>
              </font>
              <border>
                <vertical/>
                <horizontal/>
              </border>
            </x14:dxf>
          </x14:cfRule>
          <xm:sqref>P114</xm:sqref>
        </x14:conditionalFormatting>
        <x14:conditionalFormatting xmlns:xm="http://schemas.microsoft.com/office/excel/2006/main">
          <x14:cfRule type="expression" priority="41" id="{0C48B664-FF57-4E7D-88BA-BFC94AB9A0D6}">
            <xm:f>Security!$A$1="NO VBA"</xm:f>
            <x14:dxf>
              <font>
                <color theme="0"/>
              </font>
              <border>
                <vertical/>
                <horizontal/>
              </border>
            </x14:dxf>
          </x14:cfRule>
          <xm:sqref>P119</xm:sqref>
        </x14:conditionalFormatting>
        <x14:conditionalFormatting xmlns:xm="http://schemas.microsoft.com/office/excel/2006/main">
          <x14:cfRule type="expression" priority="40" id="{981165A7-C1B0-447B-B86C-58CFF89704E4}">
            <xm:f>Security!$A$1="NO VBA"</xm:f>
            <x14:dxf>
              <font>
                <color theme="0"/>
              </font>
              <border>
                <vertical/>
                <horizontal/>
              </border>
            </x14:dxf>
          </x14:cfRule>
          <xm:sqref>P124</xm:sqref>
        </x14:conditionalFormatting>
        <x14:conditionalFormatting xmlns:xm="http://schemas.microsoft.com/office/excel/2006/main">
          <x14:cfRule type="expression" priority="39" id="{A5F8DDDA-1BF9-4FE4-B91D-6552E39EE139}">
            <xm:f>Security!$A$1="NO VBA"</xm:f>
            <x14:dxf>
              <font>
                <color theme="0"/>
              </font>
              <border>
                <vertical/>
                <horizontal/>
              </border>
            </x14:dxf>
          </x14:cfRule>
          <xm:sqref>P128</xm:sqref>
        </x14:conditionalFormatting>
        <x14:conditionalFormatting xmlns:xm="http://schemas.microsoft.com/office/excel/2006/main">
          <x14:cfRule type="expression" priority="38" id="{A3486581-7C78-4B0F-869F-0F739C31464F}">
            <xm:f>Security!$A$1="NO VBA"</xm:f>
            <x14:dxf>
              <font>
                <color theme="0"/>
              </font>
              <border>
                <vertical/>
                <horizontal/>
              </border>
            </x14:dxf>
          </x14:cfRule>
          <xm:sqref>P133</xm:sqref>
        </x14:conditionalFormatting>
        <x14:conditionalFormatting xmlns:xm="http://schemas.microsoft.com/office/excel/2006/main">
          <x14:cfRule type="expression" priority="37" id="{DD2A23B2-1EE1-47E2-8B68-003771148DEA}">
            <xm:f>Security!$A$1="NO VBA"</xm:f>
            <x14:dxf>
              <font>
                <color theme="0"/>
              </font>
              <border>
                <vertical/>
                <horizontal/>
              </border>
            </x14:dxf>
          </x14:cfRule>
          <xm:sqref>P138</xm:sqref>
        </x14:conditionalFormatting>
        <x14:conditionalFormatting xmlns:xm="http://schemas.microsoft.com/office/excel/2006/main">
          <x14:cfRule type="expression" priority="36" id="{D76DC358-6F52-4A0E-8C9F-BA80314D82C0}">
            <xm:f>Security!$A$1="NO VBA"</xm:f>
            <x14:dxf>
              <font>
                <color theme="0"/>
              </font>
              <border>
                <vertical/>
                <horizontal/>
              </border>
            </x14:dxf>
          </x14:cfRule>
          <xm:sqref>P145</xm:sqref>
        </x14:conditionalFormatting>
        <x14:conditionalFormatting xmlns:xm="http://schemas.microsoft.com/office/excel/2006/main">
          <x14:cfRule type="expression" priority="35" id="{C3A42E95-3140-4C9B-94E4-AC4E3AA624FF}">
            <xm:f>Security!$A$1="NO VBA"</xm:f>
            <x14:dxf>
              <font>
                <color theme="0"/>
              </font>
              <border>
                <vertical/>
                <horizontal/>
              </border>
            </x14:dxf>
          </x14:cfRule>
          <xm:sqref>P151</xm:sqref>
        </x14:conditionalFormatting>
        <x14:conditionalFormatting xmlns:xm="http://schemas.microsoft.com/office/excel/2006/main">
          <x14:cfRule type="expression" priority="33" id="{8D7CB896-4D90-4EB2-808E-28F93E91A3E0}">
            <xm:f>Security!$A$1="NO VBA"</xm:f>
            <x14:dxf>
              <font>
                <color theme="0"/>
              </font>
              <border>
                <vertical/>
                <horizontal/>
              </border>
            </x14:dxf>
          </x14:cfRule>
          <xm:sqref>P198</xm:sqref>
        </x14:conditionalFormatting>
        <x14:conditionalFormatting xmlns:xm="http://schemas.microsoft.com/office/excel/2006/main">
          <x14:cfRule type="expression" priority="32" id="{0E875358-084C-427B-9FD6-477C9D10318E}">
            <xm:f>Security!$A$1="NO VBA"</xm:f>
            <x14:dxf>
              <font>
                <color theme="0"/>
              </font>
              <border>
                <vertical/>
                <horizontal/>
              </border>
            </x14:dxf>
          </x14:cfRule>
          <xm:sqref>D157:O157</xm:sqref>
        </x14:conditionalFormatting>
        <x14:conditionalFormatting xmlns:xm="http://schemas.microsoft.com/office/excel/2006/main">
          <x14:cfRule type="expression" priority="31" id="{D9BA7C7B-B73B-4592-8B51-EAEF65199CFD}">
            <xm:f>Security!$A$1="NO VBA"</xm:f>
            <x14:dxf>
              <font>
                <color theme="0"/>
              </font>
              <border>
                <vertical/>
                <horizontal/>
              </border>
            </x14:dxf>
          </x14:cfRule>
          <xm:sqref>P157</xm:sqref>
        </x14:conditionalFormatting>
        <x14:conditionalFormatting xmlns:xm="http://schemas.microsoft.com/office/excel/2006/main">
          <x14:cfRule type="expression" priority="30" id="{FDC44543-CF9C-43F0-A9B8-D47D23DA5A50}">
            <xm:f>Security!$A$1="NO VBA"</xm:f>
            <x14:dxf>
              <font>
                <color theme="0"/>
              </font>
              <border>
                <vertical/>
                <horizontal/>
              </border>
            </x14:dxf>
          </x14:cfRule>
          <xm:sqref>B164:C164</xm:sqref>
        </x14:conditionalFormatting>
        <x14:conditionalFormatting xmlns:xm="http://schemas.microsoft.com/office/excel/2006/main">
          <x14:cfRule type="expression" priority="29" id="{717AC35C-36FA-48FA-8858-91F77AF2A102}">
            <xm:f>Security!$A$1="NO VBA"</xm:f>
            <x14:dxf>
              <font>
                <color theme="0"/>
              </font>
              <border>
                <vertical/>
                <horizontal/>
              </border>
            </x14:dxf>
          </x14:cfRule>
          <xm:sqref>D164:O164</xm:sqref>
        </x14:conditionalFormatting>
        <x14:conditionalFormatting xmlns:xm="http://schemas.microsoft.com/office/excel/2006/main">
          <x14:cfRule type="expression" priority="28" id="{57E83F62-33A9-4706-91CD-EF4E7AE8419A}">
            <xm:f>Security!$A$1="NO VBA"</xm:f>
            <x14:dxf>
              <font>
                <color theme="0"/>
              </font>
              <border>
                <vertical/>
                <horizontal/>
              </border>
            </x14:dxf>
          </x14:cfRule>
          <xm:sqref>P164</xm:sqref>
        </x14:conditionalFormatting>
        <x14:conditionalFormatting xmlns:xm="http://schemas.microsoft.com/office/excel/2006/main">
          <x14:cfRule type="expression" priority="27" id="{1D71745C-7079-4D0B-BCCE-2F705E8B2B16}">
            <xm:f>Security!$A$1="NO VBA"</xm:f>
            <x14:dxf>
              <font>
                <color theme="0"/>
              </font>
              <border>
                <vertical/>
                <horizontal/>
              </border>
            </x14:dxf>
          </x14:cfRule>
          <xm:sqref>C169</xm:sqref>
        </x14:conditionalFormatting>
        <x14:conditionalFormatting xmlns:xm="http://schemas.microsoft.com/office/excel/2006/main">
          <x14:cfRule type="expression" priority="26" id="{573DFCAF-4F10-46AE-9809-6A819C393F31}">
            <xm:f>Security!$A$1="NO VBA"</xm:f>
            <x14:dxf>
              <font>
                <color theme="0"/>
              </font>
              <border>
                <vertical/>
                <horizontal/>
              </border>
            </x14:dxf>
          </x14:cfRule>
          <xm:sqref>D169:O169</xm:sqref>
        </x14:conditionalFormatting>
        <x14:conditionalFormatting xmlns:xm="http://schemas.microsoft.com/office/excel/2006/main">
          <x14:cfRule type="expression" priority="25" id="{08BC403E-5645-48B3-B223-6338ECF5B35A}">
            <xm:f>Security!$A$1="NO VBA"</xm:f>
            <x14:dxf>
              <font>
                <color theme="0"/>
              </font>
              <border>
                <vertical/>
                <horizontal/>
              </border>
            </x14:dxf>
          </x14:cfRule>
          <xm:sqref>P169</xm:sqref>
        </x14:conditionalFormatting>
        <x14:conditionalFormatting xmlns:xm="http://schemas.microsoft.com/office/excel/2006/main">
          <x14:cfRule type="expression" priority="24"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22" id="{50E087D5-036F-44A5-BBB3-8289586706AF}">
            <xm:f>Security!$A$1="NO VBA"</xm:f>
            <x14:dxf>
              <font>
                <color theme="0"/>
              </font>
              <border>
                <vertical/>
                <horizontal/>
              </border>
            </x14:dxf>
          </x14:cfRule>
          <xm:sqref>C173</xm:sqref>
        </x14:conditionalFormatting>
        <x14:conditionalFormatting xmlns:xm="http://schemas.microsoft.com/office/excel/2006/main">
          <x14:cfRule type="expression" priority="21" id="{2C4C2525-7C21-4170-A323-4E962FDBF38E}">
            <xm:f>Security!$A$1="NO VBA"</xm:f>
            <x14:dxf>
              <font>
                <color theme="0"/>
              </font>
              <border>
                <vertical/>
                <horizontal/>
              </border>
            </x14:dxf>
          </x14:cfRule>
          <xm:sqref>D173:O173</xm:sqref>
        </x14:conditionalFormatting>
        <x14:conditionalFormatting xmlns:xm="http://schemas.microsoft.com/office/excel/2006/main">
          <x14:cfRule type="expression" priority="20" id="{BA6E6235-10B3-4F86-8F42-B8A3E0B12AAA}">
            <xm:f>Security!$A$1="NO VBA"</xm:f>
            <x14:dxf>
              <font>
                <color theme="0"/>
              </font>
              <border>
                <vertical/>
                <horizontal/>
              </border>
            </x14:dxf>
          </x14:cfRule>
          <xm:sqref>P173</xm:sqref>
        </x14:conditionalFormatting>
        <x14:conditionalFormatting xmlns:xm="http://schemas.microsoft.com/office/excel/2006/main">
          <x14:cfRule type="expression" priority="19" id="{DF1DD268-E783-4C6F-9F51-39A066F73B49}">
            <xm:f>Security!$A$1="NO VBA"</xm:f>
            <x14:dxf>
              <font>
                <color theme="0"/>
              </font>
              <border>
                <vertical/>
                <horizontal/>
              </border>
            </x14:dxf>
          </x14:cfRule>
          <xm:sqref>C178</xm:sqref>
        </x14:conditionalFormatting>
        <x14:conditionalFormatting xmlns:xm="http://schemas.microsoft.com/office/excel/2006/main">
          <x14:cfRule type="expression" priority="18" id="{9FABA559-A8CA-4CFA-B7FD-FD07EF371D95}">
            <xm:f>Security!$A$1="NO VBA"</xm:f>
            <x14:dxf>
              <font>
                <color theme="0"/>
              </font>
              <border>
                <vertical/>
                <horizontal/>
              </border>
            </x14:dxf>
          </x14:cfRule>
          <xm:sqref>D178:O178</xm:sqref>
        </x14:conditionalFormatting>
        <x14:conditionalFormatting xmlns:xm="http://schemas.microsoft.com/office/excel/2006/main">
          <x14:cfRule type="expression" priority="17" id="{0BA0C8C3-CE56-4ACA-90C0-A2ACDDF6FA21}">
            <xm:f>Security!$A$1="NO VBA"</xm:f>
            <x14:dxf>
              <font>
                <color theme="0"/>
              </font>
              <border>
                <vertical/>
                <horizontal/>
              </border>
            </x14:dxf>
          </x14:cfRule>
          <xm:sqref>P178</xm:sqref>
        </x14:conditionalFormatting>
        <x14:conditionalFormatting xmlns:xm="http://schemas.microsoft.com/office/excel/2006/main">
          <x14:cfRule type="expression" priority="16" id="{AC2C341A-A4E0-4EA4-808E-31C51EB153B9}">
            <xm:f>Security!$A$1="NO VBA"</xm:f>
            <x14:dxf>
              <font>
                <color theme="0"/>
              </font>
              <border>
                <vertical/>
                <horizontal/>
              </border>
            </x14:dxf>
          </x14:cfRule>
          <xm:sqref>C183</xm:sqref>
        </x14:conditionalFormatting>
        <x14:conditionalFormatting xmlns:xm="http://schemas.microsoft.com/office/excel/2006/main">
          <x14:cfRule type="expression" priority="15" id="{48BA94AC-B811-473F-B96E-C3FBA3B16212}">
            <xm:f>Security!$A$1="NO VBA"</xm:f>
            <x14:dxf>
              <font>
                <color theme="0"/>
              </font>
              <border>
                <vertical/>
                <horizontal/>
              </border>
            </x14:dxf>
          </x14:cfRule>
          <xm:sqref>D183:O183</xm:sqref>
        </x14:conditionalFormatting>
        <x14:conditionalFormatting xmlns:xm="http://schemas.microsoft.com/office/excel/2006/main">
          <x14:cfRule type="expression" priority="14" id="{12794AC0-F5A1-4CA8-98B1-60ED6E350A56}">
            <xm:f>Security!$A$1="NO VBA"</xm:f>
            <x14:dxf>
              <font>
                <color theme="0"/>
              </font>
              <border>
                <vertical/>
                <horizontal/>
              </border>
            </x14:dxf>
          </x14:cfRule>
          <xm:sqref>P183</xm:sqref>
        </x14:conditionalFormatting>
        <x14:conditionalFormatting xmlns:xm="http://schemas.microsoft.com/office/excel/2006/main">
          <x14:cfRule type="expression" priority="10" id="{9A2C555B-40D9-451C-97E5-4798563A0A53}">
            <xm:f>Security!$A$1="NO VBA"</xm:f>
            <x14:dxf>
              <font>
                <color theme="0"/>
              </font>
              <border>
                <vertical/>
                <horizontal/>
              </border>
            </x14:dxf>
          </x14:cfRule>
          <xm:sqref>C188</xm:sqref>
        </x14:conditionalFormatting>
        <x14:conditionalFormatting xmlns:xm="http://schemas.microsoft.com/office/excel/2006/main">
          <x14:cfRule type="expression" priority="9" id="{7E368F59-BDA0-4502-8249-54FC031257BB}">
            <xm:f>Security!$A$1="NO VBA"</xm:f>
            <x14:dxf>
              <font>
                <color theme="0"/>
              </font>
              <border>
                <vertical/>
                <horizontal/>
              </border>
            </x14:dxf>
          </x14:cfRule>
          <xm:sqref>D188:O188</xm:sqref>
        </x14:conditionalFormatting>
        <x14:conditionalFormatting xmlns:xm="http://schemas.microsoft.com/office/excel/2006/main">
          <x14:cfRule type="expression" priority="8" id="{6EB0E0A4-00E8-4643-8B23-4DD6D3CC989B}">
            <xm:f>Security!$A$1="NO VBA"</xm:f>
            <x14:dxf>
              <font>
                <color theme="0"/>
              </font>
              <border>
                <vertical/>
                <horizontal/>
              </border>
            </x14:dxf>
          </x14:cfRule>
          <xm:sqref>P188</xm:sqref>
        </x14:conditionalFormatting>
        <x14:conditionalFormatting xmlns:xm="http://schemas.microsoft.com/office/excel/2006/main">
          <x14:cfRule type="expression" priority="6" id="{3D33BADA-6010-4525-BB4A-7ADAA75274F2}">
            <xm:f>Security!$A$1="NO VBA"</xm:f>
            <x14:dxf>
              <font>
                <color theme="0"/>
              </font>
              <border>
                <vertical/>
                <horizontal/>
              </border>
            </x14:dxf>
          </x14:cfRule>
          <xm:sqref>D193:O193</xm:sqref>
        </x14:conditionalFormatting>
        <x14:conditionalFormatting xmlns:xm="http://schemas.microsoft.com/office/excel/2006/main">
          <x14:cfRule type="expression" priority="5" id="{E77E04FE-29F4-4567-B7BE-58687ADDE315}">
            <xm:f>Security!$A$1="NO VBA"</xm:f>
            <x14:dxf>
              <font>
                <color theme="0"/>
              </font>
              <border>
                <vertical/>
                <horizontal/>
              </border>
            </x14:dxf>
          </x14:cfRule>
          <xm:sqref>P193</xm:sqref>
        </x14:conditionalFormatting>
        <x14:conditionalFormatting xmlns:xm="http://schemas.microsoft.com/office/excel/2006/main">
          <x14:cfRule type="expression" priority="4" id="{4A8FBDCB-EB97-497E-9149-C491172A9C9C}">
            <xm:f>Security!$A$1="NO VBA"</xm:f>
            <x14:dxf>
              <font>
                <color theme="0"/>
              </font>
              <border>
                <vertical/>
                <horizontal/>
              </border>
            </x14:dxf>
          </x14:cfRule>
          <xm:sqref>C193</xm:sqref>
        </x14:conditionalFormatting>
        <x14:conditionalFormatting xmlns:xm="http://schemas.microsoft.com/office/excel/2006/main">
          <x14:cfRule type="expression" priority="3" id="{37D837C5-BDA4-4A5C-981E-37DE8C0BD711}">
            <xm:f>Security!$A$1="NO VBA"</xm:f>
            <x14:dxf>
              <font>
                <color theme="0"/>
              </font>
              <border>
                <vertical/>
                <horizontal/>
              </border>
            </x14:dxf>
          </x14:cfRule>
          <xm:sqref>B11</xm:sqref>
        </x14:conditionalFormatting>
        <x14:conditionalFormatting xmlns:xm="http://schemas.microsoft.com/office/excel/2006/main">
          <x14:cfRule type="expression" priority="2" id="{6AD0275D-06D7-4A2F-944F-E451F705A068}">
            <xm:f>Security!$A$1="NO VBA"</xm:f>
            <x14:dxf>
              <font>
                <color theme="0"/>
              </font>
              <border>
                <vertical/>
                <horizontal/>
              </border>
            </x14:dxf>
          </x14:cfRule>
          <xm:sqref>R11</xm:sqref>
        </x14:conditionalFormatting>
        <x14:conditionalFormatting xmlns:xm="http://schemas.microsoft.com/office/excel/2006/main">
          <x14:cfRule type="expression" priority="1" id="{124FF43C-D819-4F3C-99E7-89DAB29F522E}">
            <xm:f>Security!$A$1="NO VBA"</xm:f>
            <x14:dxf>
              <font>
                <color theme="0"/>
              </font>
              <border>
                <vertical/>
                <horizontal/>
              </border>
            </x14:dxf>
          </x14:cfRule>
          <xm:sqref>V11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71351B2-004C-4306-ADA0-02C528AA95BA}">
          <x14:formula1>
            <xm:f>Sheet_ChiPhiKD!$I$14:$I$16</xm:f>
          </x14:formula1>
          <xm:sqref>B92:B93 B89:B90 B87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6"/>
  <sheetViews>
    <sheetView showGridLines="0" workbookViewId="0">
      <selection activeCell="F9" sqref="F9"/>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22" width="10.125" style="7" bestFit="1" customWidth="1"/>
    <col min="23" max="16384" width="9" style="7"/>
  </cols>
  <sheetData>
    <row r="1" spans="2:22" ht="18" customHeight="1" x14ac:dyDescent="0.3">
      <c r="B1" s="240"/>
      <c r="C1" s="7" t="s">
        <v>2</v>
      </c>
      <c r="D1" s="240">
        <v>1</v>
      </c>
      <c r="E1" s="240">
        <v>2</v>
      </c>
      <c r="F1" s="240">
        <v>3</v>
      </c>
      <c r="G1" s="240">
        <v>4</v>
      </c>
      <c r="H1" s="240">
        <v>5</v>
      </c>
      <c r="I1" s="240">
        <v>6</v>
      </c>
      <c r="J1" s="240">
        <v>7</v>
      </c>
      <c r="K1" s="240">
        <v>8</v>
      </c>
      <c r="L1" s="240">
        <v>9</v>
      </c>
      <c r="M1" s="240">
        <v>10</v>
      </c>
      <c r="N1" s="240">
        <v>11</v>
      </c>
      <c r="O1" s="240">
        <v>12</v>
      </c>
      <c r="P1" s="240">
        <v>13</v>
      </c>
      <c r="Q1" s="240"/>
      <c r="R1" s="240"/>
      <c r="S1" s="321"/>
      <c r="T1" s="240"/>
      <c r="U1" s="240"/>
      <c r="V1" s="554"/>
    </row>
    <row r="2" spans="2:22" ht="18" customHeight="1" x14ac:dyDescent="0.3">
      <c r="B2" s="240"/>
      <c r="C2" s="321"/>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0"/>
      <c r="R2" s="240"/>
    </row>
    <row r="3" spans="2:22" ht="18" customHeight="1" x14ac:dyDescent="0.3">
      <c r="B3" s="4" t="s">
        <v>874</v>
      </c>
      <c r="C3" s="4" t="s">
        <v>351</v>
      </c>
      <c r="D3" s="16" t="s">
        <v>268</v>
      </c>
      <c r="E3" s="16" t="s">
        <v>269</v>
      </c>
      <c r="F3" s="16" t="s">
        <v>270</v>
      </c>
      <c r="G3" s="16" t="s">
        <v>271</v>
      </c>
      <c r="H3" s="16" t="s">
        <v>272</v>
      </c>
      <c r="I3" s="16" t="s">
        <v>273</v>
      </c>
      <c r="J3" s="16" t="s">
        <v>274</v>
      </c>
      <c r="K3" s="16" t="s">
        <v>275</v>
      </c>
      <c r="L3" s="16" t="s">
        <v>276</v>
      </c>
      <c r="M3" s="16" t="s">
        <v>277</v>
      </c>
      <c r="N3" s="16" t="s">
        <v>278</v>
      </c>
      <c r="O3" s="16" t="s">
        <v>279</v>
      </c>
      <c r="P3" s="4" t="s">
        <v>280</v>
      </c>
      <c r="Q3" s="240"/>
      <c r="R3" s="4" t="s">
        <v>874</v>
      </c>
      <c r="S3" s="4" t="s">
        <v>873</v>
      </c>
      <c r="T3" s="240"/>
      <c r="U3" s="4" t="s">
        <v>874</v>
      </c>
      <c r="V3" s="4" t="s">
        <v>873</v>
      </c>
    </row>
    <row r="4" spans="2:22" ht="18" customHeight="1" x14ac:dyDescent="0.3">
      <c r="B4" s="74" t="s">
        <v>352</v>
      </c>
      <c r="C4" s="322"/>
      <c r="D4" s="323"/>
      <c r="E4" s="323"/>
      <c r="F4" s="323"/>
      <c r="G4" s="323"/>
      <c r="H4" s="323"/>
      <c r="I4" s="323"/>
      <c r="J4" s="323"/>
      <c r="K4" s="323"/>
      <c r="L4" s="323"/>
      <c r="M4" s="323"/>
      <c r="N4" s="323"/>
      <c r="O4" s="323"/>
      <c r="P4" s="324"/>
      <c r="Q4" s="240"/>
      <c r="R4" s="74" t="s">
        <v>352</v>
      </c>
      <c r="S4" s="323"/>
      <c r="T4" s="240"/>
      <c r="U4" s="74" t="s">
        <v>352</v>
      </c>
      <c r="V4" s="323"/>
    </row>
    <row r="5" spans="2:22" ht="18" customHeight="1" outlineLevel="1" x14ac:dyDescent="0.3">
      <c r="B5" s="74" t="s">
        <v>73</v>
      </c>
      <c r="C5" s="325"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5"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5"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5"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5"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5"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5"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5"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5"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5"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5"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5"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5"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3"/>
      <c r="Q5" s="240"/>
      <c r="R5" s="74" t="s">
        <v>73</v>
      </c>
      <c r="S5" s="325"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0"/>
      <c r="U5" s="74" t="s">
        <v>73</v>
      </c>
      <c r="V5" s="325"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281</v>
      </c>
      <c r="C6" s="104" t="e">
        <f>(-C20/(C18/C5))/12</f>
        <v>#DIV/0!</v>
      </c>
      <c r="D6" s="104" t="e">
        <f t="shared" ref="D6:O6" si="1">(-D20/(D18/D5))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6"/>
      <c r="Q6" s="240"/>
      <c r="R6" s="87" t="s">
        <v>281</v>
      </c>
      <c r="S6" s="104" t="e">
        <f>(-S20/(S18/S5))/12</f>
        <v>#DIV/0!</v>
      </c>
      <c r="T6" s="240"/>
      <c r="U6" s="87" t="s">
        <v>281</v>
      </c>
      <c r="V6" s="104" t="e">
        <f>(-V20/(V18/V5))</f>
        <v>#DIV/0!</v>
      </c>
    </row>
    <row r="7" spans="2:22" ht="18" customHeight="1" outlineLevel="1" x14ac:dyDescent="0.3">
      <c r="B7" s="87" t="s">
        <v>282</v>
      </c>
      <c r="C7" s="104" t="e">
        <f>(-C20/(C18/C5))/365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6"/>
      <c r="Q7" s="240"/>
      <c r="R7" s="87" t="s">
        <v>282</v>
      </c>
      <c r="S7" s="104" t="e">
        <f>S6/(365.25/12)</f>
        <v>#DIV/0!</v>
      </c>
      <c r="T7" s="240"/>
      <c r="U7" s="87" t="s">
        <v>282</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6"/>
      <c r="Q8" s="240"/>
      <c r="R8" s="54" t="s">
        <v>75</v>
      </c>
      <c r="S8" s="210" t="e">
        <f>(S5/_xlfn.DAYS(DATE(S1+1,1,1), DATE(S1,1,1)))/S7-1</f>
        <v>#DIV/0!</v>
      </c>
      <c r="T8" s="240"/>
      <c r="U8" s="54" t="s">
        <v>75</v>
      </c>
      <c r="V8" s="110" t="e">
        <f>(V5/_xlfn.DAYS(DATE(YEAR(V$1),MONTH(V$1)+1,1),V$1))/V7-1</f>
        <v>#DIV/0!</v>
      </c>
    </row>
    <row r="9" spans="2:22" ht="18" customHeight="1" outlineLevel="1" x14ac:dyDescent="0.3">
      <c r="B9" s="74" t="s">
        <v>363</v>
      </c>
      <c r="C9" s="327" cm="1">
        <f t="array" ref="C9" xml:space="preserve">
+IFERROR(SUM(
_xlfn._xlws.FILTER(Table_DonBan[Doanh thu ròng],
(ISBLANK(Table_DonBan[Phân bổ từ]))*
(ISBLANK(Table_DonBan[Phân bổ đến]))*
(Table_Main[Ngày lên đơn] &gt;= DATE(C$2, 1, 1))*
(Table_Main[Ngày lên đơn] &lt; DATE(C$2+1, 1, 1))
)),0)
+IFERROR(SUMPRODUCT(
_xlfn._xlws.FILTER(Table_DonBan[Doanh thu ròng],
(NOT(ISBLANK(Table_DonBan[Phân bổ từ])))*
(NOT(ISBLANK(Table_DonBan[Phân bổ đến])))*
(Table_DonBan[Phân bổ từ]&lt;DATE(C$2+1, 1, 1))*
(Table_DonBan[Phân bổ đến]&gt;DATE(C$2, 1, 1))
),
_xlfn._xlws.FILTER(
ROUND((DATE(C$2+1, 1, 1) - 1 - Table_DonBan[Phân bổ từ]) / (362.25 / 12 ), 0),
(NOT(ISBLANK(Table_DonBan[Phân bổ từ])))*
(NOT(ISBLANK(Table_DonBan[Phân bổ đến])))*
(Table_DonBan[Phân bổ từ]&lt;DATE(C$2+1, 1, 1))*
(Table_DonBan[Phân bổ đến]&gt;DATE(C$2, 1, 1))
),
_xlfn._xlws.FILTER(
1/ROUND((Table_DonBan[Phân bổ đến] - Table_DonBan[Phân bổ từ]) / (362.25 / 12 ),0),
(NOT(ISBLANK(Table_DonBan[Phân bổ từ])))*
(NOT(ISBLANK(Table_DonBan[Phân bổ đến])))*
(Table_DonBan[Phân bổ từ]&lt;DATE(C$2+1, 1, 1))*
(Table_DonBan[Phân bổ đến]&gt;DATE(C$2, 1, 1))
)),0)</f>
        <v>0</v>
      </c>
      <c r="D9" s="327" cm="1">
        <f t="array" ref="D9" xml:space="preserve">
+IFERROR(SUM(
_xlfn._xlws.FILTER(Table_DonBan[Doanh thu ròng],
(ISBLANK(Table_DonBan[Phân bổ từ]))*
(ISBLANK(Table_DonBan[Phân bổ đến]))*
(Table_Main[Ngày lên đơn] &gt;= D$2)*
(Table_Main[Ngày lên đơn] &lt; DATE(YEAR(D$2),MONTH(D$2)+1, 1))
)),0)
+IFERROR(SUMPRODUCT(
_xlfn._xlws.FILTER(Table_DonBan[Doanh thu ròng],
(NOT(ISBLANK(Table_DonBan[Phân bổ từ])))*
(NOT(ISBLANK(Table_DonBan[Phân bổ đến])))*
(Table_DonBan[Phân bổ từ]&lt;DATE(YEAR(D$2),MONTH(D$2)+1, 1))*
(Table_DonBan[Phân bổ đến]&gt;D$2)
),
_xlfn._xlws.FILTER(
ROUND((DATE(YEAR(D$2),MONTH(D$2)+1, 1) - 1 - Table_DonBan[Phân bổ từ]) / (362.25 / 12 ), 0),
(NOT(ISBLANK(Table_DonBan[Phân bổ từ])))*
(NOT(ISBLANK(Table_DonBan[Phân bổ đến])))*
(Table_DonBan[Phân bổ từ]&lt;DATE(YEAR(D$2),MONTH(D$2)+1, 1))*
(Table_DonBan[Phân bổ đến]&gt;D$2)
),
_xlfn._xlws.FILTER(
1/ROUND((Table_DonBan[Phân bổ đến] - Table_DonBan[Phân bổ từ]) / (362.25 / 12 ),0),
(NOT(ISBLANK(Table_DonBan[Phân bổ từ])))*
(NOT(ISBLANK(Table_DonBan[Phân bổ đến])))*
(Table_DonBan[Phân bổ từ]&lt;DATE(YEAR(D$2),MONTH(D$2)+1, 1))*
(Table_DonBan[Phân bổ đến]&gt;D$2)
)),0)</f>
        <v>0</v>
      </c>
      <c r="E9" s="327" cm="1">
        <f t="array" ref="E9" xml:space="preserve">
+IFERROR(SUM(
_xlfn._xlws.FILTER(Table_DonBan[Doanh thu ròng],
(ISBLANK(Table_DonBan[Phân bổ từ]))*
(ISBLANK(Table_DonBan[Phân bổ đến]))*
(Table_Main[Ngày lên đơn] &gt;= E$2)*
(Table_Main[Ngày lên đơn] &lt; DATE(YEAR(E$2),MONTH(E$2)+1, 1))
)),0)
+IFERROR(SUMPRODUCT(
_xlfn._xlws.FILTER(Table_DonBan[Doanh thu ròng],
(NOT(ISBLANK(Table_DonBan[Phân bổ từ])))*
(NOT(ISBLANK(Table_DonBan[Phân bổ đến])))*
(Table_DonBan[Phân bổ từ]&lt;DATE(YEAR(E$2),MONTH(E$2)+1, 1))*
(Table_DonBan[Phân bổ đến]&gt;E$2)
),
_xlfn._xlws.FILTER(
ROUND((DATE(YEAR(E$2),MONTH(E$2)+1, 1) - 1 - Table_DonBan[Phân bổ từ]) / (362.25 / 12 ), 0),
(NOT(ISBLANK(Table_DonBan[Phân bổ từ])))*
(NOT(ISBLANK(Table_DonBan[Phân bổ đến])))*
(Table_DonBan[Phân bổ từ]&lt;DATE(YEAR(E$2),MONTH(E$2)+1, 1))*
(Table_DonBan[Phân bổ đến]&gt;E$2)
),
_xlfn._xlws.FILTER(
1/ROUND((Table_DonBan[Phân bổ đến] - Table_DonBan[Phân bổ từ]) / (362.25 / 12 ),0),
(NOT(ISBLANK(Table_DonBan[Phân bổ từ])))*
(NOT(ISBLANK(Table_DonBan[Phân bổ đến])))*
(Table_DonBan[Phân bổ từ]&lt;DATE(YEAR(E$2),MONTH(E$2)+1, 1))*
(Table_DonBan[Phân bổ đến]&gt;E$2)
)),0)</f>
        <v>0</v>
      </c>
      <c r="F9" s="327" cm="1">
        <f t="array" ref="F9" xml:space="preserve">
+IFERROR(SUM(
_xlfn._xlws.FILTER(Table_DonBan[Doanh thu ròng],
(ISBLANK(Table_DonBan[Phân bổ từ]))*
(ISBLANK(Table_DonBan[Phân bổ đến]))*
(Table_Main[Ngày lên đơn] &gt;= F$2)*
(Table_Main[Ngày lên đơn] &lt; DATE(YEAR(F$2),MONTH(F$2)+1, 1))
)),0)
+IFERROR(SUMPRODUCT(
_xlfn._xlws.FILTER(Table_DonBan[Doanh thu ròng],
(NOT(ISBLANK(Table_DonBan[Phân bổ từ])))*
(NOT(ISBLANK(Table_DonBan[Phân bổ đến])))*
(Table_DonBan[Phân bổ từ]&lt;DATE(YEAR(F$2),MONTH(F$2)+1, 1))*
(Table_DonBan[Phân bổ đến]&gt;F$2)
),
_xlfn._xlws.FILTER(
ROUND((DATE(YEAR(F$2),MONTH(F$2)+1, 1) - 1 - Table_DonBan[Phân bổ từ]) / (362.25 / 12 ), 0),
(NOT(ISBLANK(Table_DonBan[Phân bổ từ])))*
(NOT(ISBLANK(Table_DonBan[Phân bổ đến])))*
(Table_DonBan[Phân bổ từ]&lt;DATE(YEAR(F$2),MONTH(F$2)+1, 1))*
(Table_DonBan[Phân bổ đến]&gt;F$2)
),
_xlfn._xlws.FILTER(
1/ROUND((Table_DonBan[Phân bổ đến] - Table_DonBan[Phân bổ từ]) / (362.25 / 12 ),0),
(NOT(ISBLANK(Table_DonBan[Phân bổ từ])))*
(NOT(ISBLANK(Table_DonBan[Phân bổ đến])))*
(Table_DonBan[Phân bổ từ]&lt;DATE(YEAR(F$2),MONTH(F$2)+1, 1))*
(Table_DonBan[Phân bổ đến]&gt;F$2)
)),0)</f>
        <v>0</v>
      </c>
      <c r="G9" s="327" cm="1">
        <f t="array" ref="G9" xml:space="preserve">
+IFERROR(SUM(
_xlfn._xlws.FILTER(Table_DonBan[Doanh thu ròng],
(ISBLANK(Table_DonBan[Phân bổ từ]))*
(ISBLANK(Table_DonBan[Phân bổ đến]))*
(Table_Main[Ngày lên đơn] &gt;= G$2)*
(Table_Main[Ngày lên đơn] &lt; DATE(YEAR(G$2),MONTH(G$2)+1, 1))
)),0)
+IFERROR(SUMPRODUCT(
_xlfn._xlws.FILTER(Table_DonBan[Doanh thu ròng],
(NOT(ISBLANK(Table_DonBan[Phân bổ từ])))*
(NOT(ISBLANK(Table_DonBan[Phân bổ đến])))*
(Table_DonBan[Phân bổ từ]&lt;DATE(YEAR(G$2),MONTH(G$2)+1, 1))*
(Table_DonBan[Phân bổ đến]&gt;G$2)
),
_xlfn._xlws.FILTER(
ROUND((DATE(YEAR(G$2),MONTH(G$2)+1, 1) - 1 - Table_DonBan[Phân bổ từ]) / (362.25 / 12 ), 0),
(NOT(ISBLANK(Table_DonBan[Phân bổ từ])))*
(NOT(ISBLANK(Table_DonBan[Phân bổ đến])))*
(Table_DonBan[Phân bổ từ]&lt;DATE(YEAR(G$2),MONTH(G$2)+1, 1))*
(Table_DonBan[Phân bổ đến]&gt;G$2)
),
_xlfn._xlws.FILTER(
1/ROUND((Table_DonBan[Phân bổ đến] - Table_DonBan[Phân bổ từ]) / (362.25 / 12 ),0),
(NOT(ISBLANK(Table_DonBan[Phân bổ từ])))*
(NOT(ISBLANK(Table_DonBan[Phân bổ đến])))*
(Table_DonBan[Phân bổ từ]&lt;DATE(YEAR(G$2),MONTH(G$2)+1, 1))*
(Table_DonBan[Phân bổ đến]&gt;G$2)
)),0)</f>
        <v>0</v>
      </c>
      <c r="H9" s="327" cm="1">
        <f t="array" ref="H9" xml:space="preserve">
+IFERROR(SUM(
_xlfn._xlws.FILTER(Table_DonBan[Doanh thu ròng],
(ISBLANK(Table_DonBan[Phân bổ từ]))*
(ISBLANK(Table_DonBan[Phân bổ đến]))*
(Table_Main[Ngày lên đơn] &gt;= H$2)*
(Table_Main[Ngày lên đơn] &lt; DATE(YEAR(H$2),MONTH(H$2)+1, 1))
)),0)
+IFERROR(SUMPRODUCT(
_xlfn._xlws.FILTER(Table_DonBan[Doanh thu ròng],
(NOT(ISBLANK(Table_DonBan[Phân bổ từ])))*
(NOT(ISBLANK(Table_DonBan[Phân bổ đến])))*
(Table_DonBan[Phân bổ từ]&lt;DATE(YEAR(H$2),MONTH(H$2)+1, 1))*
(Table_DonBan[Phân bổ đến]&gt;H$2)
),
_xlfn._xlws.FILTER(
ROUND((DATE(YEAR(H$2),MONTH(H$2)+1, 1) - 1 - Table_DonBan[Phân bổ từ]) / (362.25 / 12 ), 0),
(NOT(ISBLANK(Table_DonBan[Phân bổ từ])))*
(NOT(ISBLANK(Table_DonBan[Phân bổ đến])))*
(Table_DonBan[Phân bổ từ]&lt;DATE(YEAR(H$2),MONTH(H$2)+1, 1))*
(Table_DonBan[Phân bổ đến]&gt;H$2)
),
_xlfn._xlws.FILTER(
1/ROUND((Table_DonBan[Phân bổ đến] - Table_DonBan[Phân bổ từ]) / (362.25 / 12 ),0),
(NOT(ISBLANK(Table_DonBan[Phân bổ từ])))*
(NOT(ISBLANK(Table_DonBan[Phân bổ đến])))*
(Table_DonBan[Phân bổ từ]&lt;DATE(YEAR(H$2),MONTH(H$2)+1, 1))*
(Table_DonBan[Phân bổ đến]&gt;H$2)
)),0)</f>
        <v>0</v>
      </c>
      <c r="I9" s="327" cm="1">
        <f t="array" ref="I9" xml:space="preserve">
+IFERROR(SUM(
_xlfn._xlws.FILTER(Table_DonBan[Doanh thu ròng],
(ISBLANK(Table_DonBan[Phân bổ từ]))*
(ISBLANK(Table_DonBan[Phân bổ đến]))*
(Table_Main[Ngày lên đơn] &gt;= I$2)*
(Table_Main[Ngày lên đơn] &lt; DATE(YEAR(I$2),MONTH(I$2)+1, 1))
)),0)
+IFERROR(SUMPRODUCT(
_xlfn._xlws.FILTER(Table_DonBan[Doanh thu ròng],
(NOT(ISBLANK(Table_DonBan[Phân bổ từ])))*
(NOT(ISBLANK(Table_DonBan[Phân bổ đến])))*
(Table_DonBan[Phân bổ từ]&lt;DATE(YEAR(I$2),MONTH(I$2)+1, 1))*
(Table_DonBan[Phân bổ đến]&gt;I$2)
),
_xlfn._xlws.FILTER(
ROUND((DATE(YEAR(I$2),MONTH(I$2)+1, 1) - 1 - Table_DonBan[Phân bổ từ]) / (362.25 / 12 ), 0),
(NOT(ISBLANK(Table_DonBan[Phân bổ từ])))*
(NOT(ISBLANK(Table_DonBan[Phân bổ đến])))*
(Table_DonBan[Phân bổ từ]&lt;DATE(YEAR(I$2),MONTH(I$2)+1, 1))*
(Table_DonBan[Phân bổ đến]&gt;I$2)
),
_xlfn._xlws.FILTER(
1/ROUND((Table_DonBan[Phân bổ đến] - Table_DonBan[Phân bổ từ]) / (362.25 / 12 ),0),
(NOT(ISBLANK(Table_DonBan[Phân bổ từ])))*
(NOT(ISBLANK(Table_DonBan[Phân bổ đến])))*
(Table_DonBan[Phân bổ từ]&lt;DATE(YEAR(I$2),MONTH(I$2)+1, 1))*
(Table_DonBan[Phân bổ đến]&gt;I$2)
)),0)</f>
        <v>0</v>
      </c>
      <c r="J9" s="327" cm="1">
        <f t="array" ref="J9" xml:space="preserve">
+IFERROR(SUM(
_xlfn._xlws.FILTER(Table_DonBan[Doanh thu ròng],
(ISBLANK(Table_DonBan[Phân bổ từ]))*
(ISBLANK(Table_DonBan[Phân bổ đến]))*
(Table_Main[Ngày lên đơn] &gt;= J$2)*
(Table_Main[Ngày lên đơn] &lt; DATE(YEAR(J$2),MONTH(J$2)+1, 1))
)),0)
+IFERROR(SUMPRODUCT(
_xlfn._xlws.FILTER(Table_DonBan[Doanh thu ròng],
(NOT(ISBLANK(Table_DonBan[Phân bổ từ])))*
(NOT(ISBLANK(Table_DonBan[Phân bổ đến])))*
(Table_DonBan[Phân bổ từ]&lt;DATE(YEAR(J$2),MONTH(J$2)+1, 1))*
(Table_DonBan[Phân bổ đến]&gt;J$2)
),
_xlfn._xlws.FILTER(
ROUND((DATE(YEAR(J$2),MONTH(J$2)+1, 1) - 1 - Table_DonBan[Phân bổ từ]) / (362.25 / 12 ), 0),
(NOT(ISBLANK(Table_DonBan[Phân bổ từ])))*
(NOT(ISBLANK(Table_DonBan[Phân bổ đến])))*
(Table_DonBan[Phân bổ từ]&lt;DATE(YEAR(J$2),MONTH(J$2)+1, 1))*
(Table_DonBan[Phân bổ đến]&gt;J$2)
),
_xlfn._xlws.FILTER(
1/ROUND((Table_DonBan[Phân bổ đến] - Table_DonBan[Phân bổ từ]) / (362.25 / 12 ),0),
(NOT(ISBLANK(Table_DonBan[Phân bổ từ])))*
(NOT(ISBLANK(Table_DonBan[Phân bổ đến])))*
(Table_DonBan[Phân bổ từ]&lt;DATE(YEAR(J$2),MONTH(J$2)+1, 1))*
(Table_DonBan[Phân bổ đến]&gt;J$2)
)),0)</f>
        <v>0</v>
      </c>
      <c r="K9" s="327" cm="1">
        <f t="array" ref="K9" xml:space="preserve">
+IFERROR(SUM(
_xlfn._xlws.FILTER(Table_DonBan[Doanh thu ròng],
(ISBLANK(Table_DonBan[Phân bổ từ]))*
(ISBLANK(Table_DonBan[Phân bổ đến]))*
(Table_Main[Ngày lên đơn] &gt;= K$2)*
(Table_Main[Ngày lên đơn] &lt; DATE(YEAR(K$2),MONTH(K$2)+1, 1))
)),0)
+IFERROR(SUMPRODUCT(
_xlfn._xlws.FILTER(Table_DonBan[Doanh thu ròng],
(NOT(ISBLANK(Table_DonBan[Phân bổ từ])))*
(NOT(ISBLANK(Table_DonBan[Phân bổ đến])))*
(Table_DonBan[Phân bổ từ]&lt;DATE(YEAR(K$2),MONTH(K$2)+1, 1))*
(Table_DonBan[Phân bổ đến]&gt;K$2)
),
_xlfn._xlws.FILTER(
ROUND((DATE(YEAR(K$2),MONTH(K$2)+1, 1) - 1 - Table_DonBan[Phân bổ từ]) / (362.25 / 12 ), 0),
(NOT(ISBLANK(Table_DonBan[Phân bổ từ])))*
(NOT(ISBLANK(Table_DonBan[Phân bổ đến])))*
(Table_DonBan[Phân bổ từ]&lt;DATE(YEAR(K$2),MONTH(K$2)+1, 1))*
(Table_DonBan[Phân bổ đến]&gt;K$2)
),
_xlfn._xlws.FILTER(
1/ROUND((Table_DonBan[Phân bổ đến] - Table_DonBan[Phân bổ từ]) / (362.25 / 12 ),0),
(NOT(ISBLANK(Table_DonBan[Phân bổ từ])))*
(NOT(ISBLANK(Table_DonBan[Phân bổ đến])))*
(Table_DonBan[Phân bổ từ]&lt;DATE(YEAR(K$2),MONTH(K$2)+1, 1))*
(Table_DonBan[Phân bổ đến]&gt;K$2)
)),0)</f>
        <v>0</v>
      </c>
      <c r="L9" s="327" cm="1">
        <f t="array" ref="L9" xml:space="preserve">
+IFERROR(SUM(
_xlfn._xlws.FILTER(Table_DonBan[Doanh thu ròng],
(ISBLANK(Table_DonBan[Phân bổ từ]))*
(ISBLANK(Table_DonBan[Phân bổ đến]))*
(Table_Main[Ngày lên đơn] &gt;= L$2)*
(Table_Main[Ngày lên đơn] &lt; DATE(YEAR(L$2),MONTH(L$2)+1, 1))
)),0)
+IFERROR(SUMPRODUCT(
_xlfn._xlws.FILTER(Table_DonBan[Doanh thu ròng],
(NOT(ISBLANK(Table_DonBan[Phân bổ từ])))*
(NOT(ISBLANK(Table_DonBan[Phân bổ đến])))*
(Table_DonBan[Phân bổ từ]&lt;DATE(YEAR(L$2),MONTH(L$2)+1, 1))*
(Table_DonBan[Phân bổ đến]&gt;L$2)
),
_xlfn._xlws.FILTER(
ROUND((DATE(YEAR(L$2),MONTH(L$2)+1, 1) - 1 - Table_DonBan[Phân bổ từ]) / (362.25 / 12 ), 0),
(NOT(ISBLANK(Table_DonBan[Phân bổ từ])))*
(NOT(ISBLANK(Table_DonBan[Phân bổ đến])))*
(Table_DonBan[Phân bổ từ]&lt;DATE(YEAR(L$2),MONTH(L$2)+1, 1))*
(Table_DonBan[Phân bổ đến]&gt;L$2)
),
_xlfn._xlws.FILTER(
1/ROUND((Table_DonBan[Phân bổ đến] - Table_DonBan[Phân bổ từ]) / (362.25 / 12 ),0),
(NOT(ISBLANK(Table_DonBan[Phân bổ từ])))*
(NOT(ISBLANK(Table_DonBan[Phân bổ đến])))*
(Table_DonBan[Phân bổ từ]&lt;DATE(YEAR(L$2),MONTH(L$2)+1, 1))*
(Table_DonBan[Phân bổ đến]&gt;L$2)
)),0)</f>
        <v>0</v>
      </c>
      <c r="M9" s="327" cm="1">
        <f t="array" ref="M9" xml:space="preserve">
+IFERROR(SUM(
_xlfn._xlws.FILTER(Table_DonBan[Doanh thu ròng],
(ISBLANK(Table_DonBan[Phân bổ từ]))*
(ISBLANK(Table_DonBan[Phân bổ đến]))*
(Table_Main[Ngày lên đơn] &gt;= M$2)*
(Table_Main[Ngày lên đơn] &lt; DATE(YEAR(M$2),MONTH(M$2)+1, 1))
)),0)
+IFERROR(SUMPRODUCT(
_xlfn._xlws.FILTER(Table_DonBan[Doanh thu ròng],
(NOT(ISBLANK(Table_DonBan[Phân bổ từ])))*
(NOT(ISBLANK(Table_DonBan[Phân bổ đến])))*
(Table_DonBan[Phân bổ từ]&lt;DATE(YEAR(M$2),MONTH(M$2)+1, 1))*
(Table_DonBan[Phân bổ đến]&gt;M$2)
),
_xlfn._xlws.FILTER(
ROUND((DATE(YEAR(M$2),MONTH(M$2)+1, 1) - 1 - Table_DonBan[Phân bổ từ]) / (362.25 / 12 ), 0),
(NOT(ISBLANK(Table_DonBan[Phân bổ từ])))*
(NOT(ISBLANK(Table_DonBan[Phân bổ đến])))*
(Table_DonBan[Phân bổ từ]&lt;DATE(YEAR(M$2),MONTH(M$2)+1, 1))*
(Table_DonBan[Phân bổ đến]&gt;M$2)
),
_xlfn._xlws.FILTER(
1/ROUND((Table_DonBan[Phân bổ đến] - Table_DonBan[Phân bổ từ]) / (362.25 / 12 ),0),
(NOT(ISBLANK(Table_DonBan[Phân bổ từ])))*
(NOT(ISBLANK(Table_DonBan[Phân bổ đến])))*
(Table_DonBan[Phân bổ từ]&lt;DATE(YEAR(M$2),MONTH(M$2)+1, 1))*
(Table_DonBan[Phân bổ đến]&gt;M$2)
)),0)</f>
        <v>0</v>
      </c>
      <c r="N9" s="327" cm="1">
        <f t="array" ref="N9" xml:space="preserve">
+IFERROR(SUM(
_xlfn._xlws.FILTER(Table_DonBan[Doanh thu ròng],
(ISBLANK(Table_DonBan[Phân bổ từ]))*
(ISBLANK(Table_DonBan[Phân bổ đến]))*
(Table_Main[Ngày lên đơn] &gt;= N$2)*
(Table_Main[Ngày lên đơn] &lt; DATE(YEAR(N$2),MONTH(N$2)+1, 1))
)),0)
+IFERROR(SUMPRODUCT(
_xlfn._xlws.FILTER(Table_DonBan[Doanh thu ròng],
(NOT(ISBLANK(Table_DonBan[Phân bổ từ])))*
(NOT(ISBLANK(Table_DonBan[Phân bổ đến])))*
(Table_DonBan[Phân bổ từ]&lt;DATE(YEAR(N$2),MONTH(N$2)+1, 1))*
(Table_DonBan[Phân bổ đến]&gt;N$2)
),
_xlfn._xlws.FILTER(
ROUND((DATE(YEAR(N$2),MONTH(N$2)+1, 1) - 1 - Table_DonBan[Phân bổ từ]) / (362.25 / 12 ), 0),
(NOT(ISBLANK(Table_DonBan[Phân bổ từ])))*
(NOT(ISBLANK(Table_DonBan[Phân bổ đến])))*
(Table_DonBan[Phân bổ từ]&lt;DATE(YEAR(N$2),MONTH(N$2)+1, 1))*
(Table_DonBan[Phân bổ đến]&gt;N$2)
),
_xlfn._xlws.FILTER(
1/ROUND((Table_DonBan[Phân bổ đến] - Table_DonBan[Phân bổ từ]) / (362.25 / 12 ),0),
(NOT(ISBLANK(Table_DonBan[Phân bổ từ])))*
(NOT(ISBLANK(Table_DonBan[Phân bổ đến])))*
(Table_DonBan[Phân bổ từ]&lt;DATE(YEAR(N$2),MONTH(N$2)+1, 1))*
(Table_DonBan[Phân bổ đến]&gt;N$2)
)),0)</f>
        <v>0</v>
      </c>
      <c r="O9" s="327" cm="1">
        <f t="array" ref="O9" xml:space="preserve">
+IFERROR(SUM(
_xlfn._xlws.FILTER(Table_DonBan[Doanh thu ròng],
(ISBLANK(Table_DonBan[Phân bổ từ]))*
(ISBLANK(Table_DonBan[Phân bổ đến]))*
(Table_Main[Ngày lên đơn] &gt;= O$2)*
(Table_Main[Ngày lên đơn] &lt; DATE(YEAR(O$2),MONTH(O$2)+1, 1))
)),0)
+IFERROR(SUMPRODUCT(
_xlfn._xlws.FILTER(Table_DonBan[Doanh thu ròng],
(NOT(ISBLANK(Table_DonBan[Phân bổ từ])))*
(NOT(ISBLANK(Table_DonBan[Phân bổ đến])))*
(Table_DonBan[Phân bổ từ]&lt;DATE(YEAR(O$2),MONTH(O$2)+1, 1))*
(Table_DonBan[Phân bổ đến]&gt;O$2)
),
_xlfn._xlws.FILTER(
ROUND((DATE(YEAR(O$2),MONTH(O$2)+1, 1) - 1 - Table_DonBan[Phân bổ từ]) / (362.25 / 12 ), 0),
(NOT(ISBLANK(Table_DonBan[Phân bổ từ])))*
(NOT(ISBLANK(Table_DonBan[Phân bổ đến])))*
(Table_DonBan[Phân bổ từ]&lt;DATE(YEAR(O$2),MONTH(O$2)+1, 1))*
(Table_DonBan[Phân bổ đến]&gt;O$2)
),
_xlfn._xlws.FILTER(
1/ROUND((Table_DonBan[Phân bổ đến] - Table_DonBan[Phân bổ từ]) / (362.25 / 12 ),0),
(NOT(ISBLANK(Table_DonBan[Phân bổ từ])))*
(NOT(ISBLANK(Table_DonBan[Phân bổ đến])))*
(Table_DonBan[Phân bổ từ]&lt;DATE(YEAR(O$2),MONTH(O$2)+1, 1))*
(Table_DonBan[Phân bổ đến]&gt;O$2)
)),0)</f>
        <v>0</v>
      </c>
      <c r="P9" s="323"/>
      <c r="Q9" s="240"/>
      <c r="R9" s="74" t="s">
        <v>363</v>
      </c>
      <c r="S9" s="327" cm="1">
        <f t="array" ref="S9" xml:space="preserve">
+IFERROR(SUM(
_xlfn._xlws.FILTER(Table_DonBan[Doanh thu ròng],
(ISBLANK(Table_DonBan[Phân bổ từ]))*
(ISBLANK(Table_DonBan[Phân bổ đến]))*
(Table_Main[Ngày lên đơn] &gt;= DATE(S$1, 1, 1))*
(Table_Main[Ngày lên đơn] &lt; DATE(S$1+1, 1, 1))
)),0)
+IFERROR(SUMPRODUCT(
_xlfn._xlws.FILTER(Table_DonBan[Doanh thu ròng],
(NOT(ISBLANK(Table_DonBan[Phân bổ từ])))*
(NOT(ISBLANK(Table_DonBan[Phân bổ đến])))*
(Table_DonBan[Phân bổ từ]&lt;DATE(S$1+1, 1, 1))*
(Table_DonBan[Phân bổ đến]&gt;DATE(S$1, 1, 1))
),
_xlfn._xlws.FILTER(
ROUND((DATE(S$1+1, 1, 1) - 1 - Table_DonBan[Phân bổ từ]) / (362.25 / 12 ), 0),
(NOT(ISBLANK(Table_DonBan[Phân bổ từ])))*
(NOT(ISBLANK(Table_DonBan[Phân bổ đến])))*
(Table_DonBan[Phân bổ từ]&lt;DATE(S$1+1, 1, 1))*
(Table_DonBan[Phân bổ đến]&gt;DATE(S$1, 1, 1))
),
_xlfn._xlws.FILTER(
1/ROUND((Table_DonBan[Phân bổ đến] - Table_DonBan[Phân bổ từ]) / (362.25 / 12 ),0),
(NOT(ISBLANK(Table_DonBan[Phân bổ từ])))*
(NOT(ISBLANK(Table_DonBan[Phân bổ đến])))*
(Table_DonBan[Phân bổ từ]&lt;DATE(S$1+1, 1, 1))*
(Table_DonBan[Phân bổ đến]&gt;DATE(S$1, 1, 1))
)),0)</f>
        <v>0</v>
      </c>
      <c r="T9" s="240"/>
      <c r="U9" s="74" t="s">
        <v>363</v>
      </c>
      <c r="V9" s="103" cm="1">
        <f t="array" ref="V9" xml:space="preserve">
+IFERROR(SUM(
_xlfn._xlws.FILTER(Table_DonBan[Doanh thu ròng],
(ISBLANK(Table_DonBan[Phân bổ từ]))*
(ISBLANK(Table_DonBan[Phân bổ đến]))*
(Table_Main[Ngày lên đơn] &gt;= V$1)*
(Table_Main[Ngày lên đơn] &lt; DATE(YEAR(V$1),MONTH(V$1)+1, 1))
)),0)
+IFERROR(SUMPRODUCT(
_xlfn._xlws.FILTER(Table_DonBan[Doanh thu ròng],
(NOT(ISBLANK(Table_DonBan[Phân bổ từ])))*
(NOT(ISBLANK(Table_DonBan[Phân bổ đến])))*
(Table_DonBan[Phân bổ từ]&lt;DATE(YEAR(V$1),MONTH(V$1)+1, 1))*
(Table_DonBan[Phân bổ đến]&gt;V$1)
),
_xlfn._xlws.FILTER(
ROUND((DATE(YEAR(V$1),MONTH(V$1)+1, 1) - 1 - Table_DonBan[Phân bổ từ]) / (362.25 / 12 ), 0),
(NOT(ISBLANK(Table_DonBan[Phân bổ từ])))*
(NOT(ISBLANK(Table_DonBan[Phân bổ đến])))*
(Table_DonBan[Phân bổ từ]&lt;DATE(YEAR(V$1),MONTH(V$1)+1, 1))*
(Table_DonBan[Phân bổ đến]&gt;V$1)
),
_xlfn._xlws.FILTER(
1/ROUND((Table_DonBan[Phân bổ đến] - Table_DonBan[Phân bổ từ]) / (362.25 / 12 ),0),
(NOT(ISBLANK(Table_DonBan[Phân bổ từ])))*
(NOT(ISBLANK(Table_DonBan[Phân bổ đến])))*
(Table_DonBan[Phân bổ từ]&lt;DATE(YEAR(V$1),MONTH(V$1)+1, 1))*
(Table_DonBan[Phân bổ đến]&gt;V$1)
)),0)</f>
        <v>0</v>
      </c>
    </row>
    <row r="10" spans="2:22" ht="18" customHeight="1" outlineLevel="1" x14ac:dyDescent="0.3">
      <c r="B10" s="99" t="s">
        <v>283</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3"/>
      <c r="Q10" s="240"/>
      <c r="R10" s="99" t="s">
        <v>283</v>
      </c>
      <c r="S10" s="109">
        <f>IFERROR((S9+S11)/S9,0)</f>
        <v>0</v>
      </c>
      <c r="T10" s="240"/>
      <c r="U10" s="99" t="s">
        <v>283</v>
      </c>
      <c r="V10" s="109">
        <f>IFERROR((V9+V11)/V9,0)</f>
        <v>0</v>
      </c>
    </row>
    <row r="11" spans="2:22" ht="18" customHeight="1" outlineLevel="1" x14ac:dyDescent="0.3">
      <c r="B11" s="54" t="s">
        <v>77</v>
      </c>
      <c r="C11" s="322">
        <f t="shared" ref="C11:O11" si="5">SUM(C12:C17)</f>
        <v>0</v>
      </c>
      <c r="D11" s="322">
        <f t="shared" si="5"/>
        <v>0</v>
      </c>
      <c r="E11" s="322">
        <f t="shared" si="5"/>
        <v>0</v>
      </c>
      <c r="F11" s="322">
        <f t="shared" si="5"/>
        <v>0</v>
      </c>
      <c r="G11" s="322">
        <f t="shared" si="5"/>
        <v>0</v>
      </c>
      <c r="H11" s="322">
        <f t="shared" si="5"/>
        <v>0</v>
      </c>
      <c r="I11" s="322">
        <f t="shared" si="5"/>
        <v>0</v>
      </c>
      <c r="J11" s="322">
        <f t="shared" si="5"/>
        <v>0</v>
      </c>
      <c r="K11" s="322">
        <f t="shared" si="5"/>
        <v>0</v>
      </c>
      <c r="L11" s="322">
        <f t="shared" si="5"/>
        <v>0</v>
      </c>
      <c r="M11" s="322">
        <f t="shared" si="5"/>
        <v>0</v>
      </c>
      <c r="N11" s="322">
        <f t="shared" si="5"/>
        <v>0</v>
      </c>
      <c r="O11" s="322">
        <f t="shared" si="5"/>
        <v>0</v>
      </c>
      <c r="P11" s="323"/>
      <c r="Q11" s="240"/>
      <c r="R11" s="54" t="s">
        <v>77</v>
      </c>
      <c r="S11" s="322">
        <f>SUM(S12:S17)</f>
        <v>0</v>
      </c>
      <c r="T11" s="240"/>
      <c r="U11" s="54" t="s">
        <v>77</v>
      </c>
      <c r="V11" s="322">
        <f>SUM(V12:V17)</f>
        <v>0</v>
      </c>
    </row>
    <row r="12" spans="2:22" ht="18" customHeight="1" outlineLevel="2" x14ac:dyDescent="0.3">
      <c r="B12" s="73" t="s">
        <v>285</v>
      </c>
      <c r="C12" s="328" cm="1">
        <f t="array" ref="C12">-IFERROR(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2" s="328" cm="1">
        <f t="array" ref="D12">-IFERROR(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2" s="328" cm="1">
        <f t="array" ref="E12">-IFERROR(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2" s="328" cm="1">
        <f t="array" ref="F12">-IFERROR(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2" s="328" cm="1">
        <f t="array" ref="G12">-IFERROR(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2" s="328" cm="1">
        <f t="array" ref="H12">-IFERROR(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2" s="328" cm="1">
        <f t="array" ref="I12">-IFERROR(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2" s="328" cm="1">
        <f t="array" ref="J12">-IFERROR(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2" s="328" cm="1">
        <f t="array" ref="K12">-IFERROR(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2" s="328" cm="1">
        <f t="array" ref="L12">-IFERROR(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2" s="328" cm="1">
        <f t="array" ref="M12">-IFERROR(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2" s="328" cm="1">
        <f t="array" ref="N12">-IFERROR(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2" s="328" cm="1">
        <f t="array" ref="O12">-IFERROR(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2" s="323"/>
      <c r="Q12" s="240"/>
      <c r="R12" s="73" t="s">
        <v>285</v>
      </c>
      <c r="S12" s="328" cm="1">
        <f t="array" ref="S12">-IFERROR(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2" s="240"/>
      <c r="U12" s="73" t="s">
        <v>285</v>
      </c>
      <c r="V12" s="328" cm="1">
        <f t="array" ref="V12">-IFERROR(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3" spans="2:22" ht="18" customHeight="1" outlineLevel="2" x14ac:dyDescent="0.3">
      <c r="B13" s="73" t="s">
        <v>286</v>
      </c>
      <c r="C13" s="328" cm="1">
        <f t="array" ref="C13" xml:space="preserve">
-IFERROR(
SUM(
_xlfn._xlws.FILTER(Table_ChiPhiKD[Phân bổ sản xuất],
(Table_ChiPhiKD[Năm] = C$2)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3" s="329" cm="1">
        <f t="array" ref="D13">-
IFERROR(
SUM(
_xlfn._xlws.FILTER(Table_ChiPhiKD[Phân bổ sản xuất],
(Table_ChiPhiKD[Kỳ] = D$2) *
(NOT(ISBLANK(Table_ChiPhiKD[Tháng])))*
(VLOOKUP(Table_ChiPhiKD[Nhóm chi phí],Table_ChiPhiKD_PhanNhom[],Sheet_ChiPhiKD!$J$2,0) = "Chưa phân bổ" )
)),0)
- IFERROR(SUMPRODUCT(
_xlfn._xlws.FILTER(Table_ChiPhiKD[Phân bổ sản xuất],
(ISBLANK(Table_ChiPhiKD[Tháng])) *
(Table_ChiPhiKD[Phân bổ từ] &lt; E$2)*
(Table_ChiPhiKD[Phân bổ đến] &gt; D$2)*
(VLOOKUP(Table_ChiPhiKD[Nhóm chi phí],Table_ChiPhiKD_PhanNhom[],Sheet_ChiPhiKD!$J$2,0) = "Chưa phân bổ" )),
1/_xlfn._xlws.FILTER(ROUND((Table_ChiPhiKD[Phân bổ đến]-Table_ChiPhiKD[Phân bổ từ])/(365.25/12),0),
(ISBLANK(Table_ChiPhiKD[Tháng])) *
(Table_ChiPhiKD[Phân bổ từ] &lt; E$2)*
(Table_ChiPhiKD[Phân bổ đến] &gt; D$2)*
(VLOOKUP(Table_ChiPhiKD[Nhóm chi phí],Table_ChiPhiKD_PhanNhom[],Sheet_ChiPhiKD!$J$2,0) = "Chưa phân bổ" ))
), 0)</f>
        <v>0</v>
      </c>
      <c r="E13" s="329" cm="1">
        <f t="array" ref="E13">-
IFERROR(
SUM(
_xlfn._xlws.FILTER(Table_ChiPhiKD[Phân bổ sản xuất],
(Table_ChiPhiKD[Kỳ] = E$2) *
(NOT(ISBLANK(Table_ChiPhiKD[Tháng])))*
(VLOOKUP(Table_ChiPhiKD[Nhóm chi phí],Table_ChiPhiKD_PhanNhom[],Sheet_ChiPhiKD!$J$2,0) = "Chưa phân bổ" )
)),0)
- IFERROR(SUMPRODUCT(
_xlfn._xlws.FILTER(Table_ChiPhiKD[Phân bổ sản xuất],
(ISBLANK(Table_ChiPhiKD[Tháng])) *
(Table_ChiPhiKD[Phân bổ từ] &lt; F$2)*
(Table_ChiPhiKD[Phân bổ đến] &gt; E$2)*
(VLOOKUP(Table_ChiPhiKD[Nhóm chi phí],Table_ChiPhiKD_PhanNhom[],Sheet_ChiPhiKD!$J$2,0) = "Chưa phân bổ" )),
1/_xlfn._xlws.FILTER(ROUND((Table_ChiPhiKD[Phân bổ đến]-Table_ChiPhiKD[Phân bổ từ])/(365.25/12),0),
(ISBLANK(Table_ChiPhiKD[Tháng])) *
(Table_ChiPhiKD[Phân bổ từ] &lt; F$2)*
(Table_ChiPhiKD[Phân bổ đến] &gt; E$2)*
(VLOOKUP(Table_ChiPhiKD[Nhóm chi phí],Table_ChiPhiKD_PhanNhom[],Sheet_ChiPhiKD!$J$2,0) = "Chưa phân bổ" ))
), 0)</f>
        <v>0</v>
      </c>
      <c r="F13" s="329" cm="1">
        <f t="array" ref="F13">-
IFERROR(
SUM(
_xlfn._xlws.FILTER(Table_ChiPhiKD[Phân bổ sản xuất],
(Table_ChiPhiKD[Kỳ] = F$2) *
(NOT(ISBLANK(Table_ChiPhiKD[Tháng])))*
(VLOOKUP(Table_ChiPhiKD[Nhóm chi phí],Table_ChiPhiKD_PhanNhom[],Sheet_ChiPhiKD!$J$2,0) = "Chưa phân bổ" )
)),0)
- IFERROR(SUMPRODUCT(
_xlfn._xlws.FILTER(Table_ChiPhiKD[Phân bổ sản xuất],
(ISBLANK(Table_ChiPhiKD[Tháng])) *
(Table_ChiPhiKD[Phân bổ từ] &lt; G$2)*
(Table_ChiPhiKD[Phân bổ đến] &gt; F$2)*
(VLOOKUP(Table_ChiPhiKD[Nhóm chi phí],Table_ChiPhiKD_PhanNhom[],Sheet_ChiPhiKD!$J$2,0) = "Chưa phân bổ" )),
1/_xlfn._xlws.FILTER(ROUND((Table_ChiPhiKD[Phân bổ đến]-Table_ChiPhiKD[Phân bổ từ])/(365.25/12),0),
(ISBLANK(Table_ChiPhiKD[Tháng])) *
(Table_ChiPhiKD[Phân bổ từ] &lt; G$2)*
(Table_ChiPhiKD[Phân bổ đến] &gt; F$2)*
(VLOOKUP(Table_ChiPhiKD[Nhóm chi phí],Table_ChiPhiKD_PhanNhom[],Sheet_ChiPhiKD!$J$2,0) = "Chưa phân bổ" ))
), 0)</f>
        <v>0</v>
      </c>
      <c r="G13" s="329" cm="1">
        <f t="array" ref="G13">-
IFERROR(
SUM(
_xlfn._xlws.FILTER(Table_ChiPhiKD[Phân bổ sản xuất],
(Table_ChiPhiKD[Kỳ] = G$2) *
(NOT(ISBLANK(Table_ChiPhiKD[Tháng])))*
(VLOOKUP(Table_ChiPhiKD[Nhóm chi phí],Table_ChiPhiKD_PhanNhom[],Sheet_ChiPhiKD!$J$2,0) = "Chưa phân bổ" )
)),0)
- IFERROR(SUMPRODUCT(
_xlfn._xlws.FILTER(Table_ChiPhiKD[Phân bổ sản xuất],
(ISBLANK(Table_ChiPhiKD[Tháng])) *
(Table_ChiPhiKD[Phân bổ từ] &lt; H$2)*
(Table_ChiPhiKD[Phân bổ đến] &gt; G$2)*
(VLOOKUP(Table_ChiPhiKD[Nhóm chi phí],Table_ChiPhiKD_PhanNhom[],Sheet_ChiPhiKD!$J$2,0) = "Chưa phân bổ" )),
1/_xlfn._xlws.FILTER(ROUND((Table_ChiPhiKD[Phân bổ đến]-Table_ChiPhiKD[Phân bổ từ])/(365.25/12),0),
(ISBLANK(Table_ChiPhiKD[Tháng])) *
(Table_ChiPhiKD[Phân bổ từ] &lt; H$2)*
(Table_ChiPhiKD[Phân bổ đến] &gt; G$2)*
(VLOOKUP(Table_ChiPhiKD[Nhóm chi phí],Table_ChiPhiKD_PhanNhom[],Sheet_ChiPhiKD!$J$2,0) = "Chưa phân bổ" ))
), 0)</f>
        <v>0</v>
      </c>
      <c r="H13" s="329" cm="1">
        <f t="array" ref="H13">-
IFERROR(
SUM(
_xlfn._xlws.FILTER(Table_ChiPhiKD[Phân bổ sản xuất],
(Table_ChiPhiKD[Kỳ] = H$2) *
(NOT(ISBLANK(Table_ChiPhiKD[Tháng])))*
(VLOOKUP(Table_ChiPhiKD[Nhóm chi phí],Table_ChiPhiKD_PhanNhom[],Sheet_ChiPhiKD!$J$2,0) = "Chưa phân bổ" )
)),0)
- IFERROR(SUMPRODUCT(
_xlfn._xlws.FILTER(Table_ChiPhiKD[Phân bổ sản xuất],
(ISBLANK(Table_ChiPhiKD[Tháng])) *
(Table_ChiPhiKD[Phân bổ từ] &lt; I$2)*
(Table_ChiPhiKD[Phân bổ đến] &gt; H$2)*
(VLOOKUP(Table_ChiPhiKD[Nhóm chi phí],Table_ChiPhiKD_PhanNhom[],Sheet_ChiPhiKD!$J$2,0) = "Chưa phân bổ" )),
1/_xlfn._xlws.FILTER(ROUND((Table_ChiPhiKD[Phân bổ đến]-Table_ChiPhiKD[Phân bổ từ])/(365.25/12),0),
(ISBLANK(Table_ChiPhiKD[Tháng])) *
(Table_ChiPhiKD[Phân bổ từ] &lt; I$2)*
(Table_ChiPhiKD[Phân bổ đến] &gt; H$2)*
(VLOOKUP(Table_ChiPhiKD[Nhóm chi phí],Table_ChiPhiKD_PhanNhom[],Sheet_ChiPhiKD!$J$2,0) = "Chưa phân bổ" ))
), 0)</f>
        <v>0</v>
      </c>
      <c r="I13" s="329" cm="1">
        <f t="array" ref="I13">-
IFERROR(
SUM(
_xlfn._xlws.FILTER(Table_ChiPhiKD[Phân bổ sản xuất],
(Table_ChiPhiKD[Kỳ] = I$2) *
(NOT(ISBLANK(Table_ChiPhiKD[Tháng])))*
(VLOOKUP(Table_ChiPhiKD[Nhóm chi phí],Table_ChiPhiKD_PhanNhom[],Sheet_ChiPhiKD!$J$2,0) = "Chưa phân bổ" )
)),0)
- IFERROR(SUMPRODUCT(
_xlfn._xlws.FILTER(Table_ChiPhiKD[Phân bổ sản xuất],
(ISBLANK(Table_ChiPhiKD[Tháng])) *
(Table_ChiPhiKD[Phân bổ từ] &lt; J$2)*
(Table_ChiPhiKD[Phân bổ đến] &gt; I$2)*
(VLOOKUP(Table_ChiPhiKD[Nhóm chi phí],Table_ChiPhiKD_PhanNhom[],Sheet_ChiPhiKD!$J$2,0) = "Chưa phân bổ" )),
1/_xlfn._xlws.FILTER(ROUND((Table_ChiPhiKD[Phân bổ đến]-Table_ChiPhiKD[Phân bổ từ])/(365.25/12),0),
(ISBLANK(Table_ChiPhiKD[Tháng])) *
(Table_ChiPhiKD[Phân bổ từ] &lt; J$2)*
(Table_ChiPhiKD[Phân bổ đến] &gt; I$2)*
(VLOOKUP(Table_ChiPhiKD[Nhóm chi phí],Table_ChiPhiKD_PhanNhom[],Sheet_ChiPhiKD!$J$2,0) = "Chưa phân bổ" ))
), 0)</f>
        <v>0</v>
      </c>
      <c r="J13" s="329" cm="1">
        <f t="array" ref="J13">-
IFERROR(
SUM(
_xlfn._xlws.FILTER(Table_ChiPhiKD[Phân bổ sản xuất],
(Table_ChiPhiKD[Kỳ] = J$2) *
(NOT(ISBLANK(Table_ChiPhiKD[Tháng])))*
(VLOOKUP(Table_ChiPhiKD[Nhóm chi phí],Table_ChiPhiKD_PhanNhom[],Sheet_ChiPhiKD!$J$2,0) = "Chưa phân bổ" )
)),0)
- IFERROR(SUMPRODUCT(
_xlfn._xlws.FILTER(Table_ChiPhiKD[Phân bổ sản xuất],
(ISBLANK(Table_ChiPhiKD[Tháng])) *
(Table_ChiPhiKD[Phân bổ từ] &lt; K$2)*
(Table_ChiPhiKD[Phân bổ đến] &gt; J$2)*
(VLOOKUP(Table_ChiPhiKD[Nhóm chi phí],Table_ChiPhiKD_PhanNhom[],Sheet_ChiPhiKD!$J$2,0) = "Chưa phân bổ" )),
1/_xlfn._xlws.FILTER(ROUND((Table_ChiPhiKD[Phân bổ đến]-Table_ChiPhiKD[Phân bổ từ])/(365.25/12),0),
(ISBLANK(Table_ChiPhiKD[Tháng])) *
(Table_ChiPhiKD[Phân bổ từ] &lt; K$2)*
(Table_ChiPhiKD[Phân bổ đến] &gt; J$2)*
(VLOOKUP(Table_ChiPhiKD[Nhóm chi phí],Table_ChiPhiKD_PhanNhom[],Sheet_ChiPhiKD!$J$2,0) = "Chưa phân bổ" ))
), 0)</f>
        <v>0</v>
      </c>
      <c r="K13" s="329" cm="1">
        <f t="array" ref="K13">-
IFERROR(
SUM(
_xlfn._xlws.FILTER(Table_ChiPhiKD[Phân bổ sản xuất],
(Table_ChiPhiKD[Kỳ] = K$2) *
(NOT(ISBLANK(Table_ChiPhiKD[Tháng])))*
(VLOOKUP(Table_ChiPhiKD[Nhóm chi phí],Table_ChiPhiKD_PhanNhom[],Sheet_ChiPhiKD!$J$2,0) = "Chưa phân bổ" )
)),0)
- IFERROR(SUMPRODUCT(
_xlfn._xlws.FILTER(Table_ChiPhiKD[Phân bổ sản xuất],
(ISBLANK(Table_ChiPhiKD[Tháng])) *
(Table_ChiPhiKD[Phân bổ từ] &lt; L$2)*
(Table_ChiPhiKD[Phân bổ đến] &gt; K$2)*
(VLOOKUP(Table_ChiPhiKD[Nhóm chi phí],Table_ChiPhiKD_PhanNhom[],Sheet_ChiPhiKD!$J$2,0) = "Chưa phân bổ" )),
1/_xlfn._xlws.FILTER(ROUND((Table_ChiPhiKD[Phân bổ đến]-Table_ChiPhiKD[Phân bổ từ])/(365.25/12),0),
(ISBLANK(Table_ChiPhiKD[Tháng])) *
(Table_ChiPhiKD[Phân bổ từ] &lt; L$2)*
(Table_ChiPhiKD[Phân bổ đến] &gt; K$2)*
(VLOOKUP(Table_ChiPhiKD[Nhóm chi phí],Table_ChiPhiKD_PhanNhom[],Sheet_ChiPhiKD!$J$2,0) = "Chưa phân bổ" ))
), 0)</f>
        <v>0</v>
      </c>
      <c r="L13" s="329" cm="1">
        <f t="array" ref="L13">-
IFERROR(
SUM(
_xlfn._xlws.FILTER(Table_ChiPhiKD[Phân bổ sản xuất],
(Table_ChiPhiKD[Kỳ] = L$2) *
(NOT(ISBLANK(Table_ChiPhiKD[Tháng])))*
(VLOOKUP(Table_ChiPhiKD[Nhóm chi phí],Table_ChiPhiKD_PhanNhom[],Sheet_ChiPhiKD!$J$2,0) = "Chưa phân bổ" )
)),0)
- IFERROR(SUMPRODUCT(
_xlfn._xlws.FILTER(Table_ChiPhiKD[Phân bổ sản xuất],
(ISBLANK(Table_ChiPhiKD[Tháng])) *
(Table_ChiPhiKD[Phân bổ từ] &lt; M$2)*
(Table_ChiPhiKD[Phân bổ đến] &gt; L$2)*
(VLOOKUP(Table_ChiPhiKD[Nhóm chi phí],Table_ChiPhiKD_PhanNhom[],Sheet_ChiPhiKD!$J$2,0) = "Chưa phân bổ" )),
1/_xlfn._xlws.FILTER(ROUND((Table_ChiPhiKD[Phân bổ đến]-Table_ChiPhiKD[Phân bổ từ])/(365.25/12),0),
(ISBLANK(Table_ChiPhiKD[Tháng])) *
(Table_ChiPhiKD[Phân bổ từ] &lt; M$2)*
(Table_ChiPhiKD[Phân bổ đến] &gt; L$2)*
(VLOOKUP(Table_ChiPhiKD[Nhóm chi phí],Table_ChiPhiKD_PhanNhom[],Sheet_ChiPhiKD!$J$2,0) = "Chưa phân bổ" ))
), 0)</f>
        <v>0</v>
      </c>
      <c r="M13" s="329" cm="1">
        <f t="array" ref="M13">-
IFERROR(
SUM(
_xlfn._xlws.FILTER(Table_ChiPhiKD[Phân bổ sản xuất],
(Table_ChiPhiKD[Kỳ] = M$2) *
(NOT(ISBLANK(Table_ChiPhiKD[Tháng])))*
(VLOOKUP(Table_ChiPhiKD[Nhóm chi phí],Table_ChiPhiKD_PhanNhom[],Sheet_ChiPhiKD!$J$2,0) = "Chưa phân bổ" )
)),0)
- IFERROR(SUMPRODUCT(
_xlfn._xlws.FILTER(Table_ChiPhiKD[Phân bổ sản xuất],
(ISBLANK(Table_ChiPhiKD[Tháng])) *
(Table_ChiPhiKD[Phân bổ từ] &lt; N$2)*
(Table_ChiPhiKD[Phân bổ đến] &gt; M$2)*
(VLOOKUP(Table_ChiPhiKD[Nhóm chi phí],Table_ChiPhiKD_PhanNhom[],Sheet_ChiPhiKD!$J$2,0) = "Chưa phân bổ" )),
1/_xlfn._xlws.FILTER(ROUND((Table_ChiPhiKD[Phân bổ đến]-Table_ChiPhiKD[Phân bổ từ])/(365.25/12),0),
(ISBLANK(Table_ChiPhiKD[Tháng])) *
(Table_ChiPhiKD[Phân bổ từ] &lt; N$2)*
(Table_ChiPhiKD[Phân bổ đến] &gt; M$2)*
(VLOOKUP(Table_ChiPhiKD[Nhóm chi phí],Table_ChiPhiKD_PhanNhom[],Sheet_ChiPhiKD!$J$2,0) = "Chưa phân bổ" ))
), 0)</f>
        <v>0</v>
      </c>
      <c r="N13" s="329" cm="1">
        <f t="array" ref="N13">-
IFERROR(
SUM(
_xlfn._xlws.FILTER(Table_ChiPhiKD[Phân bổ sản xuất],
(Table_ChiPhiKD[Kỳ] = N$2) *
(NOT(ISBLANK(Table_ChiPhiKD[Tháng])))*
(VLOOKUP(Table_ChiPhiKD[Nhóm chi phí],Table_ChiPhiKD_PhanNhom[],Sheet_ChiPhiKD!$J$2,0) = "Chưa phân bổ" )
)),0)
- IFERROR(SUMPRODUCT(
_xlfn._xlws.FILTER(Table_ChiPhiKD[Phân bổ sản xuất],
(ISBLANK(Table_ChiPhiKD[Tháng])) *
(Table_ChiPhiKD[Phân bổ từ] &lt; O$2)*
(Table_ChiPhiKD[Phân bổ đến] &gt; N$2)*
(VLOOKUP(Table_ChiPhiKD[Nhóm chi phí],Table_ChiPhiKD_PhanNhom[],Sheet_ChiPhiKD!$J$2,0) = "Chưa phân bổ" )),
1/_xlfn._xlws.FILTER(ROUND((Table_ChiPhiKD[Phân bổ đến]-Table_ChiPhiKD[Phân bổ từ])/(365.25/12),0),
(ISBLANK(Table_ChiPhiKD[Tháng])) *
(Table_ChiPhiKD[Phân bổ từ] &lt; O$2)*
(Table_ChiPhiKD[Phân bổ đến] &gt; N$2)*
(VLOOKUP(Table_ChiPhiKD[Nhóm chi phí],Table_ChiPhiKD_PhanNhom[],Sheet_ChiPhiKD!$J$2,0) = "Chưa phân bổ" ))
), 0)</f>
        <v>0</v>
      </c>
      <c r="O13" s="329" cm="1">
        <f t="array" ref="O13">-
IFERROR(
SUM(
_xlfn._xlws.FILTER(Table_ChiPhiKD[Phân bổ sản xuất],
(Table_ChiPhiKD[Kỳ] = O$2) *
(NOT(ISBLANK(Table_ChiPhiKD[Tháng])))*
(VLOOKUP(Table_ChiPhiKD[Nhóm chi phí],Table_ChiPhiKD_PhanNhom[],Sheet_ChiPhiKD!$J$2,0) = "Chưa phân bổ" )
)),0)
- IFERROR(SUMPRODUCT(
_xlfn._xlws.FILTER(Table_ChiPhiKD[Phân bổ sản xuất],
(ISBLANK(Table_ChiPhiKD[Tháng])) *
(Table_ChiPhiKD[Phân bổ từ] &lt; P$2)*
(Table_ChiPhiKD[Phân bổ đến] &gt; O$2)*
(VLOOKUP(Table_ChiPhiKD[Nhóm chi phí],Table_ChiPhiKD_PhanNhom[],Sheet_ChiPhiKD!$J$2,0) = "Chưa phân bổ" )),
1/_xlfn._xlws.FILTER(ROUND((Table_ChiPhiKD[Phân bổ đến]-Table_ChiPhiKD[Phân bổ từ])/(365.25/12),0),
(ISBLANK(Table_ChiPhiKD[Tháng])) *
(Table_ChiPhiKD[Phân bổ từ] &lt; P$2)*
(Table_ChiPhiKD[Phân bổ đến] &gt; O$2)*
(VLOOKUP(Table_ChiPhiKD[Nhóm chi phí],Table_ChiPhiKD_PhanNhom[],Sheet_ChiPhiKD!$J$2,0) = "Chưa phân bổ" ))
), 0)</f>
        <v>0</v>
      </c>
      <c r="P13" s="323"/>
      <c r="Q13" s="240"/>
      <c r="R13" s="73" t="s">
        <v>286</v>
      </c>
      <c r="S13" s="328" cm="1">
        <f t="array" ref="S13" xml:space="preserve">
-IFERROR(
SUM(
_xlfn._xlws.FILTER(Table_ChiPhiKD[Phân bổ sản xuất],
(Table_ChiPhiKD[Năm] = S$1)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3" s="240"/>
      <c r="U13" s="73" t="s">
        <v>286</v>
      </c>
      <c r="V13" s="329" cm="1">
        <f t="array" ref="V13">-
IFERROR(
SUM(
_xlfn._xlws.FILTER(Table_ChiPhiKD[Phân bổ sản xuất],
(Table_ChiPhiKD[Kỳ] = V$1) *
(NOT(ISBLANK(Table_ChiPhiKD[Tháng])))*
(VLOOKUP(Table_ChiPhiKD[Nhóm chi phí],Table_ChiPhiKD_PhanNhom[],Sheet_ChiPhiKD!$J$2,0) = "Chưa phân bổ" )
)),0)
- IFERROR(SUMPRODUCT(
_xlfn._xlws.FILTER(Table_ChiPhiKD[Phân bổ sản xuất],
(ISBLANK(Table_ChiPhiKD[Tháng])) *
(Table_ChiPhiKD[Phân bổ từ] &lt; DATE(YEAR(V$1),MONTH(V$1)+1,1))*
(Table_ChiPhiKD[Phân bổ đến] &gt; V$1)*
(VLOOKUP(Table_ChiPhiKD[Nhóm chi phí],Table_ChiPhiKD_PhanNhom[],Sheet_ChiPhiKD!$J$2,0) = "Chưa phân bổ" )),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phí],Table_ChiPhiKD_PhanNhom[],Sheet_ChiPhiKD!$J$2,0) = "Chưa phân bổ" ))
), 0)</f>
        <v>0</v>
      </c>
    </row>
    <row r="14" spans="2:22" ht="18" customHeight="1" outlineLevel="2" x14ac:dyDescent="0.3">
      <c r="B14" s="73" t="s">
        <v>287</v>
      </c>
      <c r="C14" s="328" cm="1">
        <f t="array" ref="C14">-IFERROR(SUM(
_xlfn._xlws.FILTER(Table_Main[Hoa hồng],
(Table_Main[Ngày lên đơn] &gt;= DATE(C$2,1,1))*
(Table_Main[Ngày lên đơn] &lt; DATE(C$2+1,1,1))
)),0)
-IFERROR(SUM(
_xlfn._xlws.FILTER(Table_Main[CK kênh],
(Table_Main[Ngày lên đơn] &gt;= DATE(C$2,1,1))*
(Table_Main[Ngày lên đơn] &lt; DATE(C$2+1,1,1))
)),0)</f>
        <v>0</v>
      </c>
      <c r="D14" s="328" cm="1">
        <f t="array" ref="D14">-IFERROR(SUM(
_xlfn._xlws.FILTER(Table_Main[Hoa hồng],
(Table_Main[Ngày lên đơn] &gt;= D$2)*
(Table_Main[Ngày lên đơn] &lt; DATE(YEAR(D$2),MONTH(D$2)+1,1))
)),0)
-IFERROR(SUM(
_xlfn._xlws.FILTER(Table_Main[CK kênh],
(Table_Main[Ngày lên đơn] &gt;= D$2)*
(Table_Main[Ngày lên đơn] &lt; DATE(YEAR(D$2),MONTH(D$2)+1,1))
)),0)</f>
        <v>0</v>
      </c>
      <c r="E14" s="328" cm="1">
        <f t="array" ref="E14">-IFERROR(SUM(
_xlfn._xlws.FILTER(Table_Main[Hoa hồng],
(Table_Main[Ngày lên đơn] &gt;= E$2)*
(Table_Main[Ngày lên đơn] &lt; DATE(YEAR(E$2),MONTH(E$2)+1,1))
)),0)
-IFERROR(SUM(
_xlfn._xlws.FILTER(Table_Main[CK kênh],
(Table_Main[Ngày lên đơn] &gt;= E$2)*
(Table_Main[Ngày lên đơn] &lt; DATE(YEAR(E$2),MONTH(E$2)+1,1))
)),0)</f>
        <v>0</v>
      </c>
      <c r="F14" s="328" cm="1">
        <f t="array" ref="F14">-IFERROR(SUM(
_xlfn._xlws.FILTER(Table_Main[Hoa hồng],
(Table_Main[Ngày lên đơn] &gt;= F$2)*
(Table_Main[Ngày lên đơn] &lt; DATE(YEAR(F$2),MONTH(F$2)+1,1))
)),0)
-IFERROR(SUM(
_xlfn._xlws.FILTER(Table_Main[CK kênh],
(Table_Main[Ngày lên đơn] &gt;= F$2)*
(Table_Main[Ngày lên đơn] &lt; DATE(YEAR(F$2),MONTH(F$2)+1,1))
)),0)</f>
        <v>0</v>
      </c>
      <c r="G14" s="328" cm="1">
        <f t="array" ref="G14">-IFERROR(SUM(
_xlfn._xlws.FILTER(Table_Main[Hoa hồng],
(Table_Main[Ngày lên đơn] &gt;= G$2)*
(Table_Main[Ngày lên đơn] &lt; DATE(YEAR(G$2),MONTH(G$2)+1,1))
)),0)
-IFERROR(SUM(
_xlfn._xlws.FILTER(Table_Main[CK kênh],
(Table_Main[Ngày lên đơn] &gt;= G$2)*
(Table_Main[Ngày lên đơn] &lt; DATE(YEAR(G$2),MONTH(G$2)+1,1))
)),0)</f>
        <v>0</v>
      </c>
      <c r="H14" s="328" cm="1">
        <f t="array" ref="H14">-IFERROR(SUM(
_xlfn._xlws.FILTER(Table_Main[Hoa hồng],
(Table_Main[Ngày lên đơn] &gt;= H$2)*
(Table_Main[Ngày lên đơn] &lt; DATE(YEAR(H$2),MONTH(H$2)+1,1))
)),0)
-IFERROR(SUM(
_xlfn._xlws.FILTER(Table_Main[CK kênh],
(Table_Main[Ngày lên đơn] &gt;= H$2)*
(Table_Main[Ngày lên đơn] &lt; DATE(YEAR(H$2),MONTH(H$2)+1,1))
)),0)</f>
        <v>0</v>
      </c>
      <c r="I14" s="328" cm="1">
        <f t="array" ref="I14">-IFERROR(SUM(
_xlfn._xlws.FILTER(Table_Main[Hoa hồng],
(Table_Main[Ngày lên đơn] &gt;= I$2)*
(Table_Main[Ngày lên đơn] &lt; DATE(YEAR(I$2),MONTH(I$2)+1,1))
)),0)
-IFERROR(SUM(
_xlfn._xlws.FILTER(Table_Main[CK kênh],
(Table_Main[Ngày lên đơn] &gt;= I$2)*
(Table_Main[Ngày lên đơn] &lt; DATE(YEAR(I$2),MONTH(I$2)+1,1))
)),0)</f>
        <v>0</v>
      </c>
      <c r="J14" s="328" cm="1">
        <f t="array" ref="J14">-IFERROR(SUM(
_xlfn._xlws.FILTER(Table_Main[Hoa hồng],
(Table_Main[Ngày lên đơn] &gt;= J$2)*
(Table_Main[Ngày lên đơn] &lt; DATE(YEAR(J$2),MONTH(J$2)+1,1))
)),0)
-IFERROR(SUM(
_xlfn._xlws.FILTER(Table_Main[CK kênh],
(Table_Main[Ngày lên đơn] &gt;= J$2)*
(Table_Main[Ngày lên đơn] &lt; DATE(YEAR(J$2),MONTH(J$2)+1,1))
)),0)</f>
        <v>0</v>
      </c>
      <c r="K14" s="328" cm="1">
        <f t="array" ref="K14">-IFERROR(SUM(
_xlfn._xlws.FILTER(Table_Main[Hoa hồng],
(Table_Main[Ngày lên đơn] &gt;= K$2)*
(Table_Main[Ngày lên đơn] &lt; DATE(YEAR(K$2),MONTH(K$2)+1,1))
)),0)
-IFERROR(SUM(
_xlfn._xlws.FILTER(Table_Main[CK kênh],
(Table_Main[Ngày lên đơn] &gt;= K$2)*
(Table_Main[Ngày lên đơn] &lt; DATE(YEAR(K$2),MONTH(K$2)+1,1))
)),0)</f>
        <v>0</v>
      </c>
      <c r="L14" s="328" cm="1">
        <f t="array" ref="L14">-IFERROR(SUM(
_xlfn._xlws.FILTER(Table_Main[Hoa hồng],
(Table_Main[Ngày lên đơn] &gt;= L$2)*
(Table_Main[Ngày lên đơn] &lt; DATE(YEAR(L$2),MONTH(L$2)+1,1))
)),0)
-IFERROR(SUM(
_xlfn._xlws.FILTER(Table_Main[CK kênh],
(Table_Main[Ngày lên đơn] &gt;= L$2)*
(Table_Main[Ngày lên đơn] &lt; DATE(YEAR(L$2),MONTH(L$2)+1,1))
)),0)</f>
        <v>0</v>
      </c>
      <c r="M14" s="328" cm="1">
        <f t="array" ref="M14">-IFERROR(SUM(
_xlfn._xlws.FILTER(Table_Main[Hoa hồng],
(Table_Main[Ngày lên đơn] &gt;= M$2)*
(Table_Main[Ngày lên đơn] &lt; DATE(YEAR(M$2),MONTH(M$2)+1,1))
)),0)
-IFERROR(SUM(
_xlfn._xlws.FILTER(Table_Main[CK kênh],
(Table_Main[Ngày lên đơn] &gt;= M$2)*
(Table_Main[Ngày lên đơn] &lt; DATE(YEAR(M$2),MONTH(M$2)+1,1))
)),0)</f>
        <v>0</v>
      </c>
      <c r="N14" s="328" cm="1">
        <f t="array" ref="N14">-IFERROR(SUM(
_xlfn._xlws.FILTER(Table_Main[Hoa hồng],
(Table_Main[Ngày lên đơn] &gt;= N$2)*
(Table_Main[Ngày lên đơn] &lt; DATE(YEAR(N$2),MONTH(N$2)+1,1))
)),0)
-IFERROR(SUM(
_xlfn._xlws.FILTER(Table_Main[CK kênh],
(Table_Main[Ngày lên đơn] &gt;= N$2)*
(Table_Main[Ngày lên đơn] &lt; DATE(YEAR(N$2),MONTH(N$2)+1,1))
)),0)</f>
        <v>0</v>
      </c>
      <c r="O14" s="328" cm="1">
        <f t="array" ref="O14">-IFERROR(SUM(
_xlfn._xlws.FILTER(Table_Main[Hoa hồng],
(Table_Main[Ngày lên đơn] &gt;= O$2)*
(Table_Main[Ngày lên đơn] &lt; DATE(YEAR(O$2),MONTH(O$2)+1,1))
)),0)
-IFERROR(SUM(
_xlfn._xlws.FILTER(Table_Main[CK kênh],
(Table_Main[Ngày lên đơn] &gt;= O$2)*
(Table_Main[Ngày lên đơn] &lt; DATE(YEAR(O$2),MONTH(O$2)+1,1))
)),0)</f>
        <v>0</v>
      </c>
      <c r="P14" s="323"/>
      <c r="Q14" s="240"/>
      <c r="R14" s="73" t="s">
        <v>223</v>
      </c>
      <c r="S14" s="328" cm="1">
        <f t="array" ref="S14">-IFERROR(SUM(
_xlfn._xlws.FILTER(Table_Main[Hoa hồng],
(Table_Main[Ngày lên đơn] &gt;= DATE(S$1,1,1))*
(Table_Main[Ngày lên đơn] &lt; DATE(S$1+1,1,1))
)),0)
-IFERROR(SUM(
_xlfn._xlws.FILTER(Table_Main[CK kênh],
(Table_Main[Ngày lên đơn] &gt;= DATE(S$1,1,1))*
(Table_Main[Ngày lên đơn] &lt; DATE(S$1+1,1,1))
)),0)</f>
        <v>0</v>
      </c>
      <c r="T14" s="240"/>
      <c r="U14" s="73" t="s">
        <v>223</v>
      </c>
      <c r="V14" s="328" cm="1">
        <f t="array" ref="V14">-IFERROR(SUM(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5" spans="2:22" ht="18" customHeight="1" outlineLevel="2" x14ac:dyDescent="0.3">
      <c r="B15" s="73" t="s">
        <v>288</v>
      </c>
      <c r="C15" s="328" cm="1">
        <f t="array" ref="C15" xml:space="preserve">
-IFERROR(
SUM(_xlfn._xlws.FILTER(Table_KPI[Thưởng KPI],
(Table_KPI[Năm] = C2)
)),0)</f>
        <v>0</v>
      </c>
      <c r="D15" s="329" cm="1">
        <f t="array" ref="D15" xml:space="preserve">
-IFERROR(
SUM(_xlfn._xlws.FILTER(Table_KPI[Thưởng KPI],
(NOT(ISBLANK(Table_KPI[Tháng]))) *
(Table_KPI[Kỳ] = D2)
)),0)
-IFERROR(
SUM(_xlfn._xlws.FILTER(Table_KPI[Thưởng KPI],
(Table_KPI[Năm]  = YEAR(D2))*
(ISBLANK(Table_KPI[Tháng]))
)) / 12, 0)</f>
        <v>0</v>
      </c>
      <c r="E15" s="329" cm="1">
        <f t="array" ref="E15" xml:space="preserve">
-IFERROR(
SUM(_xlfn._xlws.FILTER(Table_KPI[Thưởng KPI],
(NOT(ISBLANK(Table_KPI[Tháng]))) *
(Table_KPI[Kỳ] = E2)
)),0)
-IFERROR(
SUM(_xlfn._xlws.FILTER(Table_KPI[Thưởng KPI],
(Table_KPI[Năm]  = YEAR(E2))*
(ISBLANK(Table_KPI[Tháng]))
)) / 12, 0)</f>
        <v>0</v>
      </c>
      <c r="F15" s="329" cm="1">
        <f t="array" ref="F15" xml:space="preserve">
-IFERROR(
SUM(_xlfn._xlws.FILTER(Table_KPI[Thưởng KPI],
(NOT(ISBLANK(Table_KPI[Tháng]))) *
(Table_KPI[Kỳ] = F2)
)),0)
-IFERROR(
SUM(_xlfn._xlws.FILTER(Table_KPI[Thưởng KPI],
(Table_KPI[Năm]  = YEAR(F2))*
(ISBLANK(Table_KPI[Tháng]))
)) / 12, 0)</f>
        <v>0</v>
      </c>
      <c r="G15" s="329" cm="1">
        <f t="array" ref="G15" xml:space="preserve">
-IFERROR(
SUM(_xlfn._xlws.FILTER(Table_KPI[Thưởng KPI],
(NOT(ISBLANK(Table_KPI[Tháng]))) *
(Table_KPI[Kỳ] = G2)
)),0)
-IFERROR(
SUM(_xlfn._xlws.FILTER(Table_KPI[Thưởng KPI],
(Table_KPI[Năm]  = YEAR(G2))*
(ISBLANK(Table_KPI[Tháng]))
)) / 12, 0)</f>
        <v>0</v>
      </c>
      <c r="H15" s="329" cm="1">
        <f t="array" ref="H15" xml:space="preserve">
-IFERROR(
SUM(_xlfn._xlws.FILTER(Table_KPI[Thưởng KPI],
(NOT(ISBLANK(Table_KPI[Tháng]))) *
(Table_KPI[Kỳ] = H2)
)),0)
-IFERROR(
SUM(_xlfn._xlws.FILTER(Table_KPI[Thưởng KPI],
(Table_KPI[Năm]  = YEAR(H2))*
(ISBLANK(Table_KPI[Tháng]))
)) / 12, 0)</f>
        <v>0</v>
      </c>
      <c r="I15" s="329" cm="1">
        <f t="array" ref="I15" xml:space="preserve">
-IFERROR(
SUM(_xlfn._xlws.FILTER(Table_KPI[Thưởng KPI],
(NOT(ISBLANK(Table_KPI[Tháng]))) *
(Table_KPI[Kỳ] = I2)
)),0)
-IFERROR(
SUM(_xlfn._xlws.FILTER(Table_KPI[Thưởng KPI],
(Table_KPI[Năm]  = YEAR(I2))*
(ISBLANK(Table_KPI[Tháng]))
)) / 12, 0)</f>
        <v>0</v>
      </c>
      <c r="J15" s="329" cm="1">
        <f t="array" ref="J15" xml:space="preserve">
-IFERROR(
SUM(_xlfn._xlws.FILTER(Table_KPI[Thưởng KPI],
(NOT(ISBLANK(Table_KPI[Tháng]))) *
(Table_KPI[Kỳ] = J2)
)),0)
-IFERROR(
SUM(_xlfn._xlws.FILTER(Table_KPI[Thưởng KPI],
(Table_KPI[Năm]  = YEAR(J2))*
(ISBLANK(Table_KPI[Tháng]))
)) / 12, 0)</f>
        <v>0</v>
      </c>
      <c r="K15" s="329" cm="1">
        <f t="array" ref="K15" xml:space="preserve">
-IFERROR(
SUM(_xlfn._xlws.FILTER(Table_KPI[Thưởng KPI],
(NOT(ISBLANK(Table_KPI[Tháng]))) *
(Table_KPI[Kỳ] = K2)
)),0)
-IFERROR(
SUM(_xlfn._xlws.FILTER(Table_KPI[Thưởng KPI],
(Table_KPI[Năm]  = YEAR(K2))*
(ISBLANK(Table_KPI[Tháng]))
)) / 12, 0)</f>
        <v>0</v>
      </c>
      <c r="L15" s="329" cm="1">
        <f t="array" ref="L15" xml:space="preserve">
-IFERROR(
SUM(_xlfn._xlws.FILTER(Table_KPI[Thưởng KPI],
(NOT(ISBLANK(Table_KPI[Tháng]))) *
(Table_KPI[Kỳ] = L2)
)),0)
-IFERROR(
SUM(_xlfn._xlws.FILTER(Table_KPI[Thưởng KPI],
(Table_KPI[Năm]  = YEAR(L2))*
(ISBLANK(Table_KPI[Tháng]))
)) / 12, 0)</f>
        <v>0</v>
      </c>
      <c r="M15" s="329" cm="1">
        <f t="array" ref="M15" xml:space="preserve">
-IFERROR(
SUM(_xlfn._xlws.FILTER(Table_KPI[Thưởng KPI],
(NOT(ISBLANK(Table_KPI[Tháng]))) *
(Table_KPI[Kỳ] = M2)
)),0)
-IFERROR(
SUM(_xlfn._xlws.FILTER(Table_KPI[Thưởng KPI],
(Table_KPI[Năm]  = YEAR(M2))*
(ISBLANK(Table_KPI[Tháng]))
)) / 12, 0)</f>
        <v>0</v>
      </c>
      <c r="N15" s="329" cm="1">
        <f t="array" ref="N15" xml:space="preserve">
-IFERROR(
SUM(_xlfn._xlws.FILTER(Table_KPI[Thưởng KPI],
(NOT(ISBLANK(Table_KPI[Tháng]))) *
(Table_KPI[Kỳ] = N2)
)),0)
-IFERROR(
SUM(_xlfn._xlws.FILTER(Table_KPI[Thưởng KPI],
(Table_KPI[Năm]  = YEAR(N2))*
(ISBLANK(Table_KPI[Tháng]))
)) / 12, 0)</f>
        <v>0</v>
      </c>
      <c r="O15" s="329" cm="1">
        <f t="array" ref="O15" xml:space="preserve">
-IFERROR(
SUM(_xlfn._xlws.FILTER(Table_KPI[Thưởng KPI],
(NOT(ISBLANK(Table_KPI[Tháng]))) *
(Table_KPI[Kỳ] = O2)
)),0)
-IFERROR(
SUM(_xlfn._xlws.FILTER(Table_KPI[Thưởng KPI],
(Table_KPI[Năm]  = YEAR(O2))*
(ISBLANK(Table_KPI[Tháng]))
)) / 12, 0)</f>
        <v>0</v>
      </c>
      <c r="P15" s="323"/>
      <c r="Q15" s="240"/>
      <c r="R15" s="73" t="s">
        <v>288</v>
      </c>
      <c r="S15" s="328" cm="1">
        <f t="array" ref="S15" xml:space="preserve">
-IFERROR(
SUM(_xlfn._xlws.FILTER(Table_KPI[Thưởng KPI],
(Table_KPI[Năm] = S1)
)),0)</f>
        <v>0</v>
      </c>
      <c r="T15" s="240"/>
      <c r="U15" s="73" t="s">
        <v>288</v>
      </c>
      <c r="V15" s="329" cm="1">
        <f t="array" ref="V15" xml:space="preserve">
-IFERROR(
SUM(_xlfn._xlws.FILTER(Table_KPI[Thưởng KPI],
(NOT(ISBLANK(Table_KPI[Tháng]))) *
(Table_KPI[Kỳ] = V1)
)),0)
-IFERROR(
SUM(_xlfn._xlws.FILTER(Table_KPI[Thưởng KPI],
(Table_KPI[Năm]  = YEAR(V1))*
(ISBLANK(Table_KPI[Tháng]))
)) / 12, 0)</f>
        <v>0</v>
      </c>
    </row>
    <row r="16" spans="2:22" ht="18" customHeight="1" outlineLevel="2" x14ac:dyDescent="0.3">
      <c r="B16" s="73" t="s">
        <v>289</v>
      </c>
      <c r="C16" s="328" cm="1">
        <f t="array" ref="C16">-IFERROR(SUM(
_xlfn._xlws.FILTER(Table_ThuChiKD[Phí GD],
(Table_ThuChiKD[Ngày GD] &gt;= D2)*
(Table_ThuChiKD[Ngày GD] &lt; P2)
)),0)</f>
        <v>0</v>
      </c>
      <c r="D16" s="329" cm="1">
        <f t="array" ref="D16">-IFERROR(SUM(
_xlfn._xlws.FILTER(Table_ThuChiKD[Phí GD],
(Table_ThuChiKD[Ngày GD] &gt;= D2)*
(Table_ThuChiKD[Ngày GD] &lt; E2)
)),0)</f>
        <v>0</v>
      </c>
      <c r="E16" s="329" cm="1">
        <f t="array" ref="E16">-IFERROR(SUM(
_xlfn._xlws.FILTER(Table_ThuChiKD[Phí GD],
(Table_ThuChiKD[Ngày GD] &gt;= E2)*
(Table_ThuChiKD[Ngày GD] &lt; F2)
)),0)</f>
        <v>0</v>
      </c>
      <c r="F16" s="329" cm="1">
        <f t="array" ref="F16">-IFERROR(SUM(
_xlfn._xlws.FILTER(Table_ThuChiKD[Phí GD],
(Table_ThuChiKD[Ngày GD] &gt;= F2)*
(Table_ThuChiKD[Ngày GD] &lt; G2)
)),0)</f>
        <v>0</v>
      </c>
      <c r="G16" s="329" cm="1">
        <f t="array" ref="G16">-IFERROR(SUM(
_xlfn._xlws.FILTER(Table_ThuChiKD[Phí GD],
(Table_ThuChiKD[Ngày GD] &gt;= G2)*
(Table_ThuChiKD[Ngày GD] &lt; H2)
)),0)</f>
        <v>0</v>
      </c>
      <c r="H16" s="329" cm="1">
        <f t="array" ref="H16">-IFERROR(SUM(
_xlfn._xlws.FILTER(Table_ThuChiKD[Phí GD],
(Table_ThuChiKD[Ngày GD] &gt;= H2)*
(Table_ThuChiKD[Ngày GD] &lt; I2)
)),0)</f>
        <v>0</v>
      </c>
      <c r="I16" s="329" cm="1">
        <f t="array" ref="I16">-IFERROR(SUM(
_xlfn._xlws.FILTER(Table_ThuChiKD[Phí GD],
(Table_ThuChiKD[Ngày GD] &gt;= I2)*
(Table_ThuChiKD[Ngày GD] &lt; J2)
)),0)</f>
        <v>0</v>
      </c>
      <c r="J16" s="329" cm="1">
        <f t="array" ref="J16">-IFERROR(SUM(
_xlfn._xlws.FILTER(Table_ThuChiKD[Phí GD],
(Table_ThuChiKD[Ngày GD] &gt;= J2)*
(Table_ThuChiKD[Ngày GD] &lt; K2)
)),0)</f>
        <v>0</v>
      </c>
      <c r="K16" s="329" cm="1">
        <f t="array" ref="K16">-IFERROR(SUM(
_xlfn._xlws.FILTER(Table_ThuChiKD[Phí GD],
(Table_ThuChiKD[Ngày GD] &gt;= K2)*
(Table_ThuChiKD[Ngày GD] &lt; L2)
)),0)</f>
        <v>0</v>
      </c>
      <c r="L16" s="329" cm="1">
        <f t="array" ref="L16">-IFERROR(SUM(
_xlfn._xlws.FILTER(Table_ThuChiKD[Phí GD],
(Table_ThuChiKD[Ngày GD] &gt;= L2)*
(Table_ThuChiKD[Ngày GD] &lt; M2)
)),0)</f>
        <v>0</v>
      </c>
      <c r="M16" s="329" cm="1">
        <f t="array" ref="M16">-IFERROR(SUM(
_xlfn._xlws.FILTER(Table_ThuChiKD[Phí GD],
(Table_ThuChiKD[Ngày GD] &gt;= M2)*
(Table_ThuChiKD[Ngày GD] &lt; N2)
)),0)</f>
        <v>0</v>
      </c>
      <c r="N16" s="329" cm="1">
        <f t="array" ref="N16">-IFERROR(SUM(
_xlfn._xlws.FILTER(Table_ThuChiKD[Phí GD],
(Table_ThuChiKD[Ngày GD] &gt;= N2)*
(Table_ThuChiKD[Ngày GD] &lt; O2)
)),0)</f>
        <v>0</v>
      </c>
      <c r="O16" s="329" cm="1">
        <f t="array" ref="O16">-IFERROR(SUM(
_xlfn._xlws.FILTER(Table_ThuChiKD[Phí GD],
(Table_ThuChiKD[Ngày GD] &gt;= O2)*
(Table_ThuChiKD[Ngày GD] &lt; P2)
)),0)</f>
        <v>0</v>
      </c>
      <c r="P16" s="323"/>
      <c r="Q16" s="240"/>
      <c r="R16" s="73" t="s">
        <v>289</v>
      </c>
      <c r="S16" s="328" cm="1">
        <f t="array" ref="S16">-IFERROR(SUM(
_xlfn._xlws.FILTER(Table_ThuChiKD[Phí GD],
(Table_ThuChiKD[Ngày GD] &gt;= DATE(S$1,1,1))*
(Table_ThuChiKD[Ngày GD] &lt; DATE(S$1+1,1,1))
)),0)</f>
        <v>0</v>
      </c>
      <c r="T16" s="240"/>
      <c r="U16" s="73" t="s">
        <v>289</v>
      </c>
      <c r="V16" s="328" cm="1">
        <f t="array" ref="V16">-IFERROR(SUM(
_xlfn._xlws.FILTER(Table_ThuChiKD[Phí GD],
(Table_ThuChiKD[Ngày GD] &gt;= V$1)*
(Table_ThuChiKD[Ngày GD] &lt; DATE(YEAR(V$1),MONTH(V$1)+1,1))
)),0)</f>
        <v>0</v>
      </c>
    </row>
    <row r="17" spans="2:22" ht="18" customHeight="1" outlineLevel="2" x14ac:dyDescent="0.3">
      <c r="B17" s="73" t="s">
        <v>290</v>
      </c>
      <c r="C17" s="328" cm="1">
        <f t="array" ref="C17">-IFERROR(
SUM(_xlfn._xlws.FILTER(Table_VanDon[Phí ship],
(Table_VanDon[Bên chịu phí] = "Bên bán") *
(Table_VanDon[Ngày lập] &gt;= D2) *
(Table_VanDon[Ngày lập] &lt; P2)
)),0)</f>
        <v>0</v>
      </c>
      <c r="D17" s="328" cm="1">
        <f t="array" ref="D17">-IFERROR(
SUM(_xlfn._xlws.FILTER(Table_VanDon[Phí ship],
(Table_VanDon[Bên chịu phí] = "Bên bán") *
(Table_VanDon[Ngày lập] &gt;= D2) *
(Table_VanDon[Ngày lập] &lt; E2)
)),0)</f>
        <v>0</v>
      </c>
      <c r="E17" s="328" cm="1">
        <f t="array" ref="E17">-IFERROR(
SUM(_xlfn._xlws.FILTER(Table_VanDon[Phí ship],
(Table_VanDon[Bên chịu phí] = "Bên bán") *
(Table_VanDon[Ngày lập] &gt;= E2) *
(Table_VanDon[Ngày lập] &lt; F2)
)),0)</f>
        <v>0</v>
      </c>
      <c r="F17" s="328" cm="1">
        <f t="array" ref="F17">-IFERROR(
SUM(_xlfn._xlws.FILTER(Table_VanDon[Phí ship],
(Table_VanDon[Bên chịu phí] = "Bên bán") *
(Table_VanDon[Ngày lập] &gt;= F2) *
(Table_VanDon[Ngày lập] &lt; G2)
)),0)</f>
        <v>0</v>
      </c>
      <c r="G17" s="328" cm="1">
        <f t="array" ref="G17">-IFERROR(
SUM(_xlfn._xlws.FILTER(Table_VanDon[Phí ship],
(Table_VanDon[Bên chịu phí] = "Bên bán") *
(Table_VanDon[Ngày lập] &gt;= G2) *
(Table_VanDon[Ngày lập] &lt; H2)
)),0)</f>
        <v>0</v>
      </c>
      <c r="H17" s="328" cm="1">
        <f t="array" ref="H17">-IFERROR(
SUM(_xlfn._xlws.FILTER(Table_VanDon[Phí ship],
(Table_VanDon[Bên chịu phí] = "Bên bán") *
(Table_VanDon[Ngày lập] &gt;= H2) *
(Table_VanDon[Ngày lập] &lt; I2)
)),0)</f>
        <v>0</v>
      </c>
      <c r="I17" s="328" cm="1">
        <f t="array" ref="I17">-IFERROR(
SUM(_xlfn._xlws.FILTER(Table_VanDon[Phí ship],
(Table_VanDon[Bên chịu phí] = "Bên bán") *
(Table_VanDon[Ngày lập] &gt;= I2) *
(Table_VanDon[Ngày lập] &lt; J2)
)),0)</f>
        <v>0</v>
      </c>
      <c r="J17" s="328" cm="1">
        <f t="array" ref="J17">-IFERROR(
SUM(_xlfn._xlws.FILTER(Table_VanDon[Phí ship],
(Table_VanDon[Bên chịu phí] = "Bên bán") *
(Table_VanDon[Ngày lập] &gt;= J2) *
(Table_VanDon[Ngày lập] &lt; K2)
)),0)</f>
        <v>0</v>
      </c>
      <c r="K17" s="328" cm="1">
        <f t="array" ref="K17">-IFERROR(
SUM(_xlfn._xlws.FILTER(Table_VanDon[Phí ship],
(Table_VanDon[Bên chịu phí] = "Bên bán") *
(Table_VanDon[Ngày lập] &gt;= K2) *
(Table_VanDon[Ngày lập] &lt; L2)
)),0)</f>
        <v>0</v>
      </c>
      <c r="L17" s="328" cm="1">
        <f t="array" ref="L17">-IFERROR(
SUM(_xlfn._xlws.FILTER(Table_VanDon[Phí ship],
(Table_VanDon[Bên chịu phí] = "Bên bán") *
(Table_VanDon[Ngày lập] &gt;= L2) *
(Table_VanDon[Ngày lập] &lt; M2)
)),0)</f>
        <v>0</v>
      </c>
      <c r="M17" s="328" cm="1">
        <f t="array" ref="M17">-IFERROR(
SUM(_xlfn._xlws.FILTER(Table_VanDon[Phí ship],
(Table_VanDon[Bên chịu phí] = "Bên bán") *
(Table_VanDon[Ngày lập] &gt;= M2) *
(Table_VanDon[Ngày lập] &lt; N2)
)),0)</f>
        <v>0</v>
      </c>
      <c r="N17" s="328" cm="1">
        <f t="array" ref="N17">-IFERROR(
SUM(_xlfn._xlws.FILTER(Table_VanDon[Phí ship],
(Table_VanDon[Bên chịu phí] = "Bên bán") *
(Table_VanDon[Ngày lập] &gt;= N2) *
(Table_VanDon[Ngày lập] &lt; O2)
)),0)</f>
        <v>0</v>
      </c>
      <c r="O17" s="328" cm="1">
        <f t="array" ref="O17">-IFERROR(
SUM(_xlfn._xlws.FILTER(Table_VanDon[Phí ship],
(Table_VanDon[Bên chịu phí] = "Bên bán") *
(Table_VanDon[Ngày lập] &gt;= O2) *
(Table_VanDon[Ngày lập] &lt; P2)
)),0)</f>
        <v>0</v>
      </c>
      <c r="P17" s="323"/>
      <c r="Q17" s="240"/>
      <c r="R17" s="73" t="s">
        <v>290</v>
      </c>
      <c r="S17" s="328" cm="1">
        <f t="array" ref="S17">-IFERROR(
SUM(_xlfn._xlws.FILTER(Table_VanDon[Phí ship],
(Table_VanDon[Bên chịu phí] = "Bên bán") *
(Table_VanDon[Ngày lập] &gt;=  DATE(S$1,1,1)) *
(Table_VanDon[Ngày lập] &lt;  DATE(S$1+1,1,1))
)),0)</f>
        <v>0</v>
      </c>
      <c r="T17" s="240"/>
      <c r="U17" s="73" t="s">
        <v>290</v>
      </c>
      <c r="V17" s="328" cm="1">
        <f t="array" ref="V17">-IFERROR(
SUM(_xlfn._xlws.FILTER(Table_VanDon[Phí ship],
(Table_VanDon[Bên chịu phí] = "Bên bán") *
(Table_VanDon[Ngày lập] &gt;= V$1) *
(Table_VanDon[Ngày lập] &lt;  DATE(YEAR(V$1),MONTH(V$1)+1,1))
)),0)</f>
        <v>0</v>
      </c>
    </row>
    <row r="18" spans="2:22" ht="18" customHeight="1" outlineLevel="1" x14ac:dyDescent="0.3">
      <c r="B18" s="74" t="s">
        <v>84</v>
      </c>
      <c r="C18" s="327">
        <f t="shared" ref="C18:O18" si="6">+C9+C11</f>
        <v>0</v>
      </c>
      <c r="D18" s="327">
        <f t="shared" si="6"/>
        <v>0</v>
      </c>
      <c r="E18" s="327">
        <f t="shared" si="6"/>
        <v>0</v>
      </c>
      <c r="F18" s="327">
        <f t="shared" si="6"/>
        <v>0</v>
      </c>
      <c r="G18" s="327">
        <f t="shared" si="6"/>
        <v>0</v>
      </c>
      <c r="H18" s="327">
        <f t="shared" si="6"/>
        <v>0</v>
      </c>
      <c r="I18" s="327">
        <f t="shared" si="6"/>
        <v>0</v>
      </c>
      <c r="J18" s="327">
        <f t="shared" si="6"/>
        <v>0</v>
      </c>
      <c r="K18" s="327">
        <f t="shared" si="6"/>
        <v>0</v>
      </c>
      <c r="L18" s="327">
        <f t="shared" si="6"/>
        <v>0</v>
      </c>
      <c r="M18" s="327">
        <f t="shared" si="6"/>
        <v>0</v>
      </c>
      <c r="N18" s="327">
        <f t="shared" si="6"/>
        <v>0</v>
      </c>
      <c r="O18" s="327">
        <f t="shared" si="6"/>
        <v>0</v>
      </c>
      <c r="P18" s="323"/>
      <c r="Q18" s="240"/>
      <c r="R18" s="74" t="s">
        <v>84</v>
      </c>
      <c r="S18" s="103">
        <f>+S9+S11</f>
        <v>0</v>
      </c>
      <c r="T18" s="240"/>
      <c r="U18" s="74" t="s">
        <v>84</v>
      </c>
      <c r="V18" s="103">
        <f>+V9+V11</f>
        <v>0</v>
      </c>
    </row>
    <row r="19" spans="2:22" ht="18" customHeight="1" outlineLevel="1" x14ac:dyDescent="0.3">
      <c r="B19" s="99" t="s">
        <v>291</v>
      </c>
      <c r="C19" s="109">
        <f t="shared" ref="C19:O19" si="7">IFERROR(C20/(C20+C11),0)</f>
        <v>0</v>
      </c>
      <c r="D19" s="109">
        <f t="shared" si="7"/>
        <v>0</v>
      </c>
      <c r="E19" s="109">
        <f t="shared" si="7"/>
        <v>0</v>
      </c>
      <c r="F19" s="109">
        <f t="shared" si="7"/>
        <v>0</v>
      </c>
      <c r="G19" s="109">
        <f t="shared" si="7"/>
        <v>0</v>
      </c>
      <c r="H19" s="109">
        <f t="shared" si="7"/>
        <v>0</v>
      </c>
      <c r="I19" s="109">
        <f t="shared" si="7"/>
        <v>0</v>
      </c>
      <c r="J19" s="109">
        <f t="shared" si="7"/>
        <v>0</v>
      </c>
      <c r="K19" s="109">
        <f t="shared" si="7"/>
        <v>0</v>
      </c>
      <c r="L19" s="109">
        <f t="shared" si="7"/>
        <v>0</v>
      </c>
      <c r="M19" s="109">
        <f t="shared" si="7"/>
        <v>0</v>
      </c>
      <c r="N19" s="109">
        <f t="shared" si="7"/>
        <v>0</v>
      </c>
      <c r="O19" s="109">
        <f t="shared" si="7"/>
        <v>0</v>
      </c>
      <c r="P19" s="323"/>
      <c r="Q19" s="240"/>
      <c r="R19" s="99" t="s">
        <v>291</v>
      </c>
      <c r="S19" s="111">
        <f>IFERROR(S20/(S20+S11),0)</f>
        <v>0</v>
      </c>
      <c r="T19" s="240"/>
      <c r="U19" s="99" t="s">
        <v>291</v>
      </c>
      <c r="V19" s="109">
        <f>IFERROR(V20/(V20+V11),0)</f>
        <v>0</v>
      </c>
    </row>
    <row r="20" spans="2:22" ht="18" customHeight="1" outlineLevel="1" x14ac:dyDescent="0.3">
      <c r="B20" s="54" t="s">
        <v>86</v>
      </c>
      <c r="C20" s="322">
        <f t="shared" ref="C20:O20" si="8">+SUM(C21:C29)</f>
        <v>0</v>
      </c>
      <c r="D20" s="322">
        <f t="shared" si="8"/>
        <v>0</v>
      </c>
      <c r="E20" s="322">
        <f t="shared" si="8"/>
        <v>0</v>
      </c>
      <c r="F20" s="322">
        <f t="shared" si="8"/>
        <v>0</v>
      </c>
      <c r="G20" s="322">
        <f t="shared" si="8"/>
        <v>0</v>
      </c>
      <c r="H20" s="322">
        <f t="shared" si="8"/>
        <v>0</v>
      </c>
      <c r="I20" s="322">
        <f t="shared" si="8"/>
        <v>0</v>
      </c>
      <c r="J20" s="322">
        <f t="shared" si="8"/>
        <v>0</v>
      </c>
      <c r="K20" s="322">
        <f t="shared" si="8"/>
        <v>0</v>
      </c>
      <c r="L20" s="322">
        <f t="shared" si="8"/>
        <v>0</v>
      </c>
      <c r="M20" s="322">
        <f t="shared" si="8"/>
        <v>0</v>
      </c>
      <c r="N20" s="322">
        <f t="shared" si="8"/>
        <v>0</v>
      </c>
      <c r="O20" s="322">
        <f t="shared" si="8"/>
        <v>0</v>
      </c>
      <c r="P20" s="323"/>
      <c r="Q20" s="240"/>
      <c r="R20" s="54" t="s">
        <v>86</v>
      </c>
      <c r="S20" s="102">
        <f>+SUM(S21:S29)</f>
        <v>0</v>
      </c>
      <c r="T20" s="240"/>
      <c r="U20" s="54" t="s">
        <v>86</v>
      </c>
      <c r="V20" s="102">
        <f>+SUM(V21:V29)</f>
        <v>0</v>
      </c>
    </row>
    <row r="21" spans="2:22" ht="18" customHeight="1" outlineLevel="2" x14ac:dyDescent="0.3">
      <c r="B21" s="73" t="s">
        <v>292</v>
      </c>
      <c r="C21" s="328" cm="1">
        <f t="array" ref="C21"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1" s="328" cm="1">
        <f t="array" ref="D21">-IFERROR(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1" s="328" cm="1">
        <f t="array" ref="E21">-IFERROR(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1" s="328" cm="1">
        <f t="array" ref="F21">-IFERROR(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1" s="328" cm="1">
        <f t="array" ref="G21">-IFERROR(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1" s="328" cm="1">
        <f t="array" ref="H21">-IFERROR(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1" s="328" cm="1">
        <f t="array" ref="I21">-IFERROR(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1" s="328" cm="1">
        <f t="array" ref="J21">-IFERROR(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1" s="328" cm="1">
        <f t="array" ref="K21">-IFERROR(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1" s="328" cm="1">
        <f t="array" ref="L21">-IFERROR(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1" s="328" cm="1">
        <f t="array" ref="M21">-IFERROR(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1" s="328" cm="1">
        <f t="array" ref="N21">-IFERROR(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1" s="328" cm="1">
        <f t="array" ref="O21">-IFERROR(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1" s="323"/>
      <c r="Q21" s="240"/>
      <c r="R21" s="73" t="s">
        <v>292</v>
      </c>
      <c r="S21" s="328" cm="1">
        <f t="array" ref="S21"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1" s="240"/>
      <c r="U21" s="73" t="s">
        <v>292</v>
      </c>
      <c r="V21" s="328" cm="1">
        <f t="array" ref="V21">-IFERROR(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2" spans="2:22" ht="18" customHeight="1" outlineLevel="2" x14ac:dyDescent="0.3">
      <c r="B22" s="73" t="s">
        <v>293</v>
      </c>
      <c r="C22" s="328" cm="1">
        <f t="array" ref="C22">-IFERROR(
SUM(_xlfn._xlws.FILTER(Table_TonKho[Chi phí ghi nhận],
(Table_TonKho[Năm] = C$2) *
(Table_TonKho[Chức năng] = "Văn phòng")
)),0)
-IFERROR(
SUM(
_xlfn._xlws.FILTER(Table_ChiPhiKD[Giá trị]-Table_ChiPhiKD[Phân bổ sản xuất],
(Table_ChiPhiKD[Năm] = C$2)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2" s="328" cm="1">
        <f t="array" ref="D22">-IFERROR(
SUM(_xlfn._xlws.FILTER(Table_TonKho[Chi phí ghi nhận],
(Table_TonKho[Kỳ] = D$2) *
(Table_TonKho[Chức năng] = "Văn phòng")
)),0)
-IFERROR(
SUM(
_xlfn._xlws.FILTER(Table_ChiPhiKD[Giá trị]-Table_ChiPhiKD[Phân bổ sản xuất],
(Table_ChiPhiKD[Kỳ] = D$2)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DATE(YEAR(D$2),MONTH(D$2)+1,1))*
(Table_ChiPhiKD[Phân bổ đến] &gt; D$2)*
(VLOOKUP(Table_ChiPhiKD[Nhóm chi phí],Table_ChiPhiKD_PhanNhom[],Sheet_ChiPhiKD!$J$2,0) = "Chưa phân bổ" )),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phí],Table_ChiPhiKD_PhanNhom[],Sheet_ChiPhiKD!$J$2,0) = "Chưa phân bổ" ))
), 0)</f>
        <v>0</v>
      </c>
      <c r="E22" s="328" cm="1">
        <f t="array" ref="E22">-IFERROR(
SUM(_xlfn._xlws.FILTER(Table_TonKho[Chi phí ghi nhận],
(Table_TonKho[Kỳ] = E$2) *
(Table_TonKho[Chức năng] = "Văn phòng")
)),0)
-IFERROR(
SUM(
_xlfn._xlws.FILTER(Table_ChiPhiKD[Giá trị]-Table_ChiPhiKD[Phân bổ sản xuất],
(Table_ChiPhiKD[Kỳ] = E$2)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DATE(YEAR(E$2),MONTH(E$2)+1,1))*
(Table_ChiPhiKD[Phân bổ đến] &gt; E$2)*
(VLOOKUP(Table_ChiPhiKD[Nhóm chi phí],Table_ChiPhiKD_PhanNhom[],Sheet_ChiPhiKD!$J$2,0) = "Chưa phân bổ" )),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phí],Table_ChiPhiKD_PhanNhom[],Sheet_ChiPhiKD!$J$2,0) = "Chưa phân bổ" ))
), 0)</f>
        <v>0</v>
      </c>
      <c r="F22" s="328" cm="1">
        <f t="array" ref="F22">-IFERROR(
SUM(_xlfn._xlws.FILTER(Table_TonKho[Chi phí ghi nhận],
(Table_TonKho[Kỳ] = F$2) *
(Table_TonKho[Chức năng] = "Văn phòng")
)),0)
-IFERROR(
SUM(
_xlfn._xlws.FILTER(Table_ChiPhiKD[Giá trị]-Table_ChiPhiKD[Phân bổ sản xuất],
(Table_ChiPhiKD[Kỳ] = F$2)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DATE(YEAR(F$2),MONTH(F$2)+1,1))*
(Table_ChiPhiKD[Phân bổ đến] &gt; F$2)*
(VLOOKUP(Table_ChiPhiKD[Nhóm chi phí],Table_ChiPhiKD_PhanNhom[],Sheet_ChiPhiKD!$J$2,0) = "Chưa phân bổ" )),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phí],Table_ChiPhiKD_PhanNhom[],Sheet_ChiPhiKD!$J$2,0) = "Chưa phân bổ" ))
), 0)</f>
        <v>0</v>
      </c>
      <c r="G22" s="328" cm="1">
        <f t="array" ref="G22">-IFERROR(
SUM(_xlfn._xlws.FILTER(Table_TonKho[Chi phí ghi nhận],
(Table_TonKho[Kỳ] = G$2) *
(Table_TonKho[Chức năng] = "Văn phòng")
)),0)
-IFERROR(
SUM(
_xlfn._xlws.FILTER(Table_ChiPhiKD[Giá trị]-Table_ChiPhiKD[Phân bổ sản xuất],
(Table_ChiPhiKD[Kỳ] = G$2)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DATE(YEAR(G$2),MONTH(G$2)+1,1))*
(Table_ChiPhiKD[Phân bổ đến] &gt; G$2)*
(VLOOKUP(Table_ChiPhiKD[Nhóm chi phí],Table_ChiPhiKD_PhanNhom[],Sheet_ChiPhiKD!$J$2,0) = "Chưa phân bổ" )),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phí],Table_ChiPhiKD_PhanNhom[],Sheet_ChiPhiKD!$J$2,0) = "Chưa phân bổ" ))
), 0)</f>
        <v>0</v>
      </c>
      <c r="H22" s="328" cm="1">
        <f t="array" ref="H22">-IFERROR(
SUM(_xlfn._xlws.FILTER(Table_TonKho[Chi phí ghi nhận],
(Table_TonKho[Kỳ] = H$2) *
(Table_TonKho[Chức năng] = "Văn phòng")
)),0)
-IFERROR(
SUM(
_xlfn._xlws.FILTER(Table_ChiPhiKD[Giá trị]-Table_ChiPhiKD[Phân bổ sản xuất],
(Table_ChiPhiKD[Kỳ] = H$2)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DATE(YEAR(H$2),MONTH(H$2)+1,1))*
(Table_ChiPhiKD[Phân bổ đến] &gt; H$2)*
(VLOOKUP(Table_ChiPhiKD[Nhóm chi phí],Table_ChiPhiKD_PhanNhom[],Sheet_ChiPhiKD!$J$2,0) = "Chưa phân bổ" )),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phí],Table_ChiPhiKD_PhanNhom[],Sheet_ChiPhiKD!$J$2,0) = "Chưa phân bổ" ))
), 0)</f>
        <v>0</v>
      </c>
      <c r="I22" s="328" cm="1">
        <f t="array" ref="I22">-IFERROR(
SUM(_xlfn._xlws.FILTER(Table_TonKho[Chi phí ghi nhận],
(Table_TonKho[Kỳ] = I$2) *
(Table_TonKho[Chức năng] = "Văn phòng")
)),0)
-IFERROR(
SUM(
_xlfn._xlws.FILTER(Table_ChiPhiKD[Giá trị]-Table_ChiPhiKD[Phân bổ sản xuất],
(Table_ChiPhiKD[Kỳ] = I$2)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DATE(YEAR(I$2),MONTH(I$2)+1,1))*
(Table_ChiPhiKD[Phân bổ đến] &gt; I$2)*
(VLOOKUP(Table_ChiPhiKD[Nhóm chi phí],Table_ChiPhiKD_PhanNhom[],Sheet_ChiPhiKD!$J$2,0) = "Chưa phân bổ" )),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phí],Table_ChiPhiKD_PhanNhom[],Sheet_ChiPhiKD!$J$2,0) = "Chưa phân bổ" ))
), 0)</f>
        <v>0</v>
      </c>
      <c r="J22" s="328" cm="1">
        <f t="array" ref="J22">-IFERROR(
SUM(_xlfn._xlws.FILTER(Table_TonKho[Chi phí ghi nhận],
(Table_TonKho[Kỳ] = J$2) *
(Table_TonKho[Chức năng] = "Văn phòng")
)),0)
-IFERROR(
SUM(
_xlfn._xlws.FILTER(Table_ChiPhiKD[Giá trị]-Table_ChiPhiKD[Phân bổ sản xuất],
(Table_ChiPhiKD[Kỳ] = J$2)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DATE(YEAR(J$2),MONTH(J$2)+1,1))*
(Table_ChiPhiKD[Phân bổ đến] &gt; J$2)*
(VLOOKUP(Table_ChiPhiKD[Nhóm chi phí],Table_ChiPhiKD_PhanNhom[],Sheet_ChiPhiKD!$J$2,0) = "Chưa phân bổ" )),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phí],Table_ChiPhiKD_PhanNhom[],Sheet_ChiPhiKD!$J$2,0) = "Chưa phân bổ" ))
), 0)</f>
        <v>0</v>
      </c>
      <c r="K22" s="328" cm="1">
        <f t="array" ref="K22">-IFERROR(
SUM(_xlfn._xlws.FILTER(Table_TonKho[Chi phí ghi nhận],
(Table_TonKho[Kỳ] = K$2) *
(Table_TonKho[Chức năng] = "Văn phòng")
)),0)
-IFERROR(
SUM(
_xlfn._xlws.FILTER(Table_ChiPhiKD[Giá trị]-Table_ChiPhiKD[Phân bổ sản xuất],
(Table_ChiPhiKD[Kỳ] = K$2)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DATE(YEAR(K$2),MONTH(K$2)+1,1))*
(Table_ChiPhiKD[Phân bổ đến] &gt; K$2)*
(VLOOKUP(Table_ChiPhiKD[Nhóm chi phí],Table_ChiPhiKD_PhanNhom[],Sheet_ChiPhiKD!$J$2,0) = "Chưa phân bổ" )),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phí],Table_ChiPhiKD_PhanNhom[],Sheet_ChiPhiKD!$J$2,0) = "Chưa phân bổ" ))
), 0)</f>
        <v>0</v>
      </c>
      <c r="L22" s="328" cm="1">
        <f t="array" ref="L22">-IFERROR(
SUM(_xlfn._xlws.FILTER(Table_TonKho[Chi phí ghi nhận],
(Table_TonKho[Kỳ] = L$2) *
(Table_TonKho[Chức năng] = "Văn phòng")
)),0)
-IFERROR(
SUM(
_xlfn._xlws.FILTER(Table_ChiPhiKD[Giá trị]-Table_ChiPhiKD[Phân bổ sản xuất],
(Table_ChiPhiKD[Kỳ] = L$2)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DATE(YEAR(L$2),MONTH(L$2)+1,1))*
(Table_ChiPhiKD[Phân bổ đến] &gt; L$2)*
(VLOOKUP(Table_ChiPhiKD[Nhóm chi phí],Table_ChiPhiKD_PhanNhom[],Sheet_ChiPhiKD!$J$2,0) = "Chưa phân bổ" )),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phí],Table_ChiPhiKD_PhanNhom[],Sheet_ChiPhiKD!$J$2,0) = "Chưa phân bổ" ))
), 0)</f>
        <v>0</v>
      </c>
      <c r="M22" s="328" cm="1">
        <f t="array" ref="M22">-IFERROR(
SUM(_xlfn._xlws.FILTER(Table_TonKho[Chi phí ghi nhận],
(Table_TonKho[Kỳ] = M$2) *
(Table_TonKho[Chức năng] = "Văn phòng")
)),0)
-IFERROR(
SUM(
_xlfn._xlws.FILTER(Table_ChiPhiKD[Giá trị]-Table_ChiPhiKD[Phân bổ sản xuất],
(Table_ChiPhiKD[Kỳ] = M$2)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DATE(YEAR(M$2),MONTH(M$2)+1,1))*
(Table_ChiPhiKD[Phân bổ đến] &gt; M$2)*
(VLOOKUP(Table_ChiPhiKD[Nhóm chi phí],Table_ChiPhiKD_PhanNhom[],Sheet_ChiPhiKD!$J$2,0) = "Chưa phân bổ" )),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phí],Table_ChiPhiKD_PhanNhom[],Sheet_ChiPhiKD!$J$2,0) = "Chưa phân bổ" ))
), 0)</f>
        <v>0</v>
      </c>
      <c r="N22" s="328" cm="1">
        <f t="array" ref="N22">-IFERROR(
SUM(_xlfn._xlws.FILTER(Table_TonKho[Chi phí ghi nhận],
(Table_TonKho[Kỳ] = N$2) *
(Table_TonKho[Chức năng] = "Văn phòng")
)),0)
-IFERROR(
SUM(
_xlfn._xlws.FILTER(Table_ChiPhiKD[Giá trị]-Table_ChiPhiKD[Phân bổ sản xuất],
(Table_ChiPhiKD[Kỳ] = N$2)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DATE(YEAR(N$2),MONTH(N$2)+1,1))*
(Table_ChiPhiKD[Phân bổ đến] &gt; N$2)*
(VLOOKUP(Table_ChiPhiKD[Nhóm chi phí],Table_ChiPhiKD_PhanNhom[],Sheet_ChiPhiKD!$J$2,0) = "Chưa phân bổ" )),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phí],Table_ChiPhiKD_PhanNhom[],Sheet_ChiPhiKD!$J$2,0) = "Chưa phân bổ" ))
), 0)</f>
        <v>0</v>
      </c>
      <c r="O22" s="328" cm="1">
        <f t="array" ref="O22">-IFERROR(
SUM(_xlfn._xlws.FILTER(Table_TonKho[Chi phí ghi nhận],
(Table_TonKho[Kỳ] = O$2) *
(Table_TonKho[Chức năng] = "Văn phòng")
)),0)
-IFERROR(
SUM(
_xlfn._xlws.FILTER(Table_ChiPhiKD[Giá trị]-Table_ChiPhiKD[Phân bổ sản xuất],
(Table_ChiPhiKD[Kỳ] = O$2)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DATE(YEAR(O$2),MONTH(O$2)+1,1))*
(Table_ChiPhiKD[Phân bổ đến] &gt; O$2)*
(VLOOKUP(Table_ChiPhiKD[Nhóm chi phí],Table_ChiPhiKD_PhanNhom[],Sheet_ChiPhiKD!$J$2,0) = "Chưa phân bổ" )),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phí],Table_ChiPhiKD_PhanNhom[],Sheet_ChiPhiKD!$J$2,0) = "Chưa phân bổ" ))
), 0)</f>
        <v>0</v>
      </c>
      <c r="P22" s="323"/>
      <c r="Q22" s="240"/>
      <c r="R22" s="73" t="s">
        <v>293</v>
      </c>
      <c r="S22" s="328" cm="1">
        <f t="array" ref="S22">-IFERROR(
SUM(_xlfn._xlws.FILTER(Table_TonKho[Chi phí ghi nhận],
(Table_TonKho[Năm] = S$1) *
(Table_TonKho[Chức năng] = "Văn phòng")
)),0)
-IFERROR(
SUM(
_xlfn._xlws.FILTER(Table_ChiPhiKD[Giá trị]-Table_ChiPhiKD[Phân bổ sản xuất],
(Table_ChiPhiKD[Năm] = S$1)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2" s="240"/>
      <c r="U22" s="73" t="s">
        <v>293</v>
      </c>
      <c r="V22" s="328" cm="1">
        <f t="array" ref="V22">-IFERROR(
SUM(_xlfn._xlws.FILTER(Table_TonKho[Chi phí ghi nhận],
(Table_TonKho[Kỳ] = V$1) *
(Table_TonKho[Chức năng] = "Văn phòng")
)),0)
-IFERROR(
SUM(
_xlfn._xlws.FILTER(Table_ChiPhiKD[Giá trị]-Table_ChiPhiKD[Phân bổ sản xuất],
(Table_ChiPhiKD[Kỳ] = V$1)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DATE(YEAR(V$1),MONTH(V$1)+1,1))*
(Table_ChiPhiKD[Phân bổ đến] &gt; V$1)*
(VLOOKUP(Table_ChiPhiKD[Nhóm chi phí],Table_ChiPhiKD_PhanNhom[],Sheet_ChiPhiKD!$J$2,0) = "Chưa phân bổ" )),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phí],Table_ChiPhiKD_PhanNhom[],Sheet_ChiPhiKD!$J$2,0) = "Chưa phân bổ" ))
), 0)</f>
        <v>0</v>
      </c>
    </row>
    <row r="23" spans="2:22" ht="18" customHeight="1" outlineLevel="2" x14ac:dyDescent="0.3">
      <c r="B23" s="73" t="s">
        <v>353</v>
      </c>
      <c r="C23" s="328" cm="1">
        <f t="array" ref="C23"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3" s="330" cm="1">
        <f t="array" ref="D23"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3" s="330" cm="1">
        <f t="array" ref="E23"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3" s="330" cm="1">
        <f t="array" ref="F23"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3" s="330" cm="1">
        <f t="array" ref="G23"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3" s="330" cm="1">
        <f t="array" ref="H23"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3" s="330" cm="1">
        <f t="array" ref="I23"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3" s="330" cm="1">
        <f t="array" ref="J23"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3" s="330" cm="1">
        <f t="array" ref="K23"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3" s="330" cm="1">
        <f t="array" ref="L23"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3" s="330" cm="1">
        <f t="array" ref="M23"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3" s="330" cm="1">
        <f t="array" ref="N23"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3" s="330" cm="1">
        <f t="array" ref="O23"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3" s="323"/>
      <c r="Q23" s="240"/>
      <c r="R23" s="73" t="s">
        <v>353</v>
      </c>
      <c r="S23" s="328" cm="1">
        <f t="array" ref="S23"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3" s="240"/>
      <c r="U23" s="73" t="s">
        <v>353</v>
      </c>
      <c r="V23" s="330" cm="1">
        <f t="array" ref="V23"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4" spans="2:22" ht="18" customHeight="1" outlineLevel="2" x14ac:dyDescent="0.3">
      <c r="B24" s="73" t="s">
        <v>294</v>
      </c>
      <c r="C24" s="328" cm="1">
        <f t="array" ref="C24"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4" s="328" cm="1">
        <f t="array" ref="D24"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4" s="328" cm="1">
        <f t="array" ref="E24"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4" s="328" cm="1">
        <f t="array" ref="F24"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4" s="328" cm="1">
        <f t="array" ref="G24"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4" s="328" cm="1">
        <f t="array" ref="H24"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4" s="328" cm="1">
        <f t="array" ref="I24"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4" s="328" cm="1">
        <f t="array" ref="J24"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4" s="328" cm="1">
        <f t="array" ref="K24"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4" s="328" cm="1">
        <f t="array" ref="L24"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4" s="328" cm="1">
        <f t="array" ref="M24"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4" s="328" cm="1">
        <f t="array" ref="N24"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4" s="328" cm="1">
        <f t="array" ref="O24"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4" s="323"/>
      <c r="Q24" s="240"/>
      <c r="R24" s="73" t="s">
        <v>294</v>
      </c>
      <c r="S24" s="328" cm="1">
        <f t="array" ref="S24"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4" s="240"/>
      <c r="U24" s="73" t="s">
        <v>294</v>
      </c>
      <c r="V24" s="328" cm="1">
        <f t="array" ref="V24"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5" spans="2:22" ht="18" customHeight="1" outlineLevel="2" x14ac:dyDescent="0.3">
      <c r="B25" s="73" t="s">
        <v>295</v>
      </c>
      <c r="C25" s="328" cm="1">
        <f t="array" ref="C25">-IFERROR(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5" s="328" cm="1">
        <f t="array" ref="D25">-IFERROR(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5" s="328" cm="1">
        <f t="array" ref="E25">-IFERROR(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5" s="328" cm="1">
        <f t="array" ref="F25">-IFERROR(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5" s="328" cm="1">
        <f t="array" ref="G25">-IFERROR(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5" s="328" cm="1">
        <f t="array" ref="H25">-IFERROR(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5" s="328" cm="1">
        <f t="array" ref="I25">-IFERROR(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5" s="328" cm="1">
        <f t="array" ref="J25">-IFERROR(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5" s="328" cm="1">
        <f t="array" ref="K25">-IFERROR(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5" s="328" cm="1">
        <f t="array" ref="L25">-IFERROR(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5" s="328" cm="1">
        <f t="array" ref="M25">-IFERROR(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5" s="328" cm="1">
        <f t="array" ref="N25">-IFERROR(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5" s="328" cm="1">
        <f t="array" ref="O25">-IFERROR(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5" s="324"/>
      <c r="Q25" s="240"/>
      <c r="R25" s="73" t="s">
        <v>295</v>
      </c>
      <c r="S25" s="328" cm="1">
        <f t="array" ref="S25">-IFERROR(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5" s="240"/>
      <c r="U25" s="73" t="s">
        <v>295</v>
      </c>
      <c r="V25" s="328" cm="1">
        <f t="array" ref="V25">-IFERROR(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6" spans="2:22" ht="18" customHeight="1" outlineLevel="2" x14ac:dyDescent="0.3">
      <c r="B26" s="73" t="s">
        <v>296</v>
      </c>
      <c r="C26" s="328" cm="1">
        <f t="array" ref="C26">-IFERROR(SUM(_xlfn._xlws.FILTER(Table_TSCD_KhauHao[Khấu hao],
(Table_TSCD_KhauHao[Năm] = C$2))),0)</f>
        <v>0</v>
      </c>
      <c r="D26" s="328" cm="1">
        <f t="array" ref="D26">-IFERROR(SUM(_xlfn._xlws.FILTER(Table_TSCD_KhauHao[Khấu hao],
(Table_TSCD_KhauHao[Kỳ] = D$2))),0)</f>
        <v>0</v>
      </c>
      <c r="E26" s="328" cm="1">
        <f t="array" ref="E26">-IFERROR(SUM(_xlfn._xlws.FILTER(Table_TSCD_KhauHao[Khấu hao],
(Table_TSCD_KhauHao[Kỳ] = E$2))),0)</f>
        <v>0</v>
      </c>
      <c r="F26" s="328" cm="1">
        <f t="array" ref="F26">-IFERROR(SUM(_xlfn._xlws.FILTER(Table_TSCD_KhauHao[Khấu hao],
(Table_TSCD_KhauHao[Kỳ] = F$2))),0)</f>
        <v>0</v>
      </c>
      <c r="G26" s="328" cm="1">
        <f t="array" ref="G26">-IFERROR(SUM(_xlfn._xlws.FILTER(Table_TSCD_KhauHao[Khấu hao],
(Table_TSCD_KhauHao[Kỳ] = G$2))),0)</f>
        <v>0</v>
      </c>
      <c r="H26" s="328" cm="1">
        <f t="array" ref="H26">-IFERROR(SUM(_xlfn._xlws.FILTER(Table_TSCD_KhauHao[Khấu hao],
(Table_TSCD_KhauHao[Kỳ] = H$2))),0)</f>
        <v>0</v>
      </c>
      <c r="I26" s="328" cm="1">
        <f t="array" ref="I26">-IFERROR(SUM(_xlfn._xlws.FILTER(Table_TSCD_KhauHao[Khấu hao],
(Table_TSCD_KhauHao[Kỳ] = I$2))),0)</f>
        <v>0</v>
      </c>
      <c r="J26" s="328" cm="1">
        <f t="array" ref="J26">-IFERROR(SUM(_xlfn._xlws.FILTER(Table_TSCD_KhauHao[Khấu hao],
(Table_TSCD_KhauHao[Kỳ] = J$2))),0)</f>
        <v>0</v>
      </c>
      <c r="K26" s="328" cm="1">
        <f t="array" ref="K26">-IFERROR(SUM(_xlfn._xlws.FILTER(Table_TSCD_KhauHao[Khấu hao],
(Table_TSCD_KhauHao[Kỳ] = K$2))),0)</f>
        <v>0</v>
      </c>
      <c r="L26" s="328" cm="1">
        <f t="array" ref="L26">-IFERROR(SUM(_xlfn._xlws.FILTER(Table_TSCD_KhauHao[Khấu hao],
(Table_TSCD_KhauHao[Kỳ] = L$2))),0)</f>
        <v>0</v>
      </c>
      <c r="M26" s="328" cm="1">
        <f t="array" ref="M26">-IFERROR(SUM(_xlfn._xlws.FILTER(Table_TSCD_KhauHao[Khấu hao],
(Table_TSCD_KhauHao[Kỳ] = M$2))),0)</f>
        <v>0</v>
      </c>
      <c r="N26" s="328" cm="1">
        <f t="array" ref="N26">-IFERROR(SUM(_xlfn._xlws.FILTER(Table_TSCD_KhauHao[Khấu hao],
(Table_TSCD_KhauHao[Kỳ] = N$2))),0)</f>
        <v>0</v>
      </c>
      <c r="O26" s="328" cm="1">
        <f t="array" ref="O26">-IFERROR(SUM(_xlfn._xlws.FILTER(Table_TSCD_KhauHao[Khấu hao],
(Table_TSCD_KhauHao[Kỳ] = O$2))),0)</f>
        <v>0</v>
      </c>
      <c r="P26" s="323"/>
      <c r="Q26" s="240"/>
      <c r="R26" s="73" t="s">
        <v>296</v>
      </c>
      <c r="S26" s="328" cm="1">
        <f t="array" ref="S26">-IFERROR(SUM(_xlfn._xlws.FILTER(Table_TSCD_KhauHao[Khấu hao],
(Table_TSCD_KhauHao[Năm] = S$1))),0)</f>
        <v>0</v>
      </c>
      <c r="T26" s="240"/>
      <c r="U26" s="73" t="s">
        <v>296</v>
      </c>
      <c r="V26" s="328" cm="1">
        <f t="array" ref="V26">-IFERROR(SUM(_xlfn._xlws.FILTER(Table_TSCD_KhauHao[Khấu hao],
(Table_TSCD_KhauHao[Kỳ] = V$1))),0)</f>
        <v>0</v>
      </c>
    </row>
    <row r="27" spans="2:22" ht="18" customHeight="1" outlineLevel="2" x14ac:dyDescent="0.3">
      <c r="B27" s="73" t="s">
        <v>297</v>
      </c>
      <c r="C27" s="328" cm="1">
        <f t="array" ref="C27">-IFERROR(
SUM(_xlfn._xlws.FILTER(Table_VayNo_LichTra[Lãi vay],
(Table_VayNo_LichTra[Năm] = C$2)
)),0)</f>
        <v>0</v>
      </c>
      <c r="D27" s="328" cm="1">
        <f t="array" ref="D27"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7" s="328" cm="1">
        <f t="array" ref="E27"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7" s="328" cm="1">
        <f t="array" ref="F27"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7" s="328" cm="1">
        <f t="array" ref="G27"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7" s="328" cm="1">
        <f t="array" ref="H27"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7" s="328" cm="1">
        <f t="array" ref="I27"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7" s="328" cm="1">
        <f t="array" ref="J27"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7" s="328" cm="1">
        <f t="array" ref="K27"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7" s="328" cm="1">
        <f t="array" ref="L27"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7" s="328" cm="1">
        <f t="array" ref="M27"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7" s="328" cm="1">
        <f t="array" ref="N27"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7" s="328" cm="1">
        <f t="array" ref="O27"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7" s="323"/>
      <c r="Q27" s="240"/>
      <c r="R27" s="73" t="s">
        <v>297</v>
      </c>
      <c r="S27" s="328" cm="1">
        <f t="array" ref="S27">-IFERROR(
SUM(_xlfn._xlws.FILTER(Table_VayNo_LichTra[Lãi vay],
(Table_VayNo_LichTra[Năm] = S$1)
)),0)</f>
        <v>0</v>
      </c>
      <c r="T27" s="240"/>
      <c r="U27" s="73" t="s">
        <v>297</v>
      </c>
      <c r="V27" s="328" cm="1">
        <f t="array" ref="V27"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8" spans="2:22" ht="18" customHeight="1" outlineLevel="2" x14ac:dyDescent="0.3">
      <c r="B28" s="73" t="s">
        <v>299</v>
      </c>
      <c r="C28" s="328" cm="1">
        <f t="array" ref="C28"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8" s="330" cm="1">
        <f t="array" ref="D28">-IFERROR(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8" s="330" cm="1">
        <f t="array" ref="E28">-IFERROR(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8" s="330" cm="1">
        <f t="array" ref="F28">-IFERROR(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8" s="330" cm="1">
        <f t="array" ref="G28">-IFERROR(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8" s="330" cm="1">
        <f t="array" ref="H28">-IFERROR(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8" s="330" cm="1">
        <f t="array" ref="I28">-IFERROR(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8" s="330" cm="1">
        <f t="array" ref="J28">-IFERROR(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8" s="330" cm="1">
        <f t="array" ref="K28">-IFERROR(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8" s="330" cm="1">
        <f t="array" ref="L28">-IFERROR(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8" s="330" cm="1">
        <f t="array" ref="M28">-IFERROR(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8" s="330" cm="1">
        <f t="array" ref="N28">-IFERROR(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8" s="330" cm="1">
        <f t="array" ref="O28">-IFERROR(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8" s="323"/>
      <c r="Q28" s="240"/>
      <c r="R28" s="73" t="s">
        <v>299</v>
      </c>
      <c r="S28" s="328" cm="1">
        <f t="array" ref="S28"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8" s="240"/>
      <c r="U28" s="73" t="s">
        <v>299</v>
      </c>
      <c r="V28" s="330" cm="1">
        <f t="array" ref="V28">-IFERROR(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29" spans="2:22" ht="18" customHeight="1" outlineLevel="2" x14ac:dyDescent="0.3">
      <c r="B29" s="73" t="s">
        <v>298</v>
      </c>
      <c r="C29" s="328" cm="1">
        <f t="array" ref="C29"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29" s="328" cm="1">
        <f t="array" ref="D29">-IFERROR(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29" s="328" cm="1">
        <f t="array" ref="E29">-IFERROR(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29" s="328" cm="1">
        <f t="array" ref="F29">-IFERROR(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29" s="328" cm="1">
        <f t="array" ref="G29">-IFERROR(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29" s="328" cm="1">
        <f t="array" ref="H29">-IFERROR(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29" s="328" cm="1">
        <f t="array" ref="I29">-IFERROR(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29" s="328" cm="1">
        <f t="array" ref="J29">-IFERROR(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29" s="328" cm="1">
        <f t="array" ref="K29">-IFERROR(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29" s="328" cm="1">
        <f t="array" ref="L29">-IFERROR(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29" s="328" cm="1">
        <f t="array" ref="M29">-IFERROR(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29" s="328" cm="1">
        <f t="array" ref="N29">-IFERROR(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29" s="328" cm="1">
        <f t="array" ref="O29">-IFERROR(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29" s="323"/>
      <c r="Q29" s="240"/>
      <c r="R29" s="73" t="s">
        <v>298</v>
      </c>
      <c r="S29" s="328" cm="1">
        <f t="array" ref="S29"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29" s="240"/>
      <c r="U29" s="73" t="s">
        <v>298</v>
      </c>
      <c r="V29" s="328" cm="1">
        <f t="array" ref="V29">-IFERROR(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0" spans="2:22" ht="18" customHeight="1" outlineLevel="1" x14ac:dyDescent="0.3">
      <c r="B30" s="87" t="s">
        <v>300</v>
      </c>
      <c r="C30" s="331">
        <f t="shared" ref="C30:O30" si="9">+C18+C20</f>
        <v>0</v>
      </c>
      <c r="D30" s="331">
        <f t="shared" si="9"/>
        <v>0</v>
      </c>
      <c r="E30" s="331">
        <f t="shared" si="9"/>
        <v>0</v>
      </c>
      <c r="F30" s="331">
        <f t="shared" si="9"/>
        <v>0</v>
      </c>
      <c r="G30" s="331">
        <f t="shared" si="9"/>
        <v>0</v>
      </c>
      <c r="H30" s="331">
        <f t="shared" si="9"/>
        <v>0</v>
      </c>
      <c r="I30" s="331">
        <f t="shared" si="9"/>
        <v>0</v>
      </c>
      <c r="J30" s="331">
        <f t="shared" si="9"/>
        <v>0</v>
      </c>
      <c r="K30" s="331">
        <f t="shared" si="9"/>
        <v>0</v>
      </c>
      <c r="L30" s="331">
        <f t="shared" si="9"/>
        <v>0</v>
      </c>
      <c r="M30" s="331">
        <f t="shared" si="9"/>
        <v>0</v>
      </c>
      <c r="N30" s="331">
        <f t="shared" si="9"/>
        <v>0</v>
      </c>
      <c r="O30" s="331">
        <f t="shared" si="9"/>
        <v>0</v>
      </c>
      <c r="P30" s="323"/>
      <c r="Q30" s="240"/>
      <c r="R30" s="87" t="s">
        <v>300</v>
      </c>
      <c r="S30" s="104">
        <f>+S18+S20</f>
        <v>0</v>
      </c>
      <c r="T30" s="240"/>
      <c r="U30" s="87" t="s">
        <v>300</v>
      </c>
      <c r="V30" s="104">
        <f>+V18+V20</f>
        <v>0</v>
      </c>
    </row>
    <row r="31" spans="2:22" ht="18" customHeight="1" outlineLevel="1" x14ac:dyDescent="0.3">
      <c r="B31" s="87" t="s">
        <v>301</v>
      </c>
      <c r="C31" s="128">
        <f>C30/(-(C12+C13+C21+C22+C23+C24+C25+C27+C28+C29) +
(
+ IFERROR(HLOOKUP(C$2,Table_BCTC_Nam[],Sheet_BaoCaoTaiChinh!$A$92,0),Sheet_BaoCaoTaiChinh!$D$92)
+ IFERROR(HLOOKUP(C$2,Table_BCTC_Nam[],Sheet_BaoCaoTaiChinh!$A$83,0),Sheet_BaoCaoTaiChinh!$D$83)
+ IFERROR(HLOOKUP(C$2,Table_BCTC_Nam[],Sheet_BaoCaoTaiChinh!$A$77,0),Sheet_BaoCaoTaiChinh!$D$77)
+ IFERROR(HLOOKUP(C$2,Table_BCTC_Nam[],Sheet_BaoCaoTaiChinh!$A$78,0),Sheet_BaoCaoTaiChinh!$D$78)
+ IFERROR(HLOOKUP(C$2,Table_BCTC_Nam[],Sheet_BaoCaoTaiChinh!$A$79,0),Sheet_BaoCaoTaiChinh!$D$79)
+ IFERROR(HLOOKUP(C$2,Table_BCTC_Nam[],Sheet_BaoCaoTaiChinh!$A$88,0),Sheet_BaoCaoTaiChinh!$D$88)
+ IFERROR(HLOOKUP(C$2,Table_BCTC_Nam[],Sheet_BaoCaoTaiChinh!$A$89,0),Sheet_BaoCaoTaiChinh!$D$89)
+ IFERROR(HLOOKUP(C$2,Table_BCTC_Nam[],Sheet_BaoCaoTaiChinh!$A$90,0),Sheet_BaoCaoTaiChinh!$D$90)
+ IFERROR(HLOOKUP(C$2-1,Table_BCTC_Nam[],Sheet_BaoCaoTaiChinh!$A$92,0),Sheet_BaoCaoTaiChinh!$D$92)
+ IFERROR(HLOOKUP(C$2-1,Table_BCTC_Nam[],Sheet_BaoCaoTaiChinh!$A$83,0),Sheet_BaoCaoTaiChinh!$D$83)
+ IFERROR(HLOOKUP(C$2-1,Table_BCTC_Nam[],Sheet_BaoCaoTaiChinh!$A$77,0),Sheet_BaoCaoTaiChinh!$D$77)
+ IFERROR(HLOOKUP(C$2-1,Table_BCTC_Nam[],Sheet_BaoCaoTaiChinh!$A$78,0),Sheet_BaoCaoTaiChinh!$D$78)
+ IFERROR(HLOOKUP(C$2-1,Table_BCTC_Nam[],Sheet_BaoCaoTaiChinh!$A$79,0),Sheet_BaoCaoTaiChinh!$D$79)
+ IFERROR(HLOOKUP(C$2-1,Table_BCTC_Nam[],Sheet_BaoCaoTaiChinh!$A$88,0),Sheet_BaoCaoTaiChinh!$D$88)
+ IFERROR(HLOOKUP(C$2-1,Table_BCTC_Nam[],Sheet_BaoCaoTaiChinh!$A$89,0),Sheet_BaoCaoTaiChinh!$D$89)
+ IFERROR(HLOOKUP(C$2-1,Table_BCTC_Nam[],Sheet_BaoCaoTaiChinh!$A$90,0),Sheet_BaoCaoTaiChinh!$D$90)
)/2)</f>
        <v>0</v>
      </c>
      <c r="D31" s="128">
        <f>D30/(-(D12+D13+D21+D22+D23+D24+D25+D27+D28+D29)+
((
+ IFERROR(HLOOKUP(D$2,Table_BCTC_Thang[],Sheet_BaoCaoTaiChinh!$A$92,0),Sheet_BaoCaoTaiChinh!$D$92)
+ IFERROR(HLOOKUP(D$2,Table_BCTC_Thang[],Sheet_BaoCaoTaiChinh!$A$83,0),Sheet_BaoCaoTaiChinh!$D$83)
+ IFERROR(HLOOKUP(D$2,Table_BCTC_Thang[],Sheet_BaoCaoTaiChinh!$A$77,0),Sheet_BaoCaoTaiChinh!$D$77)
+ IFERROR(HLOOKUP(D$2,Table_BCTC_Thang[],Sheet_BaoCaoTaiChinh!$A$78,0),Sheet_BaoCaoTaiChinh!$D$78)
+ IFERROR(HLOOKUP(D$2,Table_BCTC_Thang[],Sheet_BaoCaoTaiChinh!$A$79,0),Sheet_BaoCaoTaiChinh!$D$79)
+ IFERROR(HLOOKUP(D$2,Table_BCTC_Thang[],Sheet_BaoCaoTaiChinh!$A$88,0),Sheet_BaoCaoTaiChinh!$D$88)
+ IFERROR(HLOOKUP(D$2,Table_BCTC_Thang[],Sheet_BaoCaoTaiChinh!$A$89,0),Sheet_BaoCaoTaiChinh!$D$89)
+ IFERROR(HLOOKUP(D$2,Table_BCTC_Thang[],Sheet_BaoCaoTaiChinh!$A$90,0),Sheet_BaoCaoTaiChinh!$D$90)
+ IFERROR(HLOOKUP(DATE(YEAR(D$2),MONTH(D$2)-1,1),Table_BCTC_Thang[],Sheet_BaoCaoTaiChinh!$A$92,0),Sheet_BaoCaoTaiChinh!$D$92)
+ IFERROR(HLOOKUP(DATE(YEAR(D$2),MONTH(D$2)-1,1),Table_BCTC_Nam[],Sheet_BaoCaoTaiChinh!$A$83,0),Sheet_BaoCaoTaiChinh!$D$83)
+ IFERROR(HLOOKUP(DATE(YEAR(D$2),MONTH(D$2)-1,1),Table_BCTC_Nam[],Sheet_BaoCaoTaiChinh!$A$77,0),Sheet_BaoCaoTaiChinh!$D$77)
+ IFERROR(HLOOKUP(DATE(YEAR(D$2),MONTH(D$2)-1,1),Table_BCTC_Nam[],Sheet_BaoCaoTaiChinh!$A$78,0),Sheet_BaoCaoTaiChinh!$D$78)
+ IFERROR(HLOOKUP(DATE(YEAR(D$2),MONTH(D$2)-1,1),Table_BCTC_Nam[],Sheet_BaoCaoTaiChinh!$A$79,0),Sheet_BaoCaoTaiChinh!$D$79)
+ IFERROR(HLOOKUP(DATE(YEAR(D$2),MONTH(D$2)-1,1),Table_BCTC_Nam[],Sheet_BaoCaoTaiChinh!$A$88,0),Sheet_BaoCaoTaiChinh!$D$88)
+ IFERROR(HLOOKUP(DATE(YEAR(D$2),MONTH(D$2)-1,1),Table_BCTC_Nam[],Sheet_BaoCaoTaiChinh!$A$89,0),Sheet_BaoCaoTaiChinh!$D$89)
+ IFERROR(HLOOKUP(DATE(YEAR(D$2),MONTH(D$2)-1,1),Table_BCTC_Nam[],Sheet_BaoCaoTaiChinh!$A$90,0),Sheet_BaoCaoTaiChinh!$D$90)
)/2))</f>
        <v>0</v>
      </c>
      <c r="E31" s="128">
        <f>E30/(-(E12+E13+E21+E22+E23+E24+E25+E27+E28+E29)+
((
+ IFERROR(HLOOKUP(E$2,Table_BCTC_Thang[],Sheet_BaoCaoTaiChinh!$A$92,0),Sheet_BaoCaoTaiChinh!$D$92)
+ IFERROR(HLOOKUP(E$2,Table_BCTC_Thang[],Sheet_BaoCaoTaiChinh!$A$83,0),Sheet_BaoCaoTaiChinh!$D$83)
+ IFERROR(HLOOKUP(E$2,Table_BCTC_Thang[],Sheet_BaoCaoTaiChinh!$A$77,0),Sheet_BaoCaoTaiChinh!$D$77)
+ IFERROR(HLOOKUP(E$2,Table_BCTC_Thang[],Sheet_BaoCaoTaiChinh!$A$78,0),Sheet_BaoCaoTaiChinh!$D$78)
+ IFERROR(HLOOKUP(E$2,Table_BCTC_Thang[],Sheet_BaoCaoTaiChinh!$A$79,0),Sheet_BaoCaoTaiChinh!$D$79)
+ IFERROR(HLOOKUP(E$2,Table_BCTC_Thang[],Sheet_BaoCaoTaiChinh!$A$88,0),Sheet_BaoCaoTaiChinh!$D$88)
+ IFERROR(HLOOKUP(E$2,Table_BCTC_Thang[],Sheet_BaoCaoTaiChinh!$A$89,0),Sheet_BaoCaoTaiChinh!$D$89)
+ IFERROR(HLOOKUP(E$2,Table_BCTC_Thang[],Sheet_BaoCaoTaiChinh!$A$90,0),Sheet_BaoCaoTaiChinh!$D$90)
+ IFERROR(HLOOKUP(DATE(YEAR(E$2),MONTH(E$2)-1,1),Table_BCTC_Thang[],Sheet_BaoCaoTaiChinh!$A$92,0),Sheet_BaoCaoTaiChinh!$D$92)
+ IFERROR(HLOOKUP(DATE(YEAR(E$2),MONTH(E$2)-1,1),Table_BCTC_Nam[],Sheet_BaoCaoTaiChinh!$A$83,0),Sheet_BaoCaoTaiChinh!$D$83)
+ IFERROR(HLOOKUP(DATE(YEAR(E$2),MONTH(E$2)-1,1),Table_BCTC_Nam[],Sheet_BaoCaoTaiChinh!$A$77,0),Sheet_BaoCaoTaiChinh!$D$77)
+ IFERROR(HLOOKUP(DATE(YEAR(E$2),MONTH(E$2)-1,1),Table_BCTC_Nam[],Sheet_BaoCaoTaiChinh!$A$78,0),Sheet_BaoCaoTaiChinh!$D$78)
+ IFERROR(HLOOKUP(DATE(YEAR(E$2),MONTH(E$2)-1,1),Table_BCTC_Nam[],Sheet_BaoCaoTaiChinh!$A$79,0),Sheet_BaoCaoTaiChinh!$D$79)
+ IFERROR(HLOOKUP(DATE(YEAR(E$2),MONTH(E$2)-1,1),Table_BCTC_Nam[],Sheet_BaoCaoTaiChinh!$A$88,0),Sheet_BaoCaoTaiChinh!$D$88)
+ IFERROR(HLOOKUP(DATE(YEAR(E$2),MONTH(E$2)-1,1),Table_BCTC_Nam[],Sheet_BaoCaoTaiChinh!$A$89,0),Sheet_BaoCaoTaiChinh!$D$89)
+ IFERROR(HLOOKUP(DATE(YEAR(E$2),MONTH(E$2)-1,1),Table_BCTC_Nam[],Sheet_BaoCaoTaiChinh!$A$90,0),Sheet_BaoCaoTaiChinh!$D$90)
)/2))</f>
        <v>0</v>
      </c>
      <c r="F31" s="128">
        <f>F30/(-(F12+F13+F21+F22+F23+F24+F25+F27+F28+F29)+
((
+ IFERROR(HLOOKUP(F$2,Table_BCTC_Thang[],Sheet_BaoCaoTaiChinh!$A$92,0),Sheet_BaoCaoTaiChinh!$D$92)
+ IFERROR(HLOOKUP(F$2,Table_BCTC_Thang[],Sheet_BaoCaoTaiChinh!$A$83,0),Sheet_BaoCaoTaiChinh!$D$83)
+ IFERROR(HLOOKUP(F$2,Table_BCTC_Thang[],Sheet_BaoCaoTaiChinh!$A$77,0),Sheet_BaoCaoTaiChinh!$D$77)
+ IFERROR(HLOOKUP(F$2,Table_BCTC_Thang[],Sheet_BaoCaoTaiChinh!$A$78,0),Sheet_BaoCaoTaiChinh!$D$78)
+ IFERROR(HLOOKUP(F$2,Table_BCTC_Thang[],Sheet_BaoCaoTaiChinh!$A$79,0),Sheet_BaoCaoTaiChinh!$D$79)
+ IFERROR(HLOOKUP(F$2,Table_BCTC_Thang[],Sheet_BaoCaoTaiChinh!$A$88,0),Sheet_BaoCaoTaiChinh!$D$88)
+ IFERROR(HLOOKUP(F$2,Table_BCTC_Thang[],Sheet_BaoCaoTaiChinh!$A$89,0),Sheet_BaoCaoTaiChinh!$D$89)
+ IFERROR(HLOOKUP(F$2,Table_BCTC_Thang[],Sheet_BaoCaoTaiChinh!$A$90,0),Sheet_BaoCaoTaiChinh!$D$90)
+ IFERROR(HLOOKUP(DATE(YEAR(F$2),MONTH(F$2)-1,1),Table_BCTC_Thang[],Sheet_BaoCaoTaiChinh!$A$92,0),Sheet_BaoCaoTaiChinh!$D$92)
+ IFERROR(HLOOKUP(DATE(YEAR(F$2),MONTH(F$2)-1,1),Table_BCTC_Nam[],Sheet_BaoCaoTaiChinh!$A$83,0),Sheet_BaoCaoTaiChinh!$D$83)
+ IFERROR(HLOOKUP(DATE(YEAR(F$2),MONTH(F$2)-1,1),Table_BCTC_Nam[],Sheet_BaoCaoTaiChinh!$A$77,0),Sheet_BaoCaoTaiChinh!$D$77)
+ IFERROR(HLOOKUP(DATE(YEAR(F$2),MONTH(F$2)-1,1),Table_BCTC_Nam[],Sheet_BaoCaoTaiChinh!$A$78,0),Sheet_BaoCaoTaiChinh!$D$78)
+ IFERROR(HLOOKUP(DATE(YEAR(F$2),MONTH(F$2)-1,1),Table_BCTC_Nam[],Sheet_BaoCaoTaiChinh!$A$79,0),Sheet_BaoCaoTaiChinh!$D$79)
+ IFERROR(HLOOKUP(DATE(YEAR(F$2),MONTH(F$2)-1,1),Table_BCTC_Nam[],Sheet_BaoCaoTaiChinh!$A$88,0),Sheet_BaoCaoTaiChinh!$D$88)
+ IFERROR(HLOOKUP(DATE(YEAR(F$2),MONTH(F$2)-1,1),Table_BCTC_Nam[],Sheet_BaoCaoTaiChinh!$A$89,0),Sheet_BaoCaoTaiChinh!$D$89)
+ IFERROR(HLOOKUP(DATE(YEAR(F$2),MONTH(F$2)-1,1),Table_BCTC_Nam[],Sheet_BaoCaoTaiChinh!$A$90,0),Sheet_BaoCaoTaiChinh!$D$90)
)/2))</f>
        <v>0</v>
      </c>
      <c r="G31" s="128">
        <f>G30/(-(G12+G13+G21+G22+G23+G24+G25+G27+G28+G29)+
((
+ IFERROR(HLOOKUP(G$2,Table_BCTC_Thang[],Sheet_BaoCaoTaiChinh!$A$92,0),Sheet_BaoCaoTaiChinh!$D$92)
+ IFERROR(HLOOKUP(G$2,Table_BCTC_Thang[],Sheet_BaoCaoTaiChinh!$A$83,0),Sheet_BaoCaoTaiChinh!$D$83)
+ IFERROR(HLOOKUP(G$2,Table_BCTC_Thang[],Sheet_BaoCaoTaiChinh!$A$77,0),Sheet_BaoCaoTaiChinh!$D$77)
+ IFERROR(HLOOKUP(G$2,Table_BCTC_Thang[],Sheet_BaoCaoTaiChinh!$A$78,0),Sheet_BaoCaoTaiChinh!$D$78)
+ IFERROR(HLOOKUP(G$2,Table_BCTC_Thang[],Sheet_BaoCaoTaiChinh!$A$79,0),Sheet_BaoCaoTaiChinh!$D$79)
+ IFERROR(HLOOKUP(G$2,Table_BCTC_Thang[],Sheet_BaoCaoTaiChinh!$A$88,0),Sheet_BaoCaoTaiChinh!$D$88)
+ IFERROR(HLOOKUP(G$2,Table_BCTC_Thang[],Sheet_BaoCaoTaiChinh!$A$89,0),Sheet_BaoCaoTaiChinh!$D$89)
+ IFERROR(HLOOKUP(G$2,Table_BCTC_Thang[],Sheet_BaoCaoTaiChinh!$A$90,0),Sheet_BaoCaoTaiChinh!$D$90)
+ IFERROR(HLOOKUP(DATE(YEAR(G$2),MONTH(G$2)-1,1),Table_BCTC_Thang[],Sheet_BaoCaoTaiChinh!$A$92,0),Sheet_BaoCaoTaiChinh!$D$92)
+ IFERROR(HLOOKUP(DATE(YEAR(G$2),MONTH(G$2)-1,1),Table_BCTC_Nam[],Sheet_BaoCaoTaiChinh!$A$83,0),Sheet_BaoCaoTaiChinh!$D$83)
+ IFERROR(HLOOKUP(DATE(YEAR(G$2),MONTH(G$2)-1,1),Table_BCTC_Nam[],Sheet_BaoCaoTaiChinh!$A$77,0),Sheet_BaoCaoTaiChinh!$D$77)
+ IFERROR(HLOOKUP(DATE(YEAR(G$2),MONTH(G$2)-1,1),Table_BCTC_Nam[],Sheet_BaoCaoTaiChinh!$A$78,0),Sheet_BaoCaoTaiChinh!$D$78)
+ IFERROR(HLOOKUP(DATE(YEAR(G$2),MONTH(G$2)-1,1),Table_BCTC_Nam[],Sheet_BaoCaoTaiChinh!$A$79,0),Sheet_BaoCaoTaiChinh!$D$79)
+ IFERROR(HLOOKUP(DATE(YEAR(G$2),MONTH(G$2)-1,1),Table_BCTC_Nam[],Sheet_BaoCaoTaiChinh!$A$88,0),Sheet_BaoCaoTaiChinh!$D$88)
+ IFERROR(HLOOKUP(DATE(YEAR(G$2),MONTH(G$2)-1,1),Table_BCTC_Nam[],Sheet_BaoCaoTaiChinh!$A$89,0),Sheet_BaoCaoTaiChinh!$D$89)
+ IFERROR(HLOOKUP(DATE(YEAR(G$2),MONTH(G$2)-1,1),Table_BCTC_Nam[],Sheet_BaoCaoTaiChinh!$A$90,0),Sheet_BaoCaoTaiChinh!$D$90)
)/2))</f>
        <v>0</v>
      </c>
      <c r="H31" s="128">
        <f>H30/(-(H12+H13+H21+H22+H23+H24+H25+H27+H28+H29)+
((
+ IFERROR(HLOOKUP(H$2,Table_BCTC_Thang[],Sheet_BaoCaoTaiChinh!$A$92,0),Sheet_BaoCaoTaiChinh!$D$92)
+ IFERROR(HLOOKUP(H$2,Table_BCTC_Thang[],Sheet_BaoCaoTaiChinh!$A$83,0),Sheet_BaoCaoTaiChinh!$D$83)
+ IFERROR(HLOOKUP(H$2,Table_BCTC_Thang[],Sheet_BaoCaoTaiChinh!$A$77,0),Sheet_BaoCaoTaiChinh!$D$77)
+ IFERROR(HLOOKUP(H$2,Table_BCTC_Thang[],Sheet_BaoCaoTaiChinh!$A$78,0),Sheet_BaoCaoTaiChinh!$D$78)
+ IFERROR(HLOOKUP(H$2,Table_BCTC_Thang[],Sheet_BaoCaoTaiChinh!$A$79,0),Sheet_BaoCaoTaiChinh!$D$79)
+ IFERROR(HLOOKUP(H$2,Table_BCTC_Thang[],Sheet_BaoCaoTaiChinh!$A$88,0),Sheet_BaoCaoTaiChinh!$D$88)
+ IFERROR(HLOOKUP(H$2,Table_BCTC_Thang[],Sheet_BaoCaoTaiChinh!$A$89,0),Sheet_BaoCaoTaiChinh!$D$89)
+ IFERROR(HLOOKUP(H$2,Table_BCTC_Thang[],Sheet_BaoCaoTaiChinh!$A$90,0),Sheet_BaoCaoTaiChinh!$D$90)
+ IFERROR(HLOOKUP(DATE(YEAR(H$2),MONTH(H$2)-1,1),Table_BCTC_Thang[],Sheet_BaoCaoTaiChinh!$A$92,0),Sheet_BaoCaoTaiChinh!$D$92)
+ IFERROR(HLOOKUP(DATE(YEAR(H$2),MONTH(H$2)-1,1),Table_BCTC_Nam[],Sheet_BaoCaoTaiChinh!$A$83,0),Sheet_BaoCaoTaiChinh!$D$83)
+ IFERROR(HLOOKUP(DATE(YEAR(H$2),MONTH(H$2)-1,1),Table_BCTC_Nam[],Sheet_BaoCaoTaiChinh!$A$77,0),Sheet_BaoCaoTaiChinh!$D$77)
+ IFERROR(HLOOKUP(DATE(YEAR(H$2),MONTH(H$2)-1,1),Table_BCTC_Nam[],Sheet_BaoCaoTaiChinh!$A$78,0),Sheet_BaoCaoTaiChinh!$D$78)
+ IFERROR(HLOOKUP(DATE(YEAR(H$2),MONTH(H$2)-1,1),Table_BCTC_Nam[],Sheet_BaoCaoTaiChinh!$A$79,0),Sheet_BaoCaoTaiChinh!$D$79)
+ IFERROR(HLOOKUP(DATE(YEAR(H$2),MONTH(H$2)-1,1),Table_BCTC_Nam[],Sheet_BaoCaoTaiChinh!$A$88,0),Sheet_BaoCaoTaiChinh!$D$88)
+ IFERROR(HLOOKUP(DATE(YEAR(H$2),MONTH(H$2)-1,1),Table_BCTC_Nam[],Sheet_BaoCaoTaiChinh!$A$89,0),Sheet_BaoCaoTaiChinh!$D$89)
+ IFERROR(HLOOKUP(DATE(YEAR(H$2),MONTH(H$2)-1,1),Table_BCTC_Nam[],Sheet_BaoCaoTaiChinh!$A$90,0),Sheet_BaoCaoTaiChinh!$D$90)
)/2))</f>
        <v>0</v>
      </c>
      <c r="I31" s="128">
        <f>I30/(-(I12+I13+I21+I22+I23+I24+I25+I27+I28+I29)+
((
+ IFERROR(HLOOKUP(I$2,Table_BCTC_Thang[],Sheet_BaoCaoTaiChinh!$A$92,0),Sheet_BaoCaoTaiChinh!$D$92)
+ IFERROR(HLOOKUP(I$2,Table_BCTC_Thang[],Sheet_BaoCaoTaiChinh!$A$83,0),Sheet_BaoCaoTaiChinh!$D$83)
+ IFERROR(HLOOKUP(I$2,Table_BCTC_Thang[],Sheet_BaoCaoTaiChinh!$A$77,0),Sheet_BaoCaoTaiChinh!$D$77)
+ IFERROR(HLOOKUP(I$2,Table_BCTC_Thang[],Sheet_BaoCaoTaiChinh!$A$78,0),Sheet_BaoCaoTaiChinh!$D$78)
+ IFERROR(HLOOKUP(I$2,Table_BCTC_Thang[],Sheet_BaoCaoTaiChinh!$A$79,0),Sheet_BaoCaoTaiChinh!$D$79)
+ IFERROR(HLOOKUP(I$2,Table_BCTC_Thang[],Sheet_BaoCaoTaiChinh!$A$88,0),Sheet_BaoCaoTaiChinh!$D$88)
+ IFERROR(HLOOKUP(I$2,Table_BCTC_Thang[],Sheet_BaoCaoTaiChinh!$A$89,0),Sheet_BaoCaoTaiChinh!$D$89)
+ IFERROR(HLOOKUP(I$2,Table_BCTC_Thang[],Sheet_BaoCaoTaiChinh!$A$90,0),Sheet_BaoCaoTaiChinh!$D$90)
+ IFERROR(HLOOKUP(DATE(YEAR(I$2),MONTH(I$2)-1,1),Table_BCTC_Thang[],Sheet_BaoCaoTaiChinh!$A$92,0),Sheet_BaoCaoTaiChinh!$D$92)
+ IFERROR(HLOOKUP(DATE(YEAR(I$2),MONTH(I$2)-1,1),Table_BCTC_Nam[],Sheet_BaoCaoTaiChinh!$A$83,0),Sheet_BaoCaoTaiChinh!$D$83)
+ IFERROR(HLOOKUP(DATE(YEAR(I$2),MONTH(I$2)-1,1),Table_BCTC_Nam[],Sheet_BaoCaoTaiChinh!$A$77,0),Sheet_BaoCaoTaiChinh!$D$77)
+ IFERROR(HLOOKUP(DATE(YEAR(I$2),MONTH(I$2)-1,1),Table_BCTC_Nam[],Sheet_BaoCaoTaiChinh!$A$78,0),Sheet_BaoCaoTaiChinh!$D$78)
+ IFERROR(HLOOKUP(DATE(YEAR(I$2),MONTH(I$2)-1,1),Table_BCTC_Nam[],Sheet_BaoCaoTaiChinh!$A$79,0),Sheet_BaoCaoTaiChinh!$D$79)
+ IFERROR(HLOOKUP(DATE(YEAR(I$2),MONTH(I$2)-1,1),Table_BCTC_Nam[],Sheet_BaoCaoTaiChinh!$A$88,0),Sheet_BaoCaoTaiChinh!$D$88)
+ IFERROR(HLOOKUP(DATE(YEAR(I$2),MONTH(I$2)-1,1),Table_BCTC_Nam[],Sheet_BaoCaoTaiChinh!$A$89,0),Sheet_BaoCaoTaiChinh!$D$89)
+ IFERROR(HLOOKUP(DATE(YEAR(I$2),MONTH(I$2)-1,1),Table_BCTC_Nam[],Sheet_BaoCaoTaiChinh!$A$90,0),Sheet_BaoCaoTaiChinh!$D$90)
)/2))</f>
        <v>0</v>
      </c>
      <c r="J31" s="128">
        <f>J30/(-(J12+J13+J21+J22+J23+J24+J25+J27+J28+J29)+
((
+ IFERROR(HLOOKUP(J$2,Table_BCTC_Thang[],Sheet_BaoCaoTaiChinh!$A$92,0),Sheet_BaoCaoTaiChinh!$D$92)
+ IFERROR(HLOOKUP(J$2,Table_BCTC_Thang[],Sheet_BaoCaoTaiChinh!$A$83,0),Sheet_BaoCaoTaiChinh!$D$83)
+ IFERROR(HLOOKUP(J$2,Table_BCTC_Thang[],Sheet_BaoCaoTaiChinh!$A$77,0),Sheet_BaoCaoTaiChinh!$D$77)
+ IFERROR(HLOOKUP(J$2,Table_BCTC_Thang[],Sheet_BaoCaoTaiChinh!$A$78,0),Sheet_BaoCaoTaiChinh!$D$78)
+ IFERROR(HLOOKUP(J$2,Table_BCTC_Thang[],Sheet_BaoCaoTaiChinh!$A$79,0),Sheet_BaoCaoTaiChinh!$D$79)
+ IFERROR(HLOOKUP(J$2,Table_BCTC_Thang[],Sheet_BaoCaoTaiChinh!$A$88,0),Sheet_BaoCaoTaiChinh!$D$88)
+ IFERROR(HLOOKUP(J$2,Table_BCTC_Thang[],Sheet_BaoCaoTaiChinh!$A$89,0),Sheet_BaoCaoTaiChinh!$D$89)
+ IFERROR(HLOOKUP(J$2,Table_BCTC_Thang[],Sheet_BaoCaoTaiChinh!$A$90,0),Sheet_BaoCaoTaiChinh!$D$90)
+ IFERROR(HLOOKUP(DATE(YEAR(J$2),MONTH(J$2)-1,1),Table_BCTC_Thang[],Sheet_BaoCaoTaiChinh!$A$92,0),Sheet_BaoCaoTaiChinh!$D$92)
+ IFERROR(HLOOKUP(DATE(YEAR(J$2),MONTH(J$2)-1,1),Table_BCTC_Nam[],Sheet_BaoCaoTaiChinh!$A$83,0),Sheet_BaoCaoTaiChinh!$D$83)
+ IFERROR(HLOOKUP(DATE(YEAR(J$2),MONTH(J$2)-1,1),Table_BCTC_Nam[],Sheet_BaoCaoTaiChinh!$A$77,0),Sheet_BaoCaoTaiChinh!$D$77)
+ IFERROR(HLOOKUP(DATE(YEAR(J$2),MONTH(J$2)-1,1),Table_BCTC_Nam[],Sheet_BaoCaoTaiChinh!$A$78,0),Sheet_BaoCaoTaiChinh!$D$78)
+ IFERROR(HLOOKUP(DATE(YEAR(J$2),MONTH(J$2)-1,1),Table_BCTC_Nam[],Sheet_BaoCaoTaiChinh!$A$79,0),Sheet_BaoCaoTaiChinh!$D$79)
+ IFERROR(HLOOKUP(DATE(YEAR(J$2),MONTH(J$2)-1,1),Table_BCTC_Nam[],Sheet_BaoCaoTaiChinh!$A$88,0),Sheet_BaoCaoTaiChinh!$D$88)
+ IFERROR(HLOOKUP(DATE(YEAR(J$2),MONTH(J$2)-1,1),Table_BCTC_Nam[],Sheet_BaoCaoTaiChinh!$A$89,0),Sheet_BaoCaoTaiChinh!$D$89)
+ IFERROR(HLOOKUP(DATE(YEAR(J$2),MONTH(J$2)-1,1),Table_BCTC_Nam[],Sheet_BaoCaoTaiChinh!$A$90,0),Sheet_BaoCaoTaiChinh!$D$90)
)/2))</f>
        <v>0</v>
      </c>
      <c r="K31" s="128">
        <f>K30/(-(K12+K13+K21+K22+K23+K24+K25+K27+K28+K29)+
((
+ IFERROR(HLOOKUP(K$2,Table_BCTC_Thang[],Sheet_BaoCaoTaiChinh!$A$92,0),Sheet_BaoCaoTaiChinh!$D$92)
+ IFERROR(HLOOKUP(K$2,Table_BCTC_Thang[],Sheet_BaoCaoTaiChinh!$A$83,0),Sheet_BaoCaoTaiChinh!$D$83)
+ IFERROR(HLOOKUP(K$2,Table_BCTC_Thang[],Sheet_BaoCaoTaiChinh!$A$77,0),Sheet_BaoCaoTaiChinh!$D$77)
+ IFERROR(HLOOKUP(K$2,Table_BCTC_Thang[],Sheet_BaoCaoTaiChinh!$A$78,0),Sheet_BaoCaoTaiChinh!$D$78)
+ IFERROR(HLOOKUP(K$2,Table_BCTC_Thang[],Sheet_BaoCaoTaiChinh!$A$79,0),Sheet_BaoCaoTaiChinh!$D$79)
+ IFERROR(HLOOKUP(K$2,Table_BCTC_Thang[],Sheet_BaoCaoTaiChinh!$A$88,0),Sheet_BaoCaoTaiChinh!$D$88)
+ IFERROR(HLOOKUP(K$2,Table_BCTC_Thang[],Sheet_BaoCaoTaiChinh!$A$89,0),Sheet_BaoCaoTaiChinh!$D$89)
+ IFERROR(HLOOKUP(K$2,Table_BCTC_Thang[],Sheet_BaoCaoTaiChinh!$A$90,0),Sheet_BaoCaoTaiChinh!$D$90)
+ IFERROR(HLOOKUP(DATE(YEAR(K$2),MONTH(K$2)-1,1),Table_BCTC_Thang[],Sheet_BaoCaoTaiChinh!$A$92,0),Sheet_BaoCaoTaiChinh!$D$92)
+ IFERROR(HLOOKUP(DATE(YEAR(K$2),MONTH(K$2)-1,1),Table_BCTC_Nam[],Sheet_BaoCaoTaiChinh!$A$83,0),Sheet_BaoCaoTaiChinh!$D$83)
+ IFERROR(HLOOKUP(DATE(YEAR(K$2),MONTH(K$2)-1,1),Table_BCTC_Nam[],Sheet_BaoCaoTaiChinh!$A$77,0),Sheet_BaoCaoTaiChinh!$D$77)
+ IFERROR(HLOOKUP(DATE(YEAR(K$2),MONTH(K$2)-1,1),Table_BCTC_Nam[],Sheet_BaoCaoTaiChinh!$A$78,0),Sheet_BaoCaoTaiChinh!$D$78)
+ IFERROR(HLOOKUP(DATE(YEAR(K$2),MONTH(K$2)-1,1),Table_BCTC_Nam[],Sheet_BaoCaoTaiChinh!$A$79,0),Sheet_BaoCaoTaiChinh!$D$79)
+ IFERROR(HLOOKUP(DATE(YEAR(K$2),MONTH(K$2)-1,1),Table_BCTC_Nam[],Sheet_BaoCaoTaiChinh!$A$88,0),Sheet_BaoCaoTaiChinh!$D$88)
+ IFERROR(HLOOKUP(DATE(YEAR(K$2),MONTH(K$2)-1,1),Table_BCTC_Nam[],Sheet_BaoCaoTaiChinh!$A$89,0),Sheet_BaoCaoTaiChinh!$D$89)
+ IFERROR(HLOOKUP(DATE(YEAR(K$2),MONTH(K$2)-1,1),Table_BCTC_Nam[],Sheet_BaoCaoTaiChinh!$A$90,0),Sheet_BaoCaoTaiChinh!$D$90)
)/2))</f>
        <v>0</v>
      </c>
      <c r="L31" s="128">
        <f>L30/(-(L12+L13+L21+L22+L23+L24+L25+L27+L28+L29)+
((
+ IFERROR(HLOOKUP(L$2,Table_BCTC_Thang[],Sheet_BaoCaoTaiChinh!$A$92,0),Sheet_BaoCaoTaiChinh!$D$92)
+ IFERROR(HLOOKUP(L$2,Table_BCTC_Thang[],Sheet_BaoCaoTaiChinh!$A$83,0),Sheet_BaoCaoTaiChinh!$D$83)
+ IFERROR(HLOOKUP(L$2,Table_BCTC_Thang[],Sheet_BaoCaoTaiChinh!$A$77,0),Sheet_BaoCaoTaiChinh!$D$77)
+ IFERROR(HLOOKUP(L$2,Table_BCTC_Thang[],Sheet_BaoCaoTaiChinh!$A$78,0),Sheet_BaoCaoTaiChinh!$D$78)
+ IFERROR(HLOOKUP(L$2,Table_BCTC_Thang[],Sheet_BaoCaoTaiChinh!$A$79,0),Sheet_BaoCaoTaiChinh!$D$79)
+ IFERROR(HLOOKUP(L$2,Table_BCTC_Thang[],Sheet_BaoCaoTaiChinh!$A$88,0),Sheet_BaoCaoTaiChinh!$D$88)
+ IFERROR(HLOOKUP(L$2,Table_BCTC_Thang[],Sheet_BaoCaoTaiChinh!$A$89,0),Sheet_BaoCaoTaiChinh!$D$89)
+ IFERROR(HLOOKUP(L$2,Table_BCTC_Thang[],Sheet_BaoCaoTaiChinh!$A$90,0),Sheet_BaoCaoTaiChinh!$D$90)
+ IFERROR(HLOOKUP(DATE(YEAR(L$2),MONTH(L$2)-1,1),Table_BCTC_Thang[],Sheet_BaoCaoTaiChinh!$A$92,0),Sheet_BaoCaoTaiChinh!$D$92)
+ IFERROR(HLOOKUP(DATE(YEAR(L$2),MONTH(L$2)-1,1),Table_BCTC_Nam[],Sheet_BaoCaoTaiChinh!$A$83,0),Sheet_BaoCaoTaiChinh!$D$83)
+ IFERROR(HLOOKUP(DATE(YEAR(L$2),MONTH(L$2)-1,1),Table_BCTC_Nam[],Sheet_BaoCaoTaiChinh!$A$77,0),Sheet_BaoCaoTaiChinh!$D$77)
+ IFERROR(HLOOKUP(DATE(YEAR(L$2),MONTH(L$2)-1,1),Table_BCTC_Nam[],Sheet_BaoCaoTaiChinh!$A$78,0),Sheet_BaoCaoTaiChinh!$D$78)
+ IFERROR(HLOOKUP(DATE(YEAR(L$2),MONTH(L$2)-1,1),Table_BCTC_Nam[],Sheet_BaoCaoTaiChinh!$A$79,0),Sheet_BaoCaoTaiChinh!$D$79)
+ IFERROR(HLOOKUP(DATE(YEAR(L$2),MONTH(L$2)-1,1),Table_BCTC_Nam[],Sheet_BaoCaoTaiChinh!$A$88,0),Sheet_BaoCaoTaiChinh!$D$88)
+ IFERROR(HLOOKUP(DATE(YEAR(L$2),MONTH(L$2)-1,1),Table_BCTC_Nam[],Sheet_BaoCaoTaiChinh!$A$89,0),Sheet_BaoCaoTaiChinh!$D$89)
+ IFERROR(HLOOKUP(DATE(YEAR(L$2),MONTH(L$2)-1,1),Table_BCTC_Nam[],Sheet_BaoCaoTaiChinh!$A$90,0),Sheet_BaoCaoTaiChinh!$D$90)
)/2))</f>
        <v>0</v>
      </c>
      <c r="M31" s="128">
        <f>M30/(-(M12+M13+M21+M22+M23+M24+M25+M27+M28+M29)+
((
+ IFERROR(HLOOKUP(M$2,Table_BCTC_Thang[],Sheet_BaoCaoTaiChinh!$A$92,0),Sheet_BaoCaoTaiChinh!$D$92)
+ IFERROR(HLOOKUP(M$2,Table_BCTC_Thang[],Sheet_BaoCaoTaiChinh!$A$83,0),Sheet_BaoCaoTaiChinh!$D$83)
+ IFERROR(HLOOKUP(M$2,Table_BCTC_Thang[],Sheet_BaoCaoTaiChinh!$A$77,0),Sheet_BaoCaoTaiChinh!$D$77)
+ IFERROR(HLOOKUP(M$2,Table_BCTC_Thang[],Sheet_BaoCaoTaiChinh!$A$78,0),Sheet_BaoCaoTaiChinh!$D$78)
+ IFERROR(HLOOKUP(M$2,Table_BCTC_Thang[],Sheet_BaoCaoTaiChinh!$A$79,0),Sheet_BaoCaoTaiChinh!$D$79)
+ IFERROR(HLOOKUP(M$2,Table_BCTC_Thang[],Sheet_BaoCaoTaiChinh!$A$88,0),Sheet_BaoCaoTaiChinh!$D$88)
+ IFERROR(HLOOKUP(M$2,Table_BCTC_Thang[],Sheet_BaoCaoTaiChinh!$A$89,0),Sheet_BaoCaoTaiChinh!$D$89)
+ IFERROR(HLOOKUP(M$2,Table_BCTC_Thang[],Sheet_BaoCaoTaiChinh!$A$90,0),Sheet_BaoCaoTaiChinh!$D$90)
+ IFERROR(HLOOKUP(DATE(YEAR(M$2),MONTH(M$2)-1,1),Table_BCTC_Thang[],Sheet_BaoCaoTaiChinh!$A$92,0),Sheet_BaoCaoTaiChinh!$D$92)
+ IFERROR(HLOOKUP(DATE(YEAR(M$2),MONTH(M$2)-1,1),Table_BCTC_Nam[],Sheet_BaoCaoTaiChinh!$A$83,0),Sheet_BaoCaoTaiChinh!$D$83)
+ IFERROR(HLOOKUP(DATE(YEAR(M$2),MONTH(M$2)-1,1),Table_BCTC_Nam[],Sheet_BaoCaoTaiChinh!$A$77,0),Sheet_BaoCaoTaiChinh!$D$77)
+ IFERROR(HLOOKUP(DATE(YEAR(M$2),MONTH(M$2)-1,1),Table_BCTC_Nam[],Sheet_BaoCaoTaiChinh!$A$78,0),Sheet_BaoCaoTaiChinh!$D$78)
+ IFERROR(HLOOKUP(DATE(YEAR(M$2),MONTH(M$2)-1,1),Table_BCTC_Nam[],Sheet_BaoCaoTaiChinh!$A$79,0),Sheet_BaoCaoTaiChinh!$D$79)
+ IFERROR(HLOOKUP(DATE(YEAR(M$2),MONTH(M$2)-1,1),Table_BCTC_Nam[],Sheet_BaoCaoTaiChinh!$A$88,0),Sheet_BaoCaoTaiChinh!$D$88)
+ IFERROR(HLOOKUP(DATE(YEAR(M$2),MONTH(M$2)-1,1),Table_BCTC_Nam[],Sheet_BaoCaoTaiChinh!$A$89,0),Sheet_BaoCaoTaiChinh!$D$89)
+ IFERROR(HLOOKUP(DATE(YEAR(M$2),MONTH(M$2)-1,1),Table_BCTC_Nam[],Sheet_BaoCaoTaiChinh!$A$90,0),Sheet_BaoCaoTaiChinh!$D$90)
)/2))</f>
        <v>0</v>
      </c>
      <c r="N31" s="128">
        <f>N30/(-(N12+N13+N21+N22+N23+N24+N25+N27+N28+N29)+
((
+ IFERROR(HLOOKUP(N$2,Table_BCTC_Thang[],Sheet_BaoCaoTaiChinh!$A$92,0),Sheet_BaoCaoTaiChinh!$D$92)
+ IFERROR(HLOOKUP(N$2,Table_BCTC_Thang[],Sheet_BaoCaoTaiChinh!$A$83,0),Sheet_BaoCaoTaiChinh!$D$83)
+ IFERROR(HLOOKUP(N$2,Table_BCTC_Thang[],Sheet_BaoCaoTaiChinh!$A$77,0),Sheet_BaoCaoTaiChinh!$D$77)
+ IFERROR(HLOOKUP(N$2,Table_BCTC_Thang[],Sheet_BaoCaoTaiChinh!$A$78,0),Sheet_BaoCaoTaiChinh!$D$78)
+ IFERROR(HLOOKUP(N$2,Table_BCTC_Thang[],Sheet_BaoCaoTaiChinh!$A$79,0),Sheet_BaoCaoTaiChinh!$D$79)
+ IFERROR(HLOOKUP(N$2,Table_BCTC_Thang[],Sheet_BaoCaoTaiChinh!$A$88,0),Sheet_BaoCaoTaiChinh!$D$88)
+ IFERROR(HLOOKUP(N$2,Table_BCTC_Thang[],Sheet_BaoCaoTaiChinh!$A$89,0),Sheet_BaoCaoTaiChinh!$D$89)
+ IFERROR(HLOOKUP(N$2,Table_BCTC_Thang[],Sheet_BaoCaoTaiChinh!$A$90,0),Sheet_BaoCaoTaiChinh!$D$90)
+ IFERROR(HLOOKUP(DATE(YEAR(N$2),MONTH(N$2)-1,1),Table_BCTC_Thang[],Sheet_BaoCaoTaiChinh!$A$92,0),Sheet_BaoCaoTaiChinh!$D$92)
+ IFERROR(HLOOKUP(DATE(YEAR(N$2),MONTH(N$2)-1,1),Table_BCTC_Nam[],Sheet_BaoCaoTaiChinh!$A$83,0),Sheet_BaoCaoTaiChinh!$D$83)
+ IFERROR(HLOOKUP(DATE(YEAR(N$2),MONTH(N$2)-1,1),Table_BCTC_Nam[],Sheet_BaoCaoTaiChinh!$A$77,0),Sheet_BaoCaoTaiChinh!$D$77)
+ IFERROR(HLOOKUP(DATE(YEAR(N$2),MONTH(N$2)-1,1),Table_BCTC_Nam[],Sheet_BaoCaoTaiChinh!$A$78,0),Sheet_BaoCaoTaiChinh!$D$78)
+ IFERROR(HLOOKUP(DATE(YEAR(N$2),MONTH(N$2)-1,1),Table_BCTC_Nam[],Sheet_BaoCaoTaiChinh!$A$79,0),Sheet_BaoCaoTaiChinh!$D$79)
+ IFERROR(HLOOKUP(DATE(YEAR(N$2),MONTH(N$2)-1,1),Table_BCTC_Nam[],Sheet_BaoCaoTaiChinh!$A$88,0),Sheet_BaoCaoTaiChinh!$D$88)
+ IFERROR(HLOOKUP(DATE(YEAR(N$2),MONTH(N$2)-1,1),Table_BCTC_Nam[],Sheet_BaoCaoTaiChinh!$A$89,0),Sheet_BaoCaoTaiChinh!$D$89)
+ IFERROR(HLOOKUP(DATE(YEAR(N$2),MONTH(N$2)-1,1),Table_BCTC_Nam[],Sheet_BaoCaoTaiChinh!$A$90,0),Sheet_BaoCaoTaiChinh!$D$90)
)/2))</f>
        <v>0</v>
      </c>
      <c r="O31" s="128">
        <f>O30/(-(O12+O13+O21+O22+O23+O24+O25+O27+O28+O29)+
((
+ IFERROR(HLOOKUP(O$2,Table_BCTC_Thang[],Sheet_BaoCaoTaiChinh!$A$92,0),Sheet_BaoCaoTaiChinh!$D$92)
+ IFERROR(HLOOKUP(O$2,Table_BCTC_Thang[],Sheet_BaoCaoTaiChinh!$A$83,0),Sheet_BaoCaoTaiChinh!$D$83)
+ IFERROR(HLOOKUP(O$2,Table_BCTC_Thang[],Sheet_BaoCaoTaiChinh!$A$77,0),Sheet_BaoCaoTaiChinh!$D$77)
+ IFERROR(HLOOKUP(O$2,Table_BCTC_Thang[],Sheet_BaoCaoTaiChinh!$A$78,0),Sheet_BaoCaoTaiChinh!$D$78)
+ IFERROR(HLOOKUP(O$2,Table_BCTC_Thang[],Sheet_BaoCaoTaiChinh!$A$79,0),Sheet_BaoCaoTaiChinh!$D$79)
+ IFERROR(HLOOKUP(O$2,Table_BCTC_Thang[],Sheet_BaoCaoTaiChinh!$A$88,0),Sheet_BaoCaoTaiChinh!$D$88)
+ IFERROR(HLOOKUP(O$2,Table_BCTC_Thang[],Sheet_BaoCaoTaiChinh!$A$89,0),Sheet_BaoCaoTaiChinh!$D$89)
+ IFERROR(HLOOKUP(O$2,Table_BCTC_Thang[],Sheet_BaoCaoTaiChinh!$A$90,0),Sheet_BaoCaoTaiChinh!$D$90)
+ IFERROR(HLOOKUP(DATE(YEAR(O$2),MONTH(O$2)-1,1),Table_BCTC_Thang[],Sheet_BaoCaoTaiChinh!$A$92,0),Sheet_BaoCaoTaiChinh!$D$92)
+ IFERROR(HLOOKUP(DATE(YEAR(O$2),MONTH(O$2)-1,1),Table_BCTC_Nam[],Sheet_BaoCaoTaiChinh!$A$83,0),Sheet_BaoCaoTaiChinh!$D$83)
+ IFERROR(HLOOKUP(DATE(YEAR(O$2),MONTH(O$2)-1,1),Table_BCTC_Nam[],Sheet_BaoCaoTaiChinh!$A$77,0),Sheet_BaoCaoTaiChinh!$D$77)
+ IFERROR(HLOOKUP(DATE(YEAR(O$2),MONTH(O$2)-1,1),Table_BCTC_Nam[],Sheet_BaoCaoTaiChinh!$A$78,0),Sheet_BaoCaoTaiChinh!$D$78)
+ IFERROR(HLOOKUP(DATE(YEAR(O$2),MONTH(O$2)-1,1),Table_BCTC_Nam[],Sheet_BaoCaoTaiChinh!$A$79,0),Sheet_BaoCaoTaiChinh!$D$79)
+ IFERROR(HLOOKUP(DATE(YEAR(O$2),MONTH(O$2)-1,1),Table_BCTC_Nam[],Sheet_BaoCaoTaiChinh!$A$88,0),Sheet_BaoCaoTaiChinh!$D$88)
+ IFERROR(HLOOKUP(DATE(YEAR(O$2),MONTH(O$2)-1,1),Table_BCTC_Nam[],Sheet_BaoCaoTaiChinh!$A$89,0),Sheet_BaoCaoTaiChinh!$D$89)
+ IFERROR(HLOOKUP(DATE(YEAR(O$2),MONTH(O$2)-1,1),Table_BCTC_Nam[],Sheet_BaoCaoTaiChinh!$A$90,0),Sheet_BaoCaoTaiChinh!$D$90)
)/2))</f>
        <v>0</v>
      </c>
      <c r="P31" s="323"/>
      <c r="Q31" s="240"/>
      <c r="R31" s="87" t="s">
        <v>301</v>
      </c>
      <c r="S31" s="128">
        <f>S30/(-(S12+S13+S21+S22+S23+S24+S25+S27+S28+S29) +
(
+ IFERROR(HLOOKUP(S$1,Table_BCTC_Nam[],Sheet_BaoCaoTaiChinh!$A$92,0),Sheet_BaoCaoTaiChinh!$D$92)
+ IFERROR(HLOOKUP(S$1,Table_BCTC_Nam[],Sheet_BaoCaoTaiChinh!$A$83,0),Sheet_BaoCaoTaiChinh!$D$83)
+ IFERROR(HLOOKUP(S$1,Table_BCTC_Nam[],Sheet_BaoCaoTaiChinh!$A$77,0),Sheet_BaoCaoTaiChinh!$D$77)
+ IFERROR(HLOOKUP(S$1,Table_BCTC_Nam[],Sheet_BaoCaoTaiChinh!$A$78,0),Sheet_BaoCaoTaiChinh!$D$78)
+ IFERROR(HLOOKUP(S$1,Table_BCTC_Nam[],Sheet_BaoCaoTaiChinh!$A$79,0),Sheet_BaoCaoTaiChinh!$D$79)
+ IFERROR(HLOOKUP(S$1,Table_BCTC_Nam[],Sheet_BaoCaoTaiChinh!$A$88,0),Sheet_BaoCaoTaiChinh!$D$88)
+ IFERROR(HLOOKUP(S$1,Table_BCTC_Nam[],Sheet_BaoCaoTaiChinh!$A$89,0),Sheet_BaoCaoTaiChinh!$D$89)
+ IFERROR(HLOOKUP(S$1,Table_BCTC_Nam[],Sheet_BaoCaoTaiChinh!$A$90,0),Sheet_BaoCaoTaiChinh!$D$90)
+ IFERROR(HLOOKUP(S$1-1,Table_BCTC_Nam[],Sheet_BaoCaoTaiChinh!$A$92,0),Sheet_BaoCaoTaiChinh!$D$92)
+ IFERROR(HLOOKUP(S$1-1,Table_BCTC_Nam[],Sheet_BaoCaoTaiChinh!$A$83,0),Sheet_BaoCaoTaiChinh!$D$83)
+ IFERROR(HLOOKUP(S$1-1,Table_BCTC_Nam[],Sheet_BaoCaoTaiChinh!$A$77,0),Sheet_BaoCaoTaiChinh!$D$77)
+ IFERROR(HLOOKUP(S$1-1,Table_BCTC_Nam[],Sheet_BaoCaoTaiChinh!$A$78,0),Sheet_BaoCaoTaiChinh!$D$78)
+ IFERROR(HLOOKUP(S$1-1,Table_BCTC_Nam[],Sheet_BaoCaoTaiChinh!$A$79,0),Sheet_BaoCaoTaiChinh!$D$79)
+ IFERROR(HLOOKUP(S$1-1,Table_BCTC_Nam[],Sheet_BaoCaoTaiChinh!$A$88,0),Sheet_BaoCaoTaiChinh!$D$88)
+ IFERROR(HLOOKUP(S$1-1,Table_BCTC_Nam[],Sheet_BaoCaoTaiChinh!$A$89,0),Sheet_BaoCaoTaiChinh!$D$89)
+ IFERROR(HLOOKUP(S$1-1,Table_BCTC_Nam[],Sheet_BaoCaoTaiChinh!$A$90,0),Sheet_BaoCaoTaiChinh!$D$90)
)/2)</f>
        <v>0</v>
      </c>
      <c r="T31" s="240"/>
      <c r="U31" s="87" t="s">
        <v>301</v>
      </c>
      <c r="V31" s="128">
        <f>V30/(-(V12+V13+V21+V22+V23+V24+V25+V27+V28+V29)+
((
+ IFERROR(HLOOKUP(V$1,Table_BCTC_Thang[],Sheet_BaoCaoTaiChinh!$A$92,0),Sheet_BaoCaoTaiChinh!$D$92)
+ IFERROR(HLOOKUP(V$1,Table_BCTC_Thang[],Sheet_BaoCaoTaiChinh!$A$83,0),Sheet_BaoCaoTaiChinh!$D$83)
+ IFERROR(HLOOKUP(V$1,Table_BCTC_Thang[],Sheet_BaoCaoTaiChinh!$A$77,0),Sheet_BaoCaoTaiChinh!$D$77)
+ IFERROR(HLOOKUP(V$1,Table_BCTC_Thang[],Sheet_BaoCaoTaiChinh!$A$78,0),Sheet_BaoCaoTaiChinh!$D$78)
+ IFERROR(HLOOKUP(V$1,Table_BCTC_Thang[],Sheet_BaoCaoTaiChinh!$A$79,0),Sheet_BaoCaoTaiChinh!$D$79)
+ IFERROR(HLOOKUP(V$1,Table_BCTC_Thang[],Sheet_BaoCaoTaiChinh!$A$88,0),Sheet_BaoCaoTaiChinh!$D$88)
+ IFERROR(HLOOKUP(V$1,Table_BCTC_Thang[],Sheet_BaoCaoTaiChinh!$A$89,0),Sheet_BaoCaoTaiChinh!$D$89)
+ IFERROR(HLOOKUP(V$1,Table_BCTC_Thang[],Sheet_BaoCaoTaiChinh!$A$90,0),Sheet_BaoCaoTaiChinh!$D$90)
+ IFERROR(HLOOKUP(DATE(YEAR(V$1),MONTH(V$1)-1,1),Table_BCTC_Thang[],Sheet_BaoCaoTaiChinh!$A$92,0),Sheet_BaoCaoTaiChinh!$D$92)
+ IFERROR(HLOOKUP(DATE(YEAR(V$1),MONTH(V$1)-1,1),Table_BCTC_Nam[],Sheet_BaoCaoTaiChinh!$A$83,0),Sheet_BaoCaoTaiChinh!$D$83)
+ IFERROR(HLOOKUP(DATE(YEAR(V$1),MONTH(V$1)-1,1),Table_BCTC_Nam[],Sheet_BaoCaoTaiChinh!$A$77,0),Sheet_BaoCaoTaiChinh!$D$77)
+ IFERROR(HLOOKUP(DATE(YEAR(V$1),MONTH(V$1)-1,1),Table_BCTC_Nam[],Sheet_BaoCaoTaiChinh!$A$78,0),Sheet_BaoCaoTaiChinh!$D$78)
+ IFERROR(HLOOKUP(DATE(YEAR(V$1),MONTH(V$1)-1,1),Table_BCTC_Nam[],Sheet_BaoCaoTaiChinh!$A$79,0),Sheet_BaoCaoTaiChinh!$D$79)
+ IFERROR(HLOOKUP(DATE(YEAR(V$1),MONTH(V$1)-1,1),Table_BCTC_Nam[],Sheet_BaoCaoTaiChinh!$A$88,0),Sheet_BaoCaoTaiChinh!$D$88)
+ IFERROR(HLOOKUP(DATE(YEAR(V$1),MONTH(V$1)-1,1),Table_BCTC_Nam[],Sheet_BaoCaoTaiChinh!$A$89,0),Sheet_BaoCaoTaiChinh!$D$89)
+ IFERROR(HLOOKUP(DATE(YEAR(V$1),MONTH(V$1)-1,1),Table_BCTC_Nam[],Sheet_BaoCaoTaiChinh!$A$90,0),Sheet_BaoCaoTaiChinh!$D$90)
)/2))</f>
        <v>0</v>
      </c>
    </row>
    <row r="32" spans="2:22" ht="18" customHeight="1" outlineLevel="1" x14ac:dyDescent="0.3">
      <c r="B32" s="126" t="s">
        <v>98</v>
      </c>
      <c r="C32" s="332">
        <f>+C33+C34+C36+C41</f>
        <v>0</v>
      </c>
      <c r="D32" s="332">
        <f t="shared" ref="D32:O32" si="10">+D33+D34+D36+D41</f>
        <v>0</v>
      </c>
      <c r="E32" s="332">
        <f t="shared" si="10"/>
        <v>0</v>
      </c>
      <c r="F32" s="332">
        <f t="shared" si="10"/>
        <v>0</v>
      </c>
      <c r="G32" s="332">
        <f t="shared" si="10"/>
        <v>0</v>
      </c>
      <c r="H32" s="332">
        <f t="shared" si="10"/>
        <v>0</v>
      </c>
      <c r="I32" s="332">
        <f t="shared" si="10"/>
        <v>0</v>
      </c>
      <c r="J32" s="332">
        <f t="shared" si="10"/>
        <v>0</v>
      </c>
      <c r="K32" s="332">
        <f t="shared" si="10"/>
        <v>0</v>
      </c>
      <c r="L32" s="332">
        <f t="shared" si="10"/>
        <v>0</v>
      </c>
      <c r="M32" s="332">
        <f t="shared" si="10"/>
        <v>0</v>
      </c>
      <c r="N32" s="332">
        <f t="shared" si="10"/>
        <v>0</v>
      </c>
      <c r="O32" s="332">
        <f t="shared" si="10"/>
        <v>0</v>
      </c>
      <c r="P32" s="333"/>
      <c r="Q32" s="240"/>
      <c r="R32" s="126" t="s">
        <v>98</v>
      </c>
      <c r="S32" s="127">
        <f>+S33+S34+S36+S41</f>
        <v>0</v>
      </c>
      <c r="T32" s="240"/>
      <c r="U32" s="126" t="s">
        <v>98</v>
      </c>
      <c r="V32" s="127">
        <f>+V33+V34+V36+V41</f>
        <v>0</v>
      </c>
    </row>
    <row r="33" spans="2:22" s="21" customFormat="1" ht="18" customHeight="1" outlineLevel="1" x14ac:dyDescent="0.3">
      <c r="B33" s="54" t="s">
        <v>302</v>
      </c>
      <c r="C33" s="328" cm="1">
        <f t="array" ref="C33">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3" s="334" cm="1">
        <f t="array" ref="D33">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3" s="334" cm="1">
        <f t="array" ref="E33">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3" s="334" cm="1">
        <f t="array" ref="F33">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3" s="334" cm="1">
        <f t="array" ref="G33">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3" s="334" cm="1">
        <f t="array" ref="H33">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3" s="334" cm="1">
        <f t="array" ref="I33">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3" s="334" cm="1">
        <f t="array" ref="J33">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3" s="334" cm="1">
        <f t="array" ref="K33">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3" s="334" cm="1">
        <f t="array" ref="L33">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3" s="334" cm="1">
        <f t="array" ref="M33">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3" s="334" cm="1">
        <f t="array" ref="N33">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3" s="334" cm="1">
        <f t="array" ref="O33">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3" s="323"/>
      <c r="Q33" s="247"/>
      <c r="R33" s="54" t="s">
        <v>302</v>
      </c>
      <c r="S33" s="328" cm="1">
        <f t="array" ref="S33">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3" s="247"/>
      <c r="U33" s="54" t="s">
        <v>302</v>
      </c>
      <c r="V33" s="334" cm="1">
        <f t="array" ref="V33">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4" spans="2:22" ht="18" customHeight="1" outlineLevel="2" x14ac:dyDescent="0.3">
      <c r="B34" s="54" t="s">
        <v>303</v>
      </c>
      <c r="C34" s="335" cm="1">
        <f t="array" ref="C34">IFERROR(
SUM(_xlfn._xlws.FILTER(Table_NopNS[Giá trị tính thuế],
(Table_NopNS[Ngân sách] = "Thuế VAT")*
(Table_NopNS[Năm]=C$2)
)),0)</f>
        <v>0</v>
      </c>
      <c r="D34" s="334" cm="1">
        <f t="array" ref="D34">IFERROR(
SUM(_xlfn._xlws.FILTER(Table_NopNS[Giá trị tính thuế],
(Table_NopNS[Ngân sách] = "Thuế VAT")*
(Table_NopNS[Năm]=YEAR(D$2))*
(Table_NopNS[Tháng] = MONTH(D$2))
)),0)</f>
        <v>0</v>
      </c>
      <c r="E34" s="334" cm="1">
        <f t="array" ref="E34">IFERROR(
SUM(_xlfn._xlws.FILTER(Table_NopNS[Giá trị tính thuế],
(Table_NopNS[Ngân sách] = "Thuế VAT")*
(Table_NopNS[Năm]=YEAR(E$2))*
(Table_NopNS[Tháng] = MONTH(E$2))
)),0)</f>
        <v>0</v>
      </c>
      <c r="F34" s="334" cm="1">
        <f t="array" ref="F34">IFERROR(
SUM(_xlfn._xlws.FILTER(Table_NopNS[Giá trị tính thuế],
(Table_NopNS[Ngân sách] = "Thuế VAT")*
(Table_NopNS[Năm]=YEAR(F$2))*
(Table_NopNS[Tháng] = MONTH(F$2))
)),0)</f>
        <v>0</v>
      </c>
      <c r="G34" s="334" cm="1">
        <f t="array" ref="G34">IFERROR(
SUM(_xlfn._xlws.FILTER(Table_NopNS[Giá trị tính thuế],
(Table_NopNS[Ngân sách] = "Thuế VAT")*
(Table_NopNS[Năm]=YEAR(G$2))*
(Table_NopNS[Tháng] = MONTH(G$2))
)),0)</f>
        <v>0</v>
      </c>
      <c r="H34" s="334" cm="1">
        <f t="array" ref="H34">IFERROR(
SUM(_xlfn._xlws.FILTER(Table_NopNS[Giá trị tính thuế],
(Table_NopNS[Ngân sách] = "Thuế VAT")*
(Table_NopNS[Năm]=YEAR(H$2))*
(Table_NopNS[Tháng] = MONTH(H$2))
)),0)</f>
        <v>0</v>
      </c>
      <c r="I34" s="334" cm="1">
        <f t="array" ref="I34">IFERROR(
SUM(_xlfn._xlws.FILTER(Table_NopNS[Giá trị tính thuế],
(Table_NopNS[Ngân sách] = "Thuế VAT")*
(Table_NopNS[Năm]=YEAR(I$2))*
(Table_NopNS[Tháng] = MONTH(I$2))
)),0)</f>
        <v>0</v>
      </c>
      <c r="J34" s="334" cm="1">
        <f t="array" ref="J34">IFERROR(
SUM(_xlfn._xlws.FILTER(Table_NopNS[Giá trị tính thuế],
(Table_NopNS[Ngân sách] = "Thuế VAT")*
(Table_NopNS[Năm]=YEAR(J$2))*
(Table_NopNS[Tháng] = MONTH(J$2))
)),0)</f>
        <v>0</v>
      </c>
      <c r="K34" s="334" cm="1">
        <f t="array" ref="K34">IFERROR(
SUM(_xlfn._xlws.FILTER(Table_NopNS[Giá trị tính thuế],
(Table_NopNS[Ngân sách] = "Thuế VAT")*
(Table_NopNS[Năm]=YEAR(K$2))*
(Table_NopNS[Tháng] = MONTH(K$2))
)),0)</f>
        <v>0</v>
      </c>
      <c r="L34" s="334" cm="1">
        <f t="array" ref="L34">IFERROR(
SUM(_xlfn._xlws.FILTER(Table_NopNS[Giá trị tính thuế],
(Table_NopNS[Ngân sách] = "Thuế VAT")*
(Table_NopNS[Năm]=YEAR(L$2))*
(Table_NopNS[Tháng] = MONTH(L$2))
)),0)</f>
        <v>0</v>
      </c>
      <c r="M34" s="334" cm="1">
        <f t="array" ref="M34">IFERROR(
SUM(_xlfn._xlws.FILTER(Table_NopNS[Giá trị tính thuế],
(Table_NopNS[Ngân sách] = "Thuế VAT")*
(Table_NopNS[Năm]=YEAR(M$2))*
(Table_NopNS[Tháng] = MONTH(M$2))
)),0)</f>
        <v>0</v>
      </c>
      <c r="N34" s="334" cm="1">
        <f t="array" ref="N34">IFERROR(
SUM(_xlfn._xlws.FILTER(Table_NopNS[Giá trị tính thuế],
(Table_NopNS[Ngân sách] = "Thuế VAT")*
(Table_NopNS[Năm]=YEAR(N$2))*
(Table_NopNS[Tháng] = MONTH(N$2))
)),0)</f>
        <v>0</v>
      </c>
      <c r="O34" s="334" cm="1">
        <f t="array" ref="O34">IFERROR(
SUM(_xlfn._xlws.FILTER(Table_NopNS[Giá trị tính thuế],
(Table_NopNS[Ngân sách] = "Thuế VAT")*
(Table_NopNS[Năm]=YEAR(O$2))*
(Table_NopNS[Tháng] = MONTH(O$2))
)),0)</f>
        <v>0</v>
      </c>
      <c r="P34" s="334"/>
      <c r="Q34" s="240"/>
      <c r="R34" s="54" t="s">
        <v>303</v>
      </c>
      <c r="S34" s="335" cm="1">
        <f t="array" ref="S34">IFERROR(
SUM(_xlfn._xlws.FILTER(Table_NopNS[Giá trị tính thuế],
(Table_NopNS[Ngân sách] = "Thuế VAT")*
(Table_NopNS[Năm]=S$1)
)),0)</f>
        <v>0</v>
      </c>
      <c r="T34" s="240"/>
      <c r="U34" s="54" t="s">
        <v>303</v>
      </c>
      <c r="V34" s="334" cm="1">
        <f t="array" ref="V34">IFERROR(
SUM(_xlfn._xlws.FILTER(Table_NopNS[Giá trị tính thuế],
(Table_NopNS[Ngân sách] = "Thuế VAT")*
(Table_NopNS[Năm]=YEAR(V$1))*
(Table_NopNS[Tháng] = MONTH(V$1))
)),0)</f>
        <v>0</v>
      </c>
    </row>
    <row r="35" spans="2:22" ht="18" customHeight="1" outlineLevel="1" x14ac:dyDescent="0.3">
      <c r="B35" s="99" t="s">
        <v>101</v>
      </c>
      <c r="C35" s="123" t="e">
        <f t="shared" ref="C35:O35" si="11">(C9-C33)/C9</f>
        <v>#DIV/0!</v>
      </c>
      <c r="D35" s="123" t="e">
        <f t="shared" si="11"/>
        <v>#DIV/0!</v>
      </c>
      <c r="E35" s="123" t="e">
        <f t="shared" si="11"/>
        <v>#DIV/0!</v>
      </c>
      <c r="F35" s="123" t="e">
        <f t="shared" si="11"/>
        <v>#DIV/0!</v>
      </c>
      <c r="G35" s="123" t="e">
        <f t="shared" si="11"/>
        <v>#DIV/0!</v>
      </c>
      <c r="H35" s="123" t="e">
        <f t="shared" si="11"/>
        <v>#DIV/0!</v>
      </c>
      <c r="I35" s="123" t="e">
        <f t="shared" si="11"/>
        <v>#DIV/0!</v>
      </c>
      <c r="J35" s="123" t="e">
        <f t="shared" si="11"/>
        <v>#DIV/0!</v>
      </c>
      <c r="K35" s="123" t="e">
        <f t="shared" si="11"/>
        <v>#DIV/0!</v>
      </c>
      <c r="L35" s="123" t="e">
        <f t="shared" si="11"/>
        <v>#DIV/0!</v>
      </c>
      <c r="M35" s="123" t="e">
        <f t="shared" si="11"/>
        <v>#DIV/0!</v>
      </c>
      <c r="N35" s="123" t="e">
        <f t="shared" si="11"/>
        <v>#DIV/0!</v>
      </c>
      <c r="O35" s="123" t="e">
        <f t="shared" si="11"/>
        <v>#DIV/0!</v>
      </c>
      <c r="P35" s="323"/>
      <c r="Q35" s="240"/>
      <c r="R35" s="99" t="s">
        <v>101</v>
      </c>
      <c r="S35" s="123" t="e">
        <f>(S9-S33)/S9</f>
        <v>#DIV/0!</v>
      </c>
      <c r="T35" s="240"/>
      <c r="U35" s="99" t="s">
        <v>101</v>
      </c>
      <c r="V35" s="123" t="e">
        <f>(V9-V33)/V9</f>
        <v>#DIV/0!</v>
      </c>
    </row>
    <row r="36" spans="2:22" ht="18" customHeight="1" outlineLevel="1" x14ac:dyDescent="0.3">
      <c r="B36" s="124" t="s">
        <v>304</v>
      </c>
      <c r="C36" s="328">
        <f>+C37+C38+C39</f>
        <v>0</v>
      </c>
      <c r="D36" s="328">
        <f t="shared" ref="D36:O36" si="12">+D37+D38+D39</f>
        <v>0</v>
      </c>
      <c r="E36" s="328">
        <f t="shared" si="12"/>
        <v>0</v>
      </c>
      <c r="F36" s="328">
        <f t="shared" si="12"/>
        <v>0</v>
      </c>
      <c r="G36" s="328">
        <f t="shared" si="12"/>
        <v>0</v>
      </c>
      <c r="H36" s="328">
        <f t="shared" si="12"/>
        <v>0</v>
      </c>
      <c r="I36" s="328">
        <f t="shared" si="12"/>
        <v>0</v>
      </c>
      <c r="J36" s="328">
        <f t="shared" si="12"/>
        <v>0</v>
      </c>
      <c r="K36" s="328">
        <f t="shared" si="12"/>
        <v>0</v>
      </c>
      <c r="L36" s="328">
        <f t="shared" si="12"/>
        <v>0</v>
      </c>
      <c r="M36" s="328">
        <f t="shared" si="12"/>
        <v>0</v>
      </c>
      <c r="N36" s="328">
        <f t="shared" si="12"/>
        <v>0</v>
      </c>
      <c r="O36" s="328">
        <f t="shared" si="12"/>
        <v>0</v>
      </c>
      <c r="P36" s="323"/>
      <c r="Q36" s="240"/>
      <c r="R36" s="124" t="s">
        <v>304</v>
      </c>
      <c r="S36" s="107">
        <f>+S37+S38+S39</f>
        <v>0</v>
      </c>
      <c r="T36" s="240"/>
      <c r="U36" s="124" t="s">
        <v>304</v>
      </c>
      <c r="V36" s="107">
        <f>+V37+V38+V39</f>
        <v>0</v>
      </c>
    </row>
    <row r="37" spans="2:22" ht="18" customHeight="1" outlineLevel="2" x14ac:dyDescent="0.3">
      <c r="B37" s="73" t="s">
        <v>305</v>
      </c>
      <c r="C37" s="328" cm="1">
        <f t="array" ref="C37">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7" s="334" cm="1">
        <f t="array" ref="D37">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7" s="334" cm="1">
        <f t="array" ref="E37">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7" s="334" cm="1">
        <f t="array" ref="F37">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7" s="334" cm="1">
        <f t="array" ref="G37">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7" s="334" cm="1">
        <f t="array" ref="H37">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7" s="334" cm="1">
        <f t="array" ref="I37">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7" s="334" cm="1">
        <f t="array" ref="J37">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7" s="334" cm="1">
        <f t="array" ref="K37">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7" s="334" cm="1">
        <f t="array" ref="L37">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7" s="334" cm="1">
        <f t="array" ref="M37">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7" s="334" cm="1">
        <f t="array" ref="N37">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7" s="334" cm="1">
        <f t="array" ref="O37">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7" s="323"/>
      <c r="Q37" s="240"/>
      <c r="R37" s="73" t="s">
        <v>305</v>
      </c>
      <c r="S37" s="328" cm="1">
        <f t="array" ref="S37">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7" s="240"/>
      <c r="U37" s="73" t="s">
        <v>305</v>
      </c>
      <c r="V37" s="334" cm="1">
        <f t="array" ref="V37">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8" spans="2:22" ht="18" customHeight="1" outlineLevel="2" x14ac:dyDescent="0.3">
      <c r="B38" s="73" t="s">
        <v>306</v>
      </c>
      <c r="C38" s="328" cm="1">
        <f t="array" ref="C38">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8" s="334" cm="1">
        <f t="array" ref="D38">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8" s="334" cm="1">
        <f t="array" ref="E38">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8" s="334" cm="1">
        <f t="array" ref="F38">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8" s="334" cm="1">
        <f t="array" ref="G38">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8" s="334" cm="1">
        <f t="array" ref="H38">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8" s="334" cm="1">
        <f t="array" ref="I38">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8" s="334" cm="1">
        <f t="array" ref="J38">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8" s="334" cm="1">
        <f t="array" ref="K38">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8" s="334" cm="1">
        <f t="array" ref="L38">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8" s="334" cm="1">
        <f t="array" ref="M38">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8" s="334" cm="1">
        <f t="array" ref="N38">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8" s="334" cm="1">
        <f t="array" ref="O38">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8" s="323"/>
      <c r="Q38" s="240"/>
      <c r="R38" s="73" t="s">
        <v>306</v>
      </c>
      <c r="S38" s="328" cm="1">
        <f t="array" ref="S38">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8" s="240"/>
      <c r="U38" s="73" t="s">
        <v>306</v>
      </c>
      <c r="V38" s="334" cm="1">
        <f t="array" ref="V38">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39" spans="2:22" ht="18" customHeight="1" outlineLevel="2" x14ac:dyDescent="0.3">
      <c r="B39" s="73" t="s">
        <v>307</v>
      </c>
      <c r="C39" s="328" cm="1">
        <f t="array" ref="C39">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39" s="334" cm="1">
        <f t="array" ref="D39">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39" s="334" cm="1">
        <f t="array" ref="E39">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39" s="334" cm="1">
        <f t="array" ref="F39">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39" s="334" cm="1">
        <f t="array" ref="G39">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39" s="334" cm="1">
        <f t="array" ref="H39">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39" s="334" cm="1">
        <f t="array" ref="I39">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39" s="334" cm="1">
        <f t="array" ref="J39">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39" s="334" cm="1">
        <f t="array" ref="K39">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39" s="334" cm="1">
        <f t="array" ref="L39">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39" s="334" cm="1">
        <f t="array" ref="M39">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39" s="334" cm="1">
        <f t="array" ref="N39">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39" s="334" cm="1">
        <f t="array" ref="O39">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39" s="323"/>
      <c r="Q39" s="240"/>
      <c r="R39" s="73" t="s">
        <v>307</v>
      </c>
      <c r="S39" s="328" cm="1">
        <f t="array" ref="S39">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39" s="240"/>
      <c r="U39" s="73" t="s">
        <v>307</v>
      </c>
      <c r="V39" s="334" cm="1">
        <f t="array" ref="V39">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0" spans="2:22" ht="18" customHeight="1" outlineLevel="2" x14ac:dyDescent="0.3">
      <c r="B40" s="99" t="s">
        <v>106</v>
      </c>
      <c r="C40" s="125" t="e">
        <f t="shared" ref="C40:O40" si="13">(SUM(C12:C15)+C17+SUM(C21:C25)-C36)/(SUM(C12:C15)+C17+SUM(C21:C25))</f>
        <v>#DIV/0!</v>
      </c>
      <c r="D40" s="125" t="e">
        <f t="shared" si="13"/>
        <v>#DIV/0!</v>
      </c>
      <c r="E40" s="125" t="e">
        <f t="shared" si="13"/>
        <v>#DIV/0!</v>
      </c>
      <c r="F40" s="125" t="e">
        <f t="shared" si="13"/>
        <v>#DIV/0!</v>
      </c>
      <c r="G40" s="125" t="e">
        <f t="shared" si="13"/>
        <v>#DIV/0!</v>
      </c>
      <c r="H40" s="125" t="e">
        <f t="shared" si="13"/>
        <v>#DIV/0!</v>
      </c>
      <c r="I40" s="125" t="e">
        <f t="shared" si="13"/>
        <v>#DIV/0!</v>
      </c>
      <c r="J40" s="125" t="e">
        <f t="shared" si="13"/>
        <v>#DIV/0!</v>
      </c>
      <c r="K40" s="125" t="e">
        <f t="shared" si="13"/>
        <v>#DIV/0!</v>
      </c>
      <c r="L40" s="125" t="e">
        <f t="shared" si="13"/>
        <v>#DIV/0!</v>
      </c>
      <c r="M40" s="125" t="e">
        <f t="shared" si="13"/>
        <v>#DIV/0!</v>
      </c>
      <c r="N40" s="125" t="e">
        <f t="shared" si="13"/>
        <v>#DIV/0!</v>
      </c>
      <c r="O40" s="125" t="e">
        <f t="shared" si="13"/>
        <v>#DIV/0!</v>
      </c>
      <c r="P40" s="323"/>
      <c r="Q40" s="240"/>
      <c r="R40" s="99" t="s">
        <v>106</v>
      </c>
      <c r="S40" s="125" t="e">
        <f>(SUM(S12:S15)+S17+SUM(S21:S25)-S36)/(SUM(S12:S15)+S17+SUM(S21:S25))</f>
        <v>#DIV/0!</v>
      </c>
      <c r="T40" s="240"/>
      <c r="U40" s="99" t="s">
        <v>106</v>
      </c>
      <c r="V40" s="125" t="e">
        <f>(SUM(V12:V15)+V17+SUM(V21:V25)-V36)/(SUM(V12:V15)+V17+SUM(V21:V25))</f>
        <v>#DIV/0!</v>
      </c>
    </row>
    <row r="41" spans="2:22" ht="18" customHeight="1" outlineLevel="1" x14ac:dyDescent="0.3">
      <c r="B41" s="124" t="s">
        <v>308</v>
      </c>
      <c r="C41" s="328" cm="1">
        <f t="array" ref="C41">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1" s="323" cm="1">
        <f t="array" ref="D41">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1" s="323" cm="1">
        <f t="array" ref="E41">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1" s="323" cm="1">
        <f t="array" ref="F41">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1" s="323" cm="1">
        <f t="array" ref="G41">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1" s="323" cm="1">
        <f t="array" ref="H41">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1" s="323" cm="1">
        <f t="array" ref="I41">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1" s="323" cm="1">
        <f t="array" ref="J41">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1" s="323" cm="1">
        <f t="array" ref="K41">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1" s="323" cm="1">
        <f t="array" ref="L41">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1" s="323" cm="1">
        <f t="array" ref="M41">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1" s="323" cm="1">
        <f t="array" ref="N41">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1" s="323" cm="1">
        <f t="array" ref="O41">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1" s="323"/>
      <c r="Q41" s="240"/>
      <c r="R41" s="124" t="s">
        <v>308</v>
      </c>
      <c r="S41" s="328" cm="1">
        <f t="array" ref="S41">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1" s="240"/>
      <c r="U41" s="124" t="s">
        <v>308</v>
      </c>
      <c r="V41" s="323" cm="1">
        <f t="array" ref="V41">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2" spans="2:22" ht="18" customHeight="1" outlineLevel="1" x14ac:dyDescent="0.3">
      <c r="B42" s="74" t="s">
        <v>309</v>
      </c>
      <c r="C42" s="325">
        <f t="shared" ref="C42:O42" si="14">+SUM(C43:C45)</f>
        <v>0</v>
      </c>
      <c r="D42" s="325">
        <f t="shared" si="14"/>
        <v>0</v>
      </c>
      <c r="E42" s="325">
        <f t="shared" si="14"/>
        <v>0</v>
      </c>
      <c r="F42" s="325">
        <f t="shared" si="14"/>
        <v>0</v>
      </c>
      <c r="G42" s="325">
        <f t="shared" si="14"/>
        <v>0</v>
      </c>
      <c r="H42" s="325">
        <f t="shared" si="14"/>
        <v>0</v>
      </c>
      <c r="I42" s="325">
        <f t="shared" si="14"/>
        <v>0</v>
      </c>
      <c r="J42" s="325">
        <f t="shared" si="14"/>
        <v>0</v>
      </c>
      <c r="K42" s="325">
        <f t="shared" si="14"/>
        <v>0</v>
      </c>
      <c r="L42" s="325">
        <f t="shared" si="14"/>
        <v>0</v>
      </c>
      <c r="M42" s="325">
        <f t="shared" si="14"/>
        <v>0</v>
      </c>
      <c r="N42" s="325">
        <f t="shared" si="14"/>
        <v>0</v>
      </c>
      <c r="O42" s="325">
        <f t="shared" si="14"/>
        <v>0</v>
      </c>
      <c r="P42" s="324"/>
      <c r="Q42" s="240"/>
      <c r="R42" s="74" t="s">
        <v>309</v>
      </c>
      <c r="S42" s="105">
        <f>+SUM(S43:S45)</f>
        <v>0</v>
      </c>
      <c r="T42" s="240"/>
      <c r="U42" s="74" t="s">
        <v>309</v>
      </c>
      <c r="V42" s="105">
        <f>+SUM(V43:V45)</f>
        <v>0</v>
      </c>
    </row>
    <row r="43" spans="2:22" ht="18" customHeight="1" outlineLevel="2" x14ac:dyDescent="0.3">
      <c r="B43" s="73" t="s">
        <v>310</v>
      </c>
      <c r="C43" s="328" cm="1">
        <f t="array" ref="C43"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3" s="334" cm="1">
        <f t="array" ref="D43"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3" s="334" cm="1">
        <f t="array" ref="E43"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3" s="334" cm="1">
        <f t="array" ref="F43"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3" s="334" cm="1">
        <f t="array" ref="G43"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3" s="334" cm="1">
        <f t="array" ref="H43"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3" s="334" cm="1">
        <f t="array" ref="I43"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3" s="334" cm="1">
        <f t="array" ref="J43"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3" s="334" cm="1">
        <f t="array" ref="K43"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3" s="334" cm="1">
        <f t="array" ref="L43"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3" s="334" cm="1">
        <f t="array" ref="M43"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3" s="334" cm="1">
        <f t="array" ref="N43"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3" s="334" cm="1">
        <f t="array" ref="O43"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3" s="323"/>
      <c r="Q43" s="240"/>
      <c r="R43" s="73" t="s">
        <v>310</v>
      </c>
      <c r="S43" s="328" cm="1">
        <f t="array" ref="S43"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3" s="240"/>
      <c r="U43" s="73" t="s">
        <v>310</v>
      </c>
      <c r="V43" s="334" cm="1">
        <f t="array" ref="V43"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4" spans="2:22" ht="18" customHeight="1" outlineLevel="2" x14ac:dyDescent="0.3">
      <c r="B44" s="73" t="s">
        <v>311</v>
      </c>
      <c r="C44" s="328" cm="1">
        <f t="array" ref="C44"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4" s="334" cm="1">
        <f t="array" ref="D44"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4" s="334" cm="1">
        <f t="array" ref="E44"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4" s="334" cm="1">
        <f t="array" ref="F44"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4" s="334" cm="1">
        <f t="array" ref="G44"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4" s="334" cm="1">
        <f t="array" ref="H44"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4" s="334" cm="1">
        <f t="array" ref="I44"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4" s="334" cm="1">
        <f t="array" ref="J44"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4" s="334" cm="1">
        <f t="array" ref="K44"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4" s="334" cm="1">
        <f t="array" ref="L44"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4" s="334" cm="1">
        <f t="array" ref="M44"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4" s="334" cm="1">
        <f t="array" ref="N44"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4" s="334" cm="1">
        <f t="array" ref="O44"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4" s="323"/>
      <c r="Q44" s="240"/>
      <c r="R44" s="73" t="s">
        <v>311</v>
      </c>
      <c r="S44" s="328" cm="1">
        <f t="array" ref="S44"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4" s="240"/>
      <c r="U44" s="73" t="s">
        <v>311</v>
      </c>
      <c r="V44" s="334" cm="1">
        <f t="array" ref="V44"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5" spans="2:22" ht="18" customHeight="1" outlineLevel="2" x14ac:dyDescent="0.3">
      <c r="B45" s="73" t="s">
        <v>312</v>
      </c>
      <c r="C45" s="328" cm="1">
        <f t="array" ref="C45"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5" s="334" cm="1">
        <f t="array" ref="D45"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5" s="334" cm="1">
        <f t="array" ref="E45"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5" s="334" cm="1">
        <f t="array" ref="F45"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5" s="334" cm="1">
        <f t="array" ref="G45"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5" s="334" cm="1">
        <f t="array" ref="H45"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5" s="334" cm="1">
        <f t="array" ref="I45"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5" s="334" cm="1">
        <f t="array" ref="J45"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5" s="334" cm="1">
        <f t="array" ref="K45"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5" s="334" cm="1">
        <f t="array" ref="L45"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5" s="334" cm="1">
        <f t="array" ref="M45"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5" s="334" cm="1">
        <f t="array" ref="N45"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5" s="334" cm="1">
        <f t="array" ref="O45"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5" s="323"/>
      <c r="Q45" s="240"/>
      <c r="R45" s="73" t="s">
        <v>312</v>
      </c>
      <c r="S45" s="328" cm="1">
        <f t="array" ref="S45"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5" s="240"/>
      <c r="U45" s="73" t="s">
        <v>312</v>
      </c>
      <c r="V45" s="334" cm="1">
        <f t="array" ref="V45"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6" spans="2:22" ht="18" customHeight="1" outlineLevel="1" x14ac:dyDescent="0.3">
      <c r="B46" s="87" t="s">
        <v>313</v>
      </c>
      <c r="C46" s="331">
        <f>+C32+C43</f>
        <v>0</v>
      </c>
      <c r="D46" s="331">
        <f t="shared" ref="D46:O46" si="15">+D32+D43</f>
        <v>0</v>
      </c>
      <c r="E46" s="331">
        <f t="shared" si="15"/>
        <v>0</v>
      </c>
      <c r="F46" s="331">
        <f t="shared" si="15"/>
        <v>0</v>
      </c>
      <c r="G46" s="331">
        <f t="shared" si="15"/>
        <v>0</v>
      </c>
      <c r="H46" s="331">
        <f t="shared" si="15"/>
        <v>0</v>
      </c>
      <c r="I46" s="331">
        <f t="shared" si="15"/>
        <v>0</v>
      </c>
      <c r="J46" s="331">
        <f t="shared" si="15"/>
        <v>0</v>
      </c>
      <c r="K46" s="331">
        <f t="shared" si="15"/>
        <v>0</v>
      </c>
      <c r="L46" s="331">
        <f t="shared" si="15"/>
        <v>0</v>
      </c>
      <c r="M46" s="331">
        <f t="shared" si="15"/>
        <v>0</v>
      </c>
      <c r="N46" s="331">
        <f t="shared" si="15"/>
        <v>0</v>
      </c>
      <c r="O46" s="331">
        <f t="shared" si="15"/>
        <v>0</v>
      </c>
      <c r="P46" s="323"/>
      <c r="Q46" s="240"/>
      <c r="R46" s="87" t="s">
        <v>313</v>
      </c>
      <c r="S46" s="104">
        <f>+S32+S43</f>
        <v>0</v>
      </c>
      <c r="T46" s="240"/>
      <c r="U46" s="87" t="s">
        <v>313</v>
      </c>
      <c r="V46" s="104">
        <f>+V32+V43</f>
        <v>0</v>
      </c>
    </row>
    <row r="47" spans="2:22" ht="18" customHeight="1" outlineLevel="1" x14ac:dyDescent="0.3">
      <c r="B47" s="87" t="s">
        <v>113</v>
      </c>
      <c r="C47" s="128">
        <f>C46/(-(C36+C41+C43)+
(
+ IFERROR(HLOOKUP(C$2,Table_BCTC_Nam[],Sheet_BaoCaoTaiChinh!$A$92,0),Sheet_BaoCaoTaiChinh!$D$92)
+ IFERROR(HLOOKUP(C$2,Table_BCTC_Nam[],Sheet_BaoCaoTaiChinh!$A$83,0),Sheet_BaoCaoTaiChinh!$D$83)
+ IFERROR(HLOOKUP(C$2,Table_BCTC_Nam[],Sheet_BaoCaoTaiChinh!$A$77,0),Sheet_BaoCaoTaiChinh!$D$77)
+ IFERROR(HLOOKUP(C$2,Table_BCTC_Nam[],Sheet_BaoCaoTaiChinh!$A$78,0),Sheet_BaoCaoTaiChinh!$D$78)
+ IFERROR(HLOOKUP(C$2,Table_BCTC_Nam[],Sheet_BaoCaoTaiChinh!$A$79,0),Sheet_BaoCaoTaiChinh!$D$79)
+ IFERROR(HLOOKUP(C$2,Table_BCTC_Nam[],Sheet_BaoCaoTaiChinh!$A$88,0),Sheet_BaoCaoTaiChinh!$D$88)
+ IFERROR(HLOOKUP(C$2,Table_BCTC_Nam[],Sheet_BaoCaoTaiChinh!$A$89,0),Sheet_BaoCaoTaiChinh!$D$89)
+ IFERROR(HLOOKUP(C$2,Table_BCTC_Nam[],Sheet_BaoCaoTaiChinh!$A$90,0),Sheet_BaoCaoTaiChinh!$D$90)
+ IFERROR(HLOOKUP(C$2-1,Table_BCTC_Nam[],Sheet_BaoCaoTaiChinh!$A$92,0),Sheet_BaoCaoTaiChinh!$D$92)
+ IFERROR(HLOOKUP(C$2-1,Table_BCTC_Nam[],Sheet_BaoCaoTaiChinh!$A$83,0),Sheet_BaoCaoTaiChinh!$D$83)
+ IFERROR(HLOOKUP(C$2-1,Table_BCTC_Nam[],Sheet_BaoCaoTaiChinh!$A$77,0),Sheet_BaoCaoTaiChinh!$D$77)
+ IFERROR(HLOOKUP(C$2-1,Table_BCTC_Nam[],Sheet_BaoCaoTaiChinh!$A$78,0),Sheet_BaoCaoTaiChinh!$D$78)
+ IFERROR(HLOOKUP(C$2-1,Table_BCTC_Nam[],Sheet_BaoCaoTaiChinh!$A$79,0),Sheet_BaoCaoTaiChinh!$D$79)
+ IFERROR(HLOOKUP(C$2-1,Table_BCTC_Nam[],Sheet_BaoCaoTaiChinh!$A$88,0),Sheet_BaoCaoTaiChinh!$D$88)
+ IFERROR(HLOOKUP(C$2-1,Table_BCTC_Nam[],Sheet_BaoCaoTaiChinh!$A$89,0),Sheet_BaoCaoTaiChinh!$D$89)
+ IFERROR(HLOOKUP(C$2-1,Table_BCTC_Nam[],Sheet_BaoCaoTaiChinh!$A$90,0),Sheet_BaoCaoTaiChinh!$D$90)
)/2)</f>
        <v>0</v>
      </c>
      <c r="D47" s="128">
        <f>D46/(-(D36+D41+D43)+
((
+ IFERROR(HLOOKUP(D$2,Table_BCTC_Thang[],Sheet_BaoCaoTaiChinh!$A$92,0),Sheet_BaoCaoTaiChinh!$D$92)
+ IFERROR(HLOOKUP(D$2,Table_BCTC_Thang[],Sheet_BaoCaoTaiChinh!$A$83,0),Sheet_BaoCaoTaiChinh!$D$83)
+ IFERROR(HLOOKUP(D$2,Table_BCTC_Thang[],Sheet_BaoCaoTaiChinh!$A$77,0),Sheet_BaoCaoTaiChinh!$D$77)
+ IFERROR(HLOOKUP(D$2,Table_BCTC_Thang[],Sheet_BaoCaoTaiChinh!$A$78,0),Sheet_BaoCaoTaiChinh!$D$78)
+ IFERROR(HLOOKUP(D$2,Table_BCTC_Thang[],Sheet_BaoCaoTaiChinh!$A$79,0),Sheet_BaoCaoTaiChinh!$D$79)
+ IFERROR(HLOOKUP(D$2,Table_BCTC_Thang[],Sheet_BaoCaoTaiChinh!$A$88,0),Sheet_BaoCaoTaiChinh!$D$88)
+ IFERROR(HLOOKUP(D$2,Table_BCTC_Thang[],Sheet_BaoCaoTaiChinh!$A$89,0),Sheet_BaoCaoTaiChinh!$D$89)
+ IFERROR(HLOOKUP(D$2,Table_BCTC_Thang[],Sheet_BaoCaoTaiChinh!$A$90,0),Sheet_BaoCaoTaiChinh!$D$90)
+ IFERROR(HLOOKUP(DATE(YEAR(D$2),MONTH(D$2)-1,1),Table_BCTC_Thang[],Sheet_BaoCaoTaiChinh!$A$92,0),Sheet_BaoCaoTaiChinh!$D$92)
+ IFERROR(HLOOKUP(DATE(YEAR(D$2),MONTH(D$2)-1,1),Table_BCTC_Nam[],Sheet_BaoCaoTaiChinh!$A$83,0),Sheet_BaoCaoTaiChinh!$D$83)
+ IFERROR(HLOOKUP(DATE(YEAR(D$2),MONTH(D$2)-1,1),Table_BCTC_Nam[],Sheet_BaoCaoTaiChinh!$A$77,0),Sheet_BaoCaoTaiChinh!$D$77)
+ IFERROR(HLOOKUP(DATE(YEAR(D$2),MONTH(D$2)-1,1),Table_BCTC_Nam[],Sheet_BaoCaoTaiChinh!$A$78,0),Sheet_BaoCaoTaiChinh!$D$78)
+ IFERROR(HLOOKUP(DATE(YEAR(D$2),MONTH(D$2)-1,1),Table_BCTC_Nam[],Sheet_BaoCaoTaiChinh!$A$79,0),Sheet_BaoCaoTaiChinh!$D$79)
+ IFERROR(HLOOKUP(DATE(YEAR(D$2),MONTH(D$2)-1,1),Table_BCTC_Nam[],Sheet_BaoCaoTaiChinh!$A$88,0),Sheet_BaoCaoTaiChinh!$D$88)
+ IFERROR(HLOOKUP(DATE(YEAR(D$2),MONTH(D$2)-1,1),Table_BCTC_Nam[],Sheet_BaoCaoTaiChinh!$A$89,0),Sheet_BaoCaoTaiChinh!$D$89)
+ IFERROR(HLOOKUP(DATE(YEAR(D$2),MONTH(D$2)-1,1),Table_BCTC_Nam[],Sheet_BaoCaoTaiChinh!$A$90,0),Sheet_BaoCaoTaiChinh!$D$90)
)/2))</f>
        <v>0</v>
      </c>
      <c r="E47" s="128">
        <f>E46/(-(E36+E41+E43)+
((
+ IFERROR(HLOOKUP(E$2,Table_BCTC_Thang[],Sheet_BaoCaoTaiChinh!$A$92,0),Sheet_BaoCaoTaiChinh!$D$92)
+ IFERROR(HLOOKUP(E$2,Table_BCTC_Thang[],Sheet_BaoCaoTaiChinh!$A$83,0),Sheet_BaoCaoTaiChinh!$D$83)
+ IFERROR(HLOOKUP(E$2,Table_BCTC_Thang[],Sheet_BaoCaoTaiChinh!$A$77,0),Sheet_BaoCaoTaiChinh!$D$77)
+ IFERROR(HLOOKUP(E$2,Table_BCTC_Thang[],Sheet_BaoCaoTaiChinh!$A$78,0),Sheet_BaoCaoTaiChinh!$D$78)
+ IFERROR(HLOOKUP(E$2,Table_BCTC_Thang[],Sheet_BaoCaoTaiChinh!$A$79,0),Sheet_BaoCaoTaiChinh!$D$79)
+ IFERROR(HLOOKUP(E$2,Table_BCTC_Thang[],Sheet_BaoCaoTaiChinh!$A$88,0),Sheet_BaoCaoTaiChinh!$D$88)
+ IFERROR(HLOOKUP(E$2,Table_BCTC_Thang[],Sheet_BaoCaoTaiChinh!$A$89,0),Sheet_BaoCaoTaiChinh!$D$89)
+ IFERROR(HLOOKUP(E$2,Table_BCTC_Thang[],Sheet_BaoCaoTaiChinh!$A$90,0),Sheet_BaoCaoTaiChinh!$D$90)
+ IFERROR(HLOOKUP(DATE(YEAR(E$2),MONTH(E$2)-1,1),Table_BCTC_Thang[],Sheet_BaoCaoTaiChinh!$A$92,0),Sheet_BaoCaoTaiChinh!$D$92)
+ IFERROR(HLOOKUP(DATE(YEAR(E$2),MONTH(E$2)-1,1),Table_BCTC_Nam[],Sheet_BaoCaoTaiChinh!$A$83,0),Sheet_BaoCaoTaiChinh!$D$83)
+ IFERROR(HLOOKUP(DATE(YEAR(E$2),MONTH(E$2)-1,1),Table_BCTC_Nam[],Sheet_BaoCaoTaiChinh!$A$77,0),Sheet_BaoCaoTaiChinh!$D$77)
+ IFERROR(HLOOKUP(DATE(YEAR(E$2),MONTH(E$2)-1,1),Table_BCTC_Nam[],Sheet_BaoCaoTaiChinh!$A$78,0),Sheet_BaoCaoTaiChinh!$D$78)
+ IFERROR(HLOOKUP(DATE(YEAR(E$2),MONTH(E$2)-1,1),Table_BCTC_Nam[],Sheet_BaoCaoTaiChinh!$A$79,0),Sheet_BaoCaoTaiChinh!$D$79)
+ IFERROR(HLOOKUP(DATE(YEAR(E$2),MONTH(E$2)-1,1),Table_BCTC_Nam[],Sheet_BaoCaoTaiChinh!$A$88,0),Sheet_BaoCaoTaiChinh!$D$88)
+ IFERROR(HLOOKUP(DATE(YEAR(E$2),MONTH(E$2)-1,1),Table_BCTC_Nam[],Sheet_BaoCaoTaiChinh!$A$89,0),Sheet_BaoCaoTaiChinh!$D$89)
+ IFERROR(HLOOKUP(DATE(YEAR(E$2),MONTH(E$2)-1,1),Table_BCTC_Nam[],Sheet_BaoCaoTaiChinh!$A$90,0),Sheet_BaoCaoTaiChinh!$D$90)
)/2))</f>
        <v>0</v>
      </c>
      <c r="F47" s="128">
        <f>F46/(-(F36+F41+F43)+
((
+ IFERROR(HLOOKUP(F$2,Table_BCTC_Thang[],Sheet_BaoCaoTaiChinh!$A$92,0),Sheet_BaoCaoTaiChinh!$D$92)
+ IFERROR(HLOOKUP(F$2,Table_BCTC_Thang[],Sheet_BaoCaoTaiChinh!$A$83,0),Sheet_BaoCaoTaiChinh!$D$83)
+ IFERROR(HLOOKUP(F$2,Table_BCTC_Thang[],Sheet_BaoCaoTaiChinh!$A$77,0),Sheet_BaoCaoTaiChinh!$D$77)
+ IFERROR(HLOOKUP(F$2,Table_BCTC_Thang[],Sheet_BaoCaoTaiChinh!$A$78,0),Sheet_BaoCaoTaiChinh!$D$78)
+ IFERROR(HLOOKUP(F$2,Table_BCTC_Thang[],Sheet_BaoCaoTaiChinh!$A$79,0),Sheet_BaoCaoTaiChinh!$D$79)
+ IFERROR(HLOOKUP(F$2,Table_BCTC_Thang[],Sheet_BaoCaoTaiChinh!$A$88,0),Sheet_BaoCaoTaiChinh!$D$88)
+ IFERROR(HLOOKUP(F$2,Table_BCTC_Thang[],Sheet_BaoCaoTaiChinh!$A$89,0),Sheet_BaoCaoTaiChinh!$D$89)
+ IFERROR(HLOOKUP(F$2,Table_BCTC_Thang[],Sheet_BaoCaoTaiChinh!$A$90,0),Sheet_BaoCaoTaiChinh!$D$90)
+ IFERROR(HLOOKUP(DATE(YEAR(F$2),MONTH(F$2)-1,1),Table_BCTC_Thang[],Sheet_BaoCaoTaiChinh!$A$92,0),Sheet_BaoCaoTaiChinh!$D$92)
+ IFERROR(HLOOKUP(DATE(YEAR(F$2),MONTH(F$2)-1,1),Table_BCTC_Nam[],Sheet_BaoCaoTaiChinh!$A$83,0),Sheet_BaoCaoTaiChinh!$D$83)
+ IFERROR(HLOOKUP(DATE(YEAR(F$2),MONTH(F$2)-1,1),Table_BCTC_Nam[],Sheet_BaoCaoTaiChinh!$A$77,0),Sheet_BaoCaoTaiChinh!$D$77)
+ IFERROR(HLOOKUP(DATE(YEAR(F$2),MONTH(F$2)-1,1),Table_BCTC_Nam[],Sheet_BaoCaoTaiChinh!$A$78,0),Sheet_BaoCaoTaiChinh!$D$78)
+ IFERROR(HLOOKUP(DATE(YEAR(F$2),MONTH(F$2)-1,1),Table_BCTC_Nam[],Sheet_BaoCaoTaiChinh!$A$79,0),Sheet_BaoCaoTaiChinh!$D$79)
+ IFERROR(HLOOKUP(DATE(YEAR(F$2),MONTH(F$2)-1,1),Table_BCTC_Nam[],Sheet_BaoCaoTaiChinh!$A$88,0),Sheet_BaoCaoTaiChinh!$D$88)
+ IFERROR(HLOOKUP(DATE(YEAR(F$2),MONTH(F$2)-1,1),Table_BCTC_Nam[],Sheet_BaoCaoTaiChinh!$A$89,0),Sheet_BaoCaoTaiChinh!$D$89)
+ IFERROR(HLOOKUP(DATE(YEAR(F$2),MONTH(F$2)-1,1),Table_BCTC_Nam[],Sheet_BaoCaoTaiChinh!$A$90,0),Sheet_BaoCaoTaiChinh!$D$90)
)/2))</f>
        <v>0</v>
      </c>
      <c r="G47" s="128">
        <f>G46/(-(G36+G41+G43)+
((
+ IFERROR(HLOOKUP(G$2,Table_BCTC_Thang[],Sheet_BaoCaoTaiChinh!$A$92,0),Sheet_BaoCaoTaiChinh!$D$92)
+ IFERROR(HLOOKUP(G$2,Table_BCTC_Thang[],Sheet_BaoCaoTaiChinh!$A$83,0),Sheet_BaoCaoTaiChinh!$D$83)
+ IFERROR(HLOOKUP(G$2,Table_BCTC_Thang[],Sheet_BaoCaoTaiChinh!$A$77,0),Sheet_BaoCaoTaiChinh!$D$77)
+ IFERROR(HLOOKUP(G$2,Table_BCTC_Thang[],Sheet_BaoCaoTaiChinh!$A$78,0),Sheet_BaoCaoTaiChinh!$D$78)
+ IFERROR(HLOOKUP(G$2,Table_BCTC_Thang[],Sheet_BaoCaoTaiChinh!$A$79,0),Sheet_BaoCaoTaiChinh!$D$79)
+ IFERROR(HLOOKUP(G$2,Table_BCTC_Thang[],Sheet_BaoCaoTaiChinh!$A$88,0),Sheet_BaoCaoTaiChinh!$D$88)
+ IFERROR(HLOOKUP(G$2,Table_BCTC_Thang[],Sheet_BaoCaoTaiChinh!$A$89,0),Sheet_BaoCaoTaiChinh!$D$89)
+ IFERROR(HLOOKUP(G$2,Table_BCTC_Thang[],Sheet_BaoCaoTaiChinh!$A$90,0),Sheet_BaoCaoTaiChinh!$D$90)
+ IFERROR(HLOOKUP(DATE(YEAR(G$2),MONTH(G$2)-1,1),Table_BCTC_Thang[],Sheet_BaoCaoTaiChinh!$A$92,0),Sheet_BaoCaoTaiChinh!$D$92)
+ IFERROR(HLOOKUP(DATE(YEAR(G$2),MONTH(G$2)-1,1),Table_BCTC_Nam[],Sheet_BaoCaoTaiChinh!$A$83,0),Sheet_BaoCaoTaiChinh!$D$83)
+ IFERROR(HLOOKUP(DATE(YEAR(G$2),MONTH(G$2)-1,1),Table_BCTC_Nam[],Sheet_BaoCaoTaiChinh!$A$77,0),Sheet_BaoCaoTaiChinh!$D$77)
+ IFERROR(HLOOKUP(DATE(YEAR(G$2),MONTH(G$2)-1,1),Table_BCTC_Nam[],Sheet_BaoCaoTaiChinh!$A$78,0),Sheet_BaoCaoTaiChinh!$D$78)
+ IFERROR(HLOOKUP(DATE(YEAR(G$2),MONTH(G$2)-1,1),Table_BCTC_Nam[],Sheet_BaoCaoTaiChinh!$A$79,0),Sheet_BaoCaoTaiChinh!$D$79)
+ IFERROR(HLOOKUP(DATE(YEAR(G$2),MONTH(G$2)-1,1),Table_BCTC_Nam[],Sheet_BaoCaoTaiChinh!$A$88,0),Sheet_BaoCaoTaiChinh!$D$88)
+ IFERROR(HLOOKUP(DATE(YEAR(G$2),MONTH(G$2)-1,1),Table_BCTC_Nam[],Sheet_BaoCaoTaiChinh!$A$89,0),Sheet_BaoCaoTaiChinh!$D$89)
+ IFERROR(HLOOKUP(DATE(YEAR(G$2),MONTH(G$2)-1,1),Table_BCTC_Nam[],Sheet_BaoCaoTaiChinh!$A$90,0),Sheet_BaoCaoTaiChinh!$D$90)
)/2))</f>
        <v>0</v>
      </c>
      <c r="H47" s="128">
        <f>H46/(-(H36+H41+H43)+
((
+ IFERROR(HLOOKUP(H$2,Table_BCTC_Thang[],Sheet_BaoCaoTaiChinh!$A$92,0),Sheet_BaoCaoTaiChinh!$D$92)
+ IFERROR(HLOOKUP(H$2,Table_BCTC_Thang[],Sheet_BaoCaoTaiChinh!$A$83,0),Sheet_BaoCaoTaiChinh!$D$83)
+ IFERROR(HLOOKUP(H$2,Table_BCTC_Thang[],Sheet_BaoCaoTaiChinh!$A$77,0),Sheet_BaoCaoTaiChinh!$D$77)
+ IFERROR(HLOOKUP(H$2,Table_BCTC_Thang[],Sheet_BaoCaoTaiChinh!$A$78,0),Sheet_BaoCaoTaiChinh!$D$78)
+ IFERROR(HLOOKUP(H$2,Table_BCTC_Thang[],Sheet_BaoCaoTaiChinh!$A$79,0),Sheet_BaoCaoTaiChinh!$D$79)
+ IFERROR(HLOOKUP(H$2,Table_BCTC_Thang[],Sheet_BaoCaoTaiChinh!$A$88,0),Sheet_BaoCaoTaiChinh!$D$88)
+ IFERROR(HLOOKUP(H$2,Table_BCTC_Thang[],Sheet_BaoCaoTaiChinh!$A$89,0),Sheet_BaoCaoTaiChinh!$D$89)
+ IFERROR(HLOOKUP(H$2,Table_BCTC_Thang[],Sheet_BaoCaoTaiChinh!$A$90,0),Sheet_BaoCaoTaiChinh!$D$90)
+ IFERROR(HLOOKUP(DATE(YEAR(H$2),MONTH(H$2)-1,1),Table_BCTC_Thang[],Sheet_BaoCaoTaiChinh!$A$92,0),Sheet_BaoCaoTaiChinh!$D$92)
+ IFERROR(HLOOKUP(DATE(YEAR(H$2),MONTH(H$2)-1,1),Table_BCTC_Nam[],Sheet_BaoCaoTaiChinh!$A$83,0),Sheet_BaoCaoTaiChinh!$D$83)
+ IFERROR(HLOOKUP(DATE(YEAR(H$2),MONTH(H$2)-1,1),Table_BCTC_Nam[],Sheet_BaoCaoTaiChinh!$A$77,0),Sheet_BaoCaoTaiChinh!$D$77)
+ IFERROR(HLOOKUP(DATE(YEAR(H$2),MONTH(H$2)-1,1),Table_BCTC_Nam[],Sheet_BaoCaoTaiChinh!$A$78,0),Sheet_BaoCaoTaiChinh!$D$78)
+ IFERROR(HLOOKUP(DATE(YEAR(H$2),MONTH(H$2)-1,1),Table_BCTC_Nam[],Sheet_BaoCaoTaiChinh!$A$79,0),Sheet_BaoCaoTaiChinh!$D$79)
+ IFERROR(HLOOKUP(DATE(YEAR(H$2),MONTH(H$2)-1,1),Table_BCTC_Nam[],Sheet_BaoCaoTaiChinh!$A$88,0),Sheet_BaoCaoTaiChinh!$D$88)
+ IFERROR(HLOOKUP(DATE(YEAR(H$2),MONTH(H$2)-1,1),Table_BCTC_Nam[],Sheet_BaoCaoTaiChinh!$A$89,0),Sheet_BaoCaoTaiChinh!$D$89)
+ IFERROR(HLOOKUP(DATE(YEAR(H$2),MONTH(H$2)-1,1),Table_BCTC_Nam[],Sheet_BaoCaoTaiChinh!$A$90,0),Sheet_BaoCaoTaiChinh!$D$90)
)/2))</f>
        <v>0</v>
      </c>
      <c r="I47" s="128">
        <f>I46/(-(I36+I41+I43)+
((
+ IFERROR(HLOOKUP(I$2,Table_BCTC_Thang[],Sheet_BaoCaoTaiChinh!$A$92,0),Sheet_BaoCaoTaiChinh!$D$92)
+ IFERROR(HLOOKUP(I$2,Table_BCTC_Thang[],Sheet_BaoCaoTaiChinh!$A$83,0),Sheet_BaoCaoTaiChinh!$D$83)
+ IFERROR(HLOOKUP(I$2,Table_BCTC_Thang[],Sheet_BaoCaoTaiChinh!$A$77,0),Sheet_BaoCaoTaiChinh!$D$77)
+ IFERROR(HLOOKUP(I$2,Table_BCTC_Thang[],Sheet_BaoCaoTaiChinh!$A$78,0),Sheet_BaoCaoTaiChinh!$D$78)
+ IFERROR(HLOOKUP(I$2,Table_BCTC_Thang[],Sheet_BaoCaoTaiChinh!$A$79,0),Sheet_BaoCaoTaiChinh!$D$79)
+ IFERROR(HLOOKUP(I$2,Table_BCTC_Thang[],Sheet_BaoCaoTaiChinh!$A$88,0),Sheet_BaoCaoTaiChinh!$D$88)
+ IFERROR(HLOOKUP(I$2,Table_BCTC_Thang[],Sheet_BaoCaoTaiChinh!$A$89,0),Sheet_BaoCaoTaiChinh!$D$89)
+ IFERROR(HLOOKUP(I$2,Table_BCTC_Thang[],Sheet_BaoCaoTaiChinh!$A$90,0),Sheet_BaoCaoTaiChinh!$D$90)
+ IFERROR(HLOOKUP(DATE(YEAR(I$2),MONTH(I$2)-1,1),Table_BCTC_Thang[],Sheet_BaoCaoTaiChinh!$A$92,0),Sheet_BaoCaoTaiChinh!$D$92)
+ IFERROR(HLOOKUP(DATE(YEAR(I$2),MONTH(I$2)-1,1),Table_BCTC_Nam[],Sheet_BaoCaoTaiChinh!$A$83,0),Sheet_BaoCaoTaiChinh!$D$83)
+ IFERROR(HLOOKUP(DATE(YEAR(I$2),MONTH(I$2)-1,1),Table_BCTC_Nam[],Sheet_BaoCaoTaiChinh!$A$77,0),Sheet_BaoCaoTaiChinh!$D$77)
+ IFERROR(HLOOKUP(DATE(YEAR(I$2),MONTH(I$2)-1,1),Table_BCTC_Nam[],Sheet_BaoCaoTaiChinh!$A$78,0),Sheet_BaoCaoTaiChinh!$D$78)
+ IFERROR(HLOOKUP(DATE(YEAR(I$2),MONTH(I$2)-1,1),Table_BCTC_Nam[],Sheet_BaoCaoTaiChinh!$A$79,0),Sheet_BaoCaoTaiChinh!$D$79)
+ IFERROR(HLOOKUP(DATE(YEAR(I$2),MONTH(I$2)-1,1),Table_BCTC_Nam[],Sheet_BaoCaoTaiChinh!$A$88,0),Sheet_BaoCaoTaiChinh!$D$88)
+ IFERROR(HLOOKUP(DATE(YEAR(I$2),MONTH(I$2)-1,1),Table_BCTC_Nam[],Sheet_BaoCaoTaiChinh!$A$89,0),Sheet_BaoCaoTaiChinh!$D$89)
+ IFERROR(HLOOKUP(DATE(YEAR(I$2),MONTH(I$2)-1,1),Table_BCTC_Nam[],Sheet_BaoCaoTaiChinh!$A$90,0),Sheet_BaoCaoTaiChinh!$D$90)
)/2))</f>
        <v>0</v>
      </c>
      <c r="J47" s="128">
        <f>J46/(-(J36+J41+J43)+
((
+ IFERROR(HLOOKUP(J$2,Table_BCTC_Thang[],Sheet_BaoCaoTaiChinh!$A$92,0),Sheet_BaoCaoTaiChinh!$D$92)
+ IFERROR(HLOOKUP(J$2,Table_BCTC_Thang[],Sheet_BaoCaoTaiChinh!$A$83,0),Sheet_BaoCaoTaiChinh!$D$83)
+ IFERROR(HLOOKUP(J$2,Table_BCTC_Thang[],Sheet_BaoCaoTaiChinh!$A$77,0),Sheet_BaoCaoTaiChinh!$D$77)
+ IFERROR(HLOOKUP(J$2,Table_BCTC_Thang[],Sheet_BaoCaoTaiChinh!$A$78,0),Sheet_BaoCaoTaiChinh!$D$78)
+ IFERROR(HLOOKUP(J$2,Table_BCTC_Thang[],Sheet_BaoCaoTaiChinh!$A$79,0),Sheet_BaoCaoTaiChinh!$D$79)
+ IFERROR(HLOOKUP(J$2,Table_BCTC_Thang[],Sheet_BaoCaoTaiChinh!$A$88,0),Sheet_BaoCaoTaiChinh!$D$88)
+ IFERROR(HLOOKUP(J$2,Table_BCTC_Thang[],Sheet_BaoCaoTaiChinh!$A$89,0),Sheet_BaoCaoTaiChinh!$D$89)
+ IFERROR(HLOOKUP(J$2,Table_BCTC_Thang[],Sheet_BaoCaoTaiChinh!$A$90,0),Sheet_BaoCaoTaiChinh!$D$90)
+ IFERROR(HLOOKUP(DATE(YEAR(J$2),MONTH(J$2)-1,1),Table_BCTC_Thang[],Sheet_BaoCaoTaiChinh!$A$92,0),Sheet_BaoCaoTaiChinh!$D$92)
+ IFERROR(HLOOKUP(DATE(YEAR(J$2),MONTH(J$2)-1,1),Table_BCTC_Nam[],Sheet_BaoCaoTaiChinh!$A$83,0),Sheet_BaoCaoTaiChinh!$D$83)
+ IFERROR(HLOOKUP(DATE(YEAR(J$2),MONTH(J$2)-1,1),Table_BCTC_Nam[],Sheet_BaoCaoTaiChinh!$A$77,0),Sheet_BaoCaoTaiChinh!$D$77)
+ IFERROR(HLOOKUP(DATE(YEAR(J$2),MONTH(J$2)-1,1),Table_BCTC_Nam[],Sheet_BaoCaoTaiChinh!$A$78,0),Sheet_BaoCaoTaiChinh!$D$78)
+ IFERROR(HLOOKUP(DATE(YEAR(J$2),MONTH(J$2)-1,1),Table_BCTC_Nam[],Sheet_BaoCaoTaiChinh!$A$79,0),Sheet_BaoCaoTaiChinh!$D$79)
+ IFERROR(HLOOKUP(DATE(YEAR(J$2),MONTH(J$2)-1,1),Table_BCTC_Nam[],Sheet_BaoCaoTaiChinh!$A$88,0),Sheet_BaoCaoTaiChinh!$D$88)
+ IFERROR(HLOOKUP(DATE(YEAR(J$2),MONTH(J$2)-1,1),Table_BCTC_Nam[],Sheet_BaoCaoTaiChinh!$A$89,0),Sheet_BaoCaoTaiChinh!$D$89)
+ IFERROR(HLOOKUP(DATE(YEAR(J$2),MONTH(J$2)-1,1),Table_BCTC_Nam[],Sheet_BaoCaoTaiChinh!$A$90,0),Sheet_BaoCaoTaiChinh!$D$90)
)/2))</f>
        <v>0</v>
      </c>
      <c r="K47" s="128">
        <f>K46/(-(K36+K41+K43)+
((
+ IFERROR(HLOOKUP(K$2,Table_BCTC_Thang[],Sheet_BaoCaoTaiChinh!$A$92,0),Sheet_BaoCaoTaiChinh!$D$92)
+ IFERROR(HLOOKUP(K$2,Table_BCTC_Thang[],Sheet_BaoCaoTaiChinh!$A$83,0),Sheet_BaoCaoTaiChinh!$D$83)
+ IFERROR(HLOOKUP(K$2,Table_BCTC_Thang[],Sheet_BaoCaoTaiChinh!$A$77,0),Sheet_BaoCaoTaiChinh!$D$77)
+ IFERROR(HLOOKUP(K$2,Table_BCTC_Thang[],Sheet_BaoCaoTaiChinh!$A$78,0),Sheet_BaoCaoTaiChinh!$D$78)
+ IFERROR(HLOOKUP(K$2,Table_BCTC_Thang[],Sheet_BaoCaoTaiChinh!$A$79,0),Sheet_BaoCaoTaiChinh!$D$79)
+ IFERROR(HLOOKUP(K$2,Table_BCTC_Thang[],Sheet_BaoCaoTaiChinh!$A$88,0),Sheet_BaoCaoTaiChinh!$D$88)
+ IFERROR(HLOOKUP(K$2,Table_BCTC_Thang[],Sheet_BaoCaoTaiChinh!$A$89,0),Sheet_BaoCaoTaiChinh!$D$89)
+ IFERROR(HLOOKUP(K$2,Table_BCTC_Thang[],Sheet_BaoCaoTaiChinh!$A$90,0),Sheet_BaoCaoTaiChinh!$D$90)
+ IFERROR(HLOOKUP(DATE(YEAR(K$2),MONTH(K$2)-1,1),Table_BCTC_Thang[],Sheet_BaoCaoTaiChinh!$A$92,0),Sheet_BaoCaoTaiChinh!$D$92)
+ IFERROR(HLOOKUP(DATE(YEAR(K$2),MONTH(K$2)-1,1),Table_BCTC_Nam[],Sheet_BaoCaoTaiChinh!$A$83,0),Sheet_BaoCaoTaiChinh!$D$83)
+ IFERROR(HLOOKUP(DATE(YEAR(K$2),MONTH(K$2)-1,1),Table_BCTC_Nam[],Sheet_BaoCaoTaiChinh!$A$77,0),Sheet_BaoCaoTaiChinh!$D$77)
+ IFERROR(HLOOKUP(DATE(YEAR(K$2),MONTH(K$2)-1,1),Table_BCTC_Nam[],Sheet_BaoCaoTaiChinh!$A$78,0),Sheet_BaoCaoTaiChinh!$D$78)
+ IFERROR(HLOOKUP(DATE(YEAR(K$2),MONTH(K$2)-1,1),Table_BCTC_Nam[],Sheet_BaoCaoTaiChinh!$A$79,0),Sheet_BaoCaoTaiChinh!$D$79)
+ IFERROR(HLOOKUP(DATE(YEAR(K$2),MONTH(K$2)-1,1),Table_BCTC_Nam[],Sheet_BaoCaoTaiChinh!$A$88,0),Sheet_BaoCaoTaiChinh!$D$88)
+ IFERROR(HLOOKUP(DATE(YEAR(K$2),MONTH(K$2)-1,1),Table_BCTC_Nam[],Sheet_BaoCaoTaiChinh!$A$89,0),Sheet_BaoCaoTaiChinh!$D$89)
+ IFERROR(HLOOKUP(DATE(YEAR(K$2),MONTH(K$2)-1,1),Table_BCTC_Nam[],Sheet_BaoCaoTaiChinh!$A$90,0),Sheet_BaoCaoTaiChinh!$D$90)
)/2))</f>
        <v>0</v>
      </c>
      <c r="L47" s="128">
        <f>L46/(-(L36+L41+L43)+
((
+ IFERROR(HLOOKUP(L$2,Table_BCTC_Thang[],Sheet_BaoCaoTaiChinh!$A$92,0),Sheet_BaoCaoTaiChinh!$D$92)
+ IFERROR(HLOOKUP(L$2,Table_BCTC_Thang[],Sheet_BaoCaoTaiChinh!$A$83,0),Sheet_BaoCaoTaiChinh!$D$83)
+ IFERROR(HLOOKUP(L$2,Table_BCTC_Thang[],Sheet_BaoCaoTaiChinh!$A$77,0),Sheet_BaoCaoTaiChinh!$D$77)
+ IFERROR(HLOOKUP(L$2,Table_BCTC_Thang[],Sheet_BaoCaoTaiChinh!$A$78,0),Sheet_BaoCaoTaiChinh!$D$78)
+ IFERROR(HLOOKUP(L$2,Table_BCTC_Thang[],Sheet_BaoCaoTaiChinh!$A$79,0),Sheet_BaoCaoTaiChinh!$D$79)
+ IFERROR(HLOOKUP(L$2,Table_BCTC_Thang[],Sheet_BaoCaoTaiChinh!$A$88,0),Sheet_BaoCaoTaiChinh!$D$88)
+ IFERROR(HLOOKUP(L$2,Table_BCTC_Thang[],Sheet_BaoCaoTaiChinh!$A$89,0),Sheet_BaoCaoTaiChinh!$D$89)
+ IFERROR(HLOOKUP(L$2,Table_BCTC_Thang[],Sheet_BaoCaoTaiChinh!$A$90,0),Sheet_BaoCaoTaiChinh!$D$90)
+ IFERROR(HLOOKUP(DATE(YEAR(L$2),MONTH(L$2)-1,1),Table_BCTC_Thang[],Sheet_BaoCaoTaiChinh!$A$92,0),Sheet_BaoCaoTaiChinh!$D$92)
+ IFERROR(HLOOKUP(DATE(YEAR(L$2),MONTH(L$2)-1,1),Table_BCTC_Nam[],Sheet_BaoCaoTaiChinh!$A$83,0),Sheet_BaoCaoTaiChinh!$D$83)
+ IFERROR(HLOOKUP(DATE(YEAR(L$2),MONTH(L$2)-1,1),Table_BCTC_Nam[],Sheet_BaoCaoTaiChinh!$A$77,0),Sheet_BaoCaoTaiChinh!$D$77)
+ IFERROR(HLOOKUP(DATE(YEAR(L$2),MONTH(L$2)-1,1),Table_BCTC_Nam[],Sheet_BaoCaoTaiChinh!$A$78,0),Sheet_BaoCaoTaiChinh!$D$78)
+ IFERROR(HLOOKUP(DATE(YEAR(L$2),MONTH(L$2)-1,1),Table_BCTC_Nam[],Sheet_BaoCaoTaiChinh!$A$79,0),Sheet_BaoCaoTaiChinh!$D$79)
+ IFERROR(HLOOKUP(DATE(YEAR(L$2),MONTH(L$2)-1,1),Table_BCTC_Nam[],Sheet_BaoCaoTaiChinh!$A$88,0),Sheet_BaoCaoTaiChinh!$D$88)
+ IFERROR(HLOOKUP(DATE(YEAR(L$2),MONTH(L$2)-1,1),Table_BCTC_Nam[],Sheet_BaoCaoTaiChinh!$A$89,0),Sheet_BaoCaoTaiChinh!$D$89)
+ IFERROR(HLOOKUP(DATE(YEAR(L$2),MONTH(L$2)-1,1),Table_BCTC_Nam[],Sheet_BaoCaoTaiChinh!$A$90,0),Sheet_BaoCaoTaiChinh!$D$90)
)/2))</f>
        <v>0</v>
      </c>
      <c r="M47" s="128">
        <f>M46/(-(M36+M41+M43)+
((
+ IFERROR(HLOOKUP(M$2,Table_BCTC_Thang[],Sheet_BaoCaoTaiChinh!$A$92,0),Sheet_BaoCaoTaiChinh!$D$92)
+ IFERROR(HLOOKUP(M$2,Table_BCTC_Thang[],Sheet_BaoCaoTaiChinh!$A$83,0),Sheet_BaoCaoTaiChinh!$D$83)
+ IFERROR(HLOOKUP(M$2,Table_BCTC_Thang[],Sheet_BaoCaoTaiChinh!$A$77,0),Sheet_BaoCaoTaiChinh!$D$77)
+ IFERROR(HLOOKUP(M$2,Table_BCTC_Thang[],Sheet_BaoCaoTaiChinh!$A$78,0),Sheet_BaoCaoTaiChinh!$D$78)
+ IFERROR(HLOOKUP(M$2,Table_BCTC_Thang[],Sheet_BaoCaoTaiChinh!$A$79,0),Sheet_BaoCaoTaiChinh!$D$79)
+ IFERROR(HLOOKUP(M$2,Table_BCTC_Thang[],Sheet_BaoCaoTaiChinh!$A$88,0),Sheet_BaoCaoTaiChinh!$D$88)
+ IFERROR(HLOOKUP(M$2,Table_BCTC_Thang[],Sheet_BaoCaoTaiChinh!$A$89,0),Sheet_BaoCaoTaiChinh!$D$89)
+ IFERROR(HLOOKUP(M$2,Table_BCTC_Thang[],Sheet_BaoCaoTaiChinh!$A$90,0),Sheet_BaoCaoTaiChinh!$D$90)
+ IFERROR(HLOOKUP(DATE(YEAR(M$2),MONTH(M$2)-1,1),Table_BCTC_Thang[],Sheet_BaoCaoTaiChinh!$A$92,0),Sheet_BaoCaoTaiChinh!$D$92)
+ IFERROR(HLOOKUP(DATE(YEAR(M$2),MONTH(M$2)-1,1),Table_BCTC_Nam[],Sheet_BaoCaoTaiChinh!$A$83,0),Sheet_BaoCaoTaiChinh!$D$83)
+ IFERROR(HLOOKUP(DATE(YEAR(M$2),MONTH(M$2)-1,1),Table_BCTC_Nam[],Sheet_BaoCaoTaiChinh!$A$77,0),Sheet_BaoCaoTaiChinh!$D$77)
+ IFERROR(HLOOKUP(DATE(YEAR(M$2),MONTH(M$2)-1,1),Table_BCTC_Nam[],Sheet_BaoCaoTaiChinh!$A$78,0),Sheet_BaoCaoTaiChinh!$D$78)
+ IFERROR(HLOOKUP(DATE(YEAR(M$2),MONTH(M$2)-1,1),Table_BCTC_Nam[],Sheet_BaoCaoTaiChinh!$A$79,0),Sheet_BaoCaoTaiChinh!$D$79)
+ IFERROR(HLOOKUP(DATE(YEAR(M$2),MONTH(M$2)-1,1),Table_BCTC_Nam[],Sheet_BaoCaoTaiChinh!$A$88,0),Sheet_BaoCaoTaiChinh!$D$88)
+ IFERROR(HLOOKUP(DATE(YEAR(M$2),MONTH(M$2)-1,1),Table_BCTC_Nam[],Sheet_BaoCaoTaiChinh!$A$89,0),Sheet_BaoCaoTaiChinh!$D$89)
+ IFERROR(HLOOKUP(DATE(YEAR(M$2),MONTH(M$2)-1,1),Table_BCTC_Nam[],Sheet_BaoCaoTaiChinh!$A$90,0),Sheet_BaoCaoTaiChinh!$D$90)
)/2))</f>
        <v>0</v>
      </c>
      <c r="N47" s="128">
        <f>N46/(-(N36+N41+N43)+
((
+ IFERROR(HLOOKUP(N$2,Table_BCTC_Thang[],Sheet_BaoCaoTaiChinh!$A$92,0),Sheet_BaoCaoTaiChinh!$D$92)
+ IFERROR(HLOOKUP(N$2,Table_BCTC_Thang[],Sheet_BaoCaoTaiChinh!$A$83,0),Sheet_BaoCaoTaiChinh!$D$83)
+ IFERROR(HLOOKUP(N$2,Table_BCTC_Thang[],Sheet_BaoCaoTaiChinh!$A$77,0),Sheet_BaoCaoTaiChinh!$D$77)
+ IFERROR(HLOOKUP(N$2,Table_BCTC_Thang[],Sheet_BaoCaoTaiChinh!$A$78,0),Sheet_BaoCaoTaiChinh!$D$78)
+ IFERROR(HLOOKUP(N$2,Table_BCTC_Thang[],Sheet_BaoCaoTaiChinh!$A$79,0),Sheet_BaoCaoTaiChinh!$D$79)
+ IFERROR(HLOOKUP(N$2,Table_BCTC_Thang[],Sheet_BaoCaoTaiChinh!$A$88,0),Sheet_BaoCaoTaiChinh!$D$88)
+ IFERROR(HLOOKUP(N$2,Table_BCTC_Thang[],Sheet_BaoCaoTaiChinh!$A$89,0),Sheet_BaoCaoTaiChinh!$D$89)
+ IFERROR(HLOOKUP(N$2,Table_BCTC_Thang[],Sheet_BaoCaoTaiChinh!$A$90,0),Sheet_BaoCaoTaiChinh!$D$90)
+ IFERROR(HLOOKUP(DATE(YEAR(N$2),MONTH(N$2)-1,1),Table_BCTC_Thang[],Sheet_BaoCaoTaiChinh!$A$92,0),Sheet_BaoCaoTaiChinh!$D$92)
+ IFERROR(HLOOKUP(DATE(YEAR(N$2),MONTH(N$2)-1,1),Table_BCTC_Nam[],Sheet_BaoCaoTaiChinh!$A$83,0),Sheet_BaoCaoTaiChinh!$D$83)
+ IFERROR(HLOOKUP(DATE(YEAR(N$2),MONTH(N$2)-1,1),Table_BCTC_Nam[],Sheet_BaoCaoTaiChinh!$A$77,0),Sheet_BaoCaoTaiChinh!$D$77)
+ IFERROR(HLOOKUP(DATE(YEAR(N$2),MONTH(N$2)-1,1),Table_BCTC_Nam[],Sheet_BaoCaoTaiChinh!$A$78,0),Sheet_BaoCaoTaiChinh!$D$78)
+ IFERROR(HLOOKUP(DATE(YEAR(N$2),MONTH(N$2)-1,1),Table_BCTC_Nam[],Sheet_BaoCaoTaiChinh!$A$79,0),Sheet_BaoCaoTaiChinh!$D$79)
+ IFERROR(HLOOKUP(DATE(YEAR(N$2),MONTH(N$2)-1,1),Table_BCTC_Nam[],Sheet_BaoCaoTaiChinh!$A$88,0),Sheet_BaoCaoTaiChinh!$D$88)
+ IFERROR(HLOOKUP(DATE(YEAR(N$2),MONTH(N$2)-1,1),Table_BCTC_Nam[],Sheet_BaoCaoTaiChinh!$A$89,0),Sheet_BaoCaoTaiChinh!$D$89)
+ IFERROR(HLOOKUP(DATE(YEAR(N$2),MONTH(N$2)-1,1),Table_BCTC_Nam[],Sheet_BaoCaoTaiChinh!$A$90,0),Sheet_BaoCaoTaiChinh!$D$90)
)/2))</f>
        <v>0</v>
      </c>
      <c r="O47" s="128">
        <f>O46/(-(O36+O41+O43)+
((
+ IFERROR(HLOOKUP(O$2,Table_BCTC_Thang[],Sheet_BaoCaoTaiChinh!$A$92,0),Sheet_BaoCaoTaiChinh!$D$92)
+ IFERROR(HLOOKUP(O$2,Table_BCTC_Thang[],Sheet_BaoCaoTaiChinh!$A$83,0),Sheet_BaoCaoTaiChinh!$D$83)
+ IFERROR(HLOOKUP(O$2,Table_BCTC_Thang[],Sheet_BaoCaoTaiChinh!$A$77,0),Sheet_BaoCaoTaiChinh!$D$77)
+ IFERROR(HLOOKUP(O$2,Table_BCTC_Thang[],Sheet_BaoCaoTaiChinh!$A$78,0),Sheet_BaoCaoTaiChinh!$D$78)
+ IFERROR(HLOOKUP(O$2,Table_BCTC_Thang[],Sheet_BaoCaoTaiChinh!$A$79,0),Sheet_BaoCaoTaiChinh!$D$79)
+ IFERROR(HLOOKUP(O$2,Table_BCTC_Thang[],Sheet_BaoCaoTaiChinh!$A$88,0),Sheet_BaoCaoTaiChinh!$D$88)
+ IFERROR(HLOOKUP(O$2,Table_BCTC_Thang[],Sheet_BaoCaoTaiChinh!$A$89,0),Sheet_BaoCaoTaiChinh!$D$89)
+ IFERROR(HLOOKUP(O$2,Table_BCTC_Thang[],Sheet_BaoCaoTaiChinh!$A$90,0),Sheet_BaoCaoTaiChinh!$D$90)
+ IFERROR(HLOOKUP(DATE(YEAR(O$2),MONTH(O$2)-1,1),Table_BCTC_Thang[],Sheet_BaoCaoTaiChinh!$A$92,0),Sheet_BaoCaoTaiChinh!$D$92)
+ IFERROR(HLOOKUP(DATE(YEAR(O$2),MONTH(O$2)-1,1),Table_BCTC_Nam[],Sheet_BaoCaoTaiChinh!$A$83,0),Sheet_BaoCaoTaiChinh!$D$83)
+ IFERROR(HLOOKUP(DATE(YEAR(O$2),MONTH(O$2)-1,1),Table_BCTC_Nam[],Sheet_BaoCaoTaiChinh!$A$77,0),Sheet_BaoCaoTaiChinh!$D$77)
+ IFERROR(HLOOKUP(DATE(YEAR(O$2),MONTH(O$2)-1,1),Table_BCTC_Nam[],Sheet_BaoCaoTaiChinh!$A$78,0),Sheet_BaoCaoTaiChinh!$D$78)
+ IFERROR(HLOOKUP(DATE(YEAR(O$2),MONTH(O$2)-1,1),Table_BCTC_Nam[],Sheet_BaoCaoTaiChinh!$A$79,0),Sheet_BaoCaoTaiChinh!$D$79)
+ IFERROR(HLOOKUP(DATE(YEAR(O$2),MONTH(O$2)-1,1),Table_BCTC_Nam[],Sheet_BaoCaoTaiChinh!$A$88,0),Sheet_BaoCaoTaiChinh!$D$88)
+ IFERROR(HLOOKUP(DATE(YEAR(O$2),MONTH(O$2)-1,1),Table_BCTC_Nam[],Sheet_BaoCaoTaiChinh!$A$89,0),Sheet_BaoCaoTaiChinh!$D$89)
+ IFERROR(HLOOKUP(DATE(YEAR(O$2),MONTH(O$2)-1,1),Table_BCTC_Nam[],Sheet_BaoCaoTaiChinh!$A$90,0),Sheet_BaoCaoTaiChinh!$D$90)
)/2))</f>
        <v>0</v>
      </c>
      <c r="P47" s="323"/>
      <c r="Q47" s="240"/>
      <c r="R47" s="87" t="s">
        <v>113</v>
      </c>
      <c r="S47" s="128">
        <f>S46/(-(S36+S41+S43)+
(
+ IFERROR(HLOOKUP(S$1,Table_BCTC_Nam[],Sheet_BaoCaoTaiChinh!$A$92,0),Sheet_BaoCaoTaiChinh!$D$92)
+ IFERROR(HLOOKUP(S$1,Table_BCTC_Nam[],Sheet_BaoCaoTaiChinh!$A$83,0),Sheet_BaoCaoTaiChinh!$D$83)
+ IFERROR(HLOOKUP(S$1,Table_BCTC_Nam[],Sheet_BaoCaoTaiChinh!$A$77,0),Sheet_BaoCaoTaiChinh!$D$77)
+ IFERROR(HLOOKUP(S$1,Table_BCTC_Nam[],Sheet_BaoCaoTaiChinh!$A$78,0),Sheet_BaoCaoTaiChinh!$D$78)
+ IFERROR(HLOOKUP(S$1,Table_BCTC_Nam[],Sheet_BaoCaoTaiChinh!$A$79,0),Sheet_BaoCaoTaiChinh!$D$79)
+ IFERROR(HLOOKUP(S$1,Table_BCTC_Nam[],Sheet_BaoCaoTaiChinh!$A$88,0),Sheet_BaoCaoTaiChinh!$D$88)
+ IFERROR(HLOOKUP(S$1,Table_BCTC_Nam[],Sheet_BaoCaoTaiChinh!$A$89,0),Sheet_BaoCaoTaiChinh!$D$89)
+ IFERROR(HLOOKUP(S$1,Table_BCTC_Nam[],Sheet_BaoCaoTaiChinh!$A$90,0),Sheet_BaoCaoTaiChinh!$D$90)
+ IFERROR(HLOOKUP(S$1-1,Table_BCTC_Nam[],Sheet_BaoCaoTaiChinh!$A$92,0),Sheet_BaoCaoTaiChinh!$D$92)
+ IFERROR(HLOOKUP(S$1-1,Table_BCTC_Nam[],Sheet_BaoCaoTaiChinh!$A$83,0),Sheet_BaoCaoTaiChinh!$D$83)
+ IFERROR(HLOOKUP(S$1-1,Table_BCTC_Nam[],Sheet_BaoCaoTaiChinh!$A$77,0),Sheet_BaoCaoTaiChinh!$D$77)
+ IFERROR(HLOOKUP(S$1-1,Table_BCTC_Nam[],Sheet_BaoCaoTaiChinh!$A$78,0),Sheet_BaoCaoTaiChinh!$D$78)
+ IFERROR(HLOOKUP(S$1-1,Table_BCTC_Nam[],Sheet_BaoCaoTaiChinh!$A$79,0),Sheet_BaoCaoTaiChinh!$D$79)
+ IFERROR(HLOOKUP(S$1-1,Table_BCTC_Nam[],Sheet_BaoCaoTaiChinh!$A$88,0),Sheet_BaoCaoTaiChinh!$D$88)
+ IFERROR(HLOOKUP(S$1-1,Table_BCTC_Nam[],Sheet_BaoCaoTaiChinh!$A$89,0),Sheet_BaoCaoTaiChinh!$D$89)
+ IFERROR(HLOOKUP(S$1-1,Table_BCTC_Nam[],Sheet_BaoCaoTaiChinh!$A$90,0),Sheet_BaoCaoTaiChinh!$D$90)
)/2)</f>
        <v>0</v>
      </c>
      <c r="T47" s="240"/>
      <c r="U47" s="87" t="s">
        <v>113</v>
      </c>
      <c r="V47" s="128">
        <f>V46/(-(V36+V41+V43)+
((
+ IFERROR(HLOOKUP(V$1,Table_BCTC_Thang[],Sheet_BaoCaoTaiChinh!$A$92,0),Sheet_BaoCaoTaiChinh!$D$92)
+ IFERROR(HLOOKUP(V$1,Table_BCTC_Thang[],Sheet_BaoCaoTaiChinh!$A$83,0),Sheet_BaoCaoTaiChinh!$D$83)
+ IFERROR(HLOOKUP(V$1,Table_BCTC_Thang[],Sheet_BaoCaoTaiChinh!$A$77,0),Sheet_BaoCaoTaiChinh!$D$77)
+ IFERROR(HLOOKUP(V$1,Table_BCTC_Thang[],Sheet_BaoCaoTaiChinh!$A$78,0),Sheet_BaoCaoTaiChinh!$D$78)
+ IFERROR(HLOOKUP(V$1,Table_BCTC_Thang[],Sheet_BaoCaoTaiChinh!$A$79,0),Sheet_BaoCaoTaiChinh!$D$79)
+ IFERROR(HLOOKUP(V$1,Table_BCTC_Thang[],Sheet_BaoCaoTaiChinh!$A$88,0),Sheet_BaoCaoTaiChinh!$D$88)
+ IFERROR(HLOOKUP(V$1,Table_BCTC_Thang[],Sheet_BaoCaoTaiChinh!$A$89,0),Sheet_BaoCaoTaiChinh!$D$89)
+ IFERROR(HLOOKUP(V$1,Table_BCTC_Thang[],Sheet_BaoCaoTaiChinh!$A$90,0),Sheet_BaoCaoTaiChinh!$D$90)
+ IFERROR(HLOOKUP(DATE(YEAR(V$1),MONTH(V$1)-1,1),Table_BCTC_Thang[],Sheet_BaoCaoTaiChinh!$A$92,0),Sheet_BaoCaoTaiChinh!$D$92)
+ IFERROR(HLOOKUP(DATE(YEAR(V$1),MONTH(V$1)-1,1),Table_BCTC_Nam[],Sheet_BaoCaoTaiChinh!$A$83,0),Sheet_BaoCaoTaiChinh!$D$83)
+ IFERROR(HLOOKUP(DATE(YEAR(V$1),MONTH(V$1)-1,1),Table_BCTC_Nam[],Sheet_BaoCaoTaiChinh!$A$77,0),Sheet_BaoCaoTaiChinh!$D$77)
+ IFERROR(HLOOKUP(DATE(YEAR(V$1),MONTH(V$1)-1,1),Table_BCTC_Nam[],Sheet_BaoCaoTaiChinh!$A$78,0),Sheet_BaoCaoTaiChinh!$D$78)
+ IFERROR(HLOOKUP(DATE(YEAR(V$1),MONTH(V$1)-1,1),Table_BCTC_Nam[],Sheet_BaoCaoTaiChinh!$A$79,0),Sheet_BaoCaoTaiChinh!$D$79)
+ IFERROR(HLOOKUP(DATE(YEAR(V$1),MONTH(V$1)-1,1),Table_BCTC_Nam[],Sheet_BaoCaoTaiChinh!$A$88,0),Sheet_BaoCaoTaiChinh!$D$88)
+ IFERROR(HLOOKUP(DATE(YEAR(V$1),MONTH(V$1)-1,1),Table_BCTC_Nam[],Sheet_BaoCaoTaiChinh!$A$89,0),Sheet_BaoCaoTaiChinh!$D$89)
+ IFERROR(HLOOKUP(DATE(YEAR(V$1),MONTH(V$1)-1,1),Table_BCTC_Nam[],Sheet_BaoCaoTaiChinh!$A$90,0),Sheet_BaoCaoTaiChinh!$D$90)
)/2))</f>
        <v>0</v>
      </c>
    </row>
    <row r="48" spans="2:22" ht="18" customHeight="1" outlineLevel="1" x14ac:dyDescent="0.3">
      <c r="B48" s="74" t="s">
        <v>314</v>
      </c>
      <c r="C48" s="325" cm="1">
        <f t="array" ref="C48">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+C46+SUM(C44:C45)</f>
        <v>0</v>
      </c>
      <c r="D48" s="325" cm="1">
        <f t="array" ref="D48">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+SUM($D$46:D46)+SUM($D$44:D45)</f>
        <v>0</v>
      </c>
      <c r="E48" s="325" cm="1">
        <f t="array" ref="E48">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+SUM($D$46:E46)+SUM($D$44:E45)</f>
        <v>0</v>
      </c>
      <c r="F48" s="325" cm="1">
        <f t="array" ref="F48">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+SUM($D$46:F46)+SUM($D$44:F45)</f>
        <v>0</v>
      </c>
      <c r="G48" s="325" cm="1">
        <f t="array" ref="G48">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+SUM($D$46:G46)+SUM($D$44:G45)</f>
        <v>0</v>
      </c>
      <c r="H48" s="325" cm="1">
        <f t="array" ref="H48">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+SUM($D$46:H46)+SUM($D$44:H45)</f>
        <v>0</v>
      </c>
      <c r="I48" s="325" cm="1">
        <f t="array" ref="I48">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+SUM($D$46:I46)+SUM($D$44:I45)</f>
        <v>0</v>
      </c>
      <c r="J48" s="325" cm="1">
        <f t="array" ref="J48">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+SUM($D$46:J46)+SUM($D$44:J45)</f>
        <v>0</v>
      </c>
      <c r="K48" s="325" cm="1">
        <f t="array" ref="K48">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+SUM($D$46:K46)+SUM($D$44:K45)</f>
        <v>0</v>
      </c>
      <c r="L48" s="325" cm="1">
        <f t="array" ref="L48">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+SUM($D$46:L46)+SUM($D$44:L45)</f>
        <v>0</v>
      </c>
      <c r="M48" s="325" cm="1">
        <f t="array" ref="M48">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+SUM($D$46:M46)+SUM($D$44:M45)</f>
        <v>0</v>
      </c>
      <c r="N48" s="325" cm="1">
        <f t="array" ref="N48">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+SUM($D$46:N46)+SUM($D$44:N45)</f>
        <v>0</v>
      </c>
      <c r="O48" s="325" cm="1">
        <f t="array" ref="O48">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+SUM($D$46:O46)+SUM($D$44:O45)</f>
        <v>0</v>
      </c>
      <c r="P48" s="324"/>
      <c r="Q48" s="240"/>
      <c r="R48" s="74" t="s">
        <v>314</v>
      </c>
      <c r="S48" s="325" cm="1">
        <f t="array" ref="S48">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+S46+SUM(S44:S45)</f>
        <v>0</v>
      </c>
      <c r="T48" s="240"/>
      <c r="U48" s="74" t="s">
        <v>314</v>
      </c>
      <c r="V48" s="325" cm="1">
        <f t="array" ref="V48">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+V46+SUM(V44:V45)</f>
        <v>0</v>
      </c>
    </row>
    <row r="49" spans="2:22" ht="18" customHeight="1" outlineLevel="2" x14ac:dyDescent="0.3">
      <c r="B49" s="73" t="s">
        <v>315</v>
      </c>
      <c r="C49" s="328" cm="1">
        <f t="array" ref="C49"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49" s="334" cm="1">
        <f t="array" ref="D49"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49" s="334" cm="1">
        <f t="array" ref="E49"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49" s="334" cm="1">
        <f t="array" ref="F49"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49" s="334" cm="1">
        <f t="array" ref="G49"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49" s="334" cm="1">
        <f t="array" ref="H49"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49" s="334" cm="1">
        <f t="array" ref="I49"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49" s="334" cm="1">
        <f t="array" ref="J49"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49" s="334" cm="1">
        <f t="array" ref="K49"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49" s="334" cm="1">
        <f t="array" ref="L49"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49" s="334" cm="1">
        <f t="array" ref="M49"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49" s="334" cm="1">
        <f t="array" ref="N49"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49" s="334" cm="1">
        <f t="array" ref="O49"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49" s="323"/>
      <c r="Q49" s="240"/>
      <c r="R49" s="73" t="s">
        <v>315</v>
      </c>
      <c r="S49" s="328" cm="1">
        <f t="array" ref="S49"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49" s="240"/>
      <c r="U49" s="73" t="s">
        <v>315</v>
      </c>
      <c r="V49" s="334" cm="1">
        <f t="array" ref="V49"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0" spans="2:22" ht="18" customHeight="1" outlineLevel="2" x14ac:dyDescent="0.3">
      <c r="B50" s="73" t="s">
        <v>116</v>
      </c>
      <c r="C50" s="328" cm="1">
        <f t="array" ref="C50">+IFERROR(SUM(_xlfn._xlws.FILTER(Table_ThuChiTC[Giá trị GD],
(Table_ThuChiTC[Loại GD]="THU")*
(Table_ThuChiTC[Nội dung GD]=Sheet_ThuChiTC!$F$9)*
(Table_ThuChiTC[Ngày GD]&gt;=D2)*
(Table_ThuChiTC[Ngày GD]&lt;P2)
)),0)</f>
        <v>0</v>
      </c>
      <c r="D50" s="334" cm="1">
        <f t="array" ref="D50">+IFERROR(SUM(_xlfn._xlws.FILTER(Table_ThuChiTC[Giá trị GD],
(Table_ThuChiTC[Loại GD]="THU")*
(Table_ThuChiTC[Nội dung GD]=Sheet_ThuChiTC!$F$9)*
(Table_ThuChiTC[Ngày GD]&gt;=D2)*
(Table_ThuChiTC[Ngày GD]&lt;E2)
)),0)</f>
        <v>0</v>
      </c>
      <c r="E50" s="334" cm="1">
        <f t="array" ref="E50">+IFERROR(SUM(_xlfn._xlws.FILTER(Table_ThuChiTC[Giá trị GD],
(Table_ThuChiTC[Loại GD]="THU")*
(Table_ThuChiTC[Nội dung GD]=Sheet_ThuChiTC!$F$9)*
(Table_ThuChiTC[Ngày GD]&gt;=E2)*
(Table_ThuChiTC[Ngày GD]&lt;F2)
)),0)</f>
        <v>0</v>
      </c>
      <c r="F50" s="334" cm="1">
        <f t="array" ref="F50">+IFERROR(SUM(_xlfn._xlws.FILTER(Table_ThuChiTC[Giá trị GD],
(Table_ThuChiTC[Loại GD]="THU")*
(Table_ThuChiTC[Nội dung GD]=Sheet_ThuChiTC!$F$9)*
(Table_ThuChiTC[Ngày GD]&gt;=F2)*
(Table_ThuChiTC[Ngày GD]&lt;G2)
)),0)</f>
        <v>0</v>
      </c>
      <c r="G50" s="334" cm="1">
        <f t="array" ref="G50">+IFERROR(SUM(_xlfn._xlws.FILTER(Table_ThuChiTC[Giá trị GD],
(Table_ThuChiTC[Loại GD]="THU")*
(Table_ThuChiTC[Nội dung GD]=Sheet_ThuChiTC!$F$9)*
(Table_ThuChiTC[Ngày GD]&gt;=G2)*
(Table_ThuChiTC[Ngày GD]&lt;H2)
)),0)</f>
        <v>0</v>
      </c>
      <c r="H50" s="334" cm="1">
        <f t="array" ref="H50">+IFERROR(SUM(_xlfn._xlws.FILTER(Table_ThuChiTC[Giá trị GD],
(Table_ThuChiTC[Loại GD]="THU")*
(Table_ThuChiTC[Nội dung GD]=Sheet_ThuChiTC!$F$9)*
(Table_ThuChiTC[Ngày GD]&gt;=H2)*
(Table_ThuChiTC[Ngày GD]&lt;I2)
)),0)</f>
        <v>0</v>
      </c>
      <c r="I50" s="334" cm="1">
        <f t="array" ref="I50">+IFERROR(SUM(_xlfn._xlws.FILTER(Table_ThuChiTC[Giá trị GD],
(Table_ThuChiTC[Loại GD]="THU")*
(Table_ThuChiTC[Nội dung GD]=Sheet_ThuChiTC!$F$9)*
(Table_ThuChiTC[Ngày GD]&gt;=I2)*
(Table_ThuChiTC[Ngày GD]&lt;J2)
)),0)</f>
        <v>0</v>
      </c>
      <c r="J50" s="334" cm="1">
        <f t="array" ref="J50">+IFERROR(SUM(_xlfn._xlws.FILTER(Table_ThuChiTC[Giá trị GD],
(Table_ThuChiTC[Loại GD]="THU")*
(Table_ThuChiTC[Nội dung GD]=Sheet_ThuChiTC!$F$9)*
(Table_ThuChiTC[Ngày GD]&gt;=J2)*
(Table_ThuChiTC[Ngày GD]&lt;K2)
)),0)</f>
        <v>0</v>
      </c>
      <c r="K50" s="334" cm="1">
        <f t="array" ref="K50">+IFERROR(SUM(_xlfn._xlws.FILTER(Table_ThuChiTC[Giá trị GD],
(Table_ThuChiTC[Loại GD]="THU")*
(Table_ThuChiTC[Nội dung GD]=Sheet_ThuChiTC!$F$9)*
(Table_ThuChiTC[Ngày GD]&gt;=K2)*
(Table_ThuChiTC[Ngày GD]&lt;L2)
)),0)</f>
        <v>0</v>
      </c>
      <c r="L50" s="334" cm="1">
        <f t="array" ref="L50">+IFERROR(SUM(_xlfn._xlws.FILTER(Table_ThuChiTC[Giá trị GD],
(Table_ThuChiTC[Loại GD]="THU")*
(Table_ThuChiTC[Nội dung GD]=Sheet_ThuChiTC!$F$9)*
(Table_ThuChiTC[Ngày GD]&gt;=L2)*
(Table_ThuChiTC[Ngày GD]&lt;M2)
)),0)</f>
        <v>0</v>
      </c>
      <c r="M50" s="334" cm="1">
        <f t="array" ref="M50">+IFERROR(SUM(_xlfn._xlws.FILTER(Table_ThuChiTC[Giá trị GD],
(Table_ThuChiTC[Loại GD]="THU")*
(Table_ThuChiTC[Nội dung GD]=Sheet_ThuChiTC!$F$9)*
(Table_ThuChiTC[Ngày GD]&gt;=M2)*
(Table_ThuChiTC[Ngày GD]&lt;N2)
)),0)</f>
        <v>0</v>
      </c>
      <c r="N50" s="334" cm="1">
        <f t="array" ref="N50">+IFERROR(SUM(_xlfn._xlws.FILTER(Table_ThuChiTC[Giá trị GD],
(Table_ThuChiTC[Loại GD]="THU")*
(Table_ThuChiTC[Nội dung GD]=Sheet_ThuChiTC!$F$9)*
(Table_ThuChiTC[Ngày GD]&gt;=N2)*
(Table_ThuChiTC[Ngày GD]&lt;O2)
)),0)</f>
        <v>0</v>
      </c>
      <c r="O50" s="334" cm="1">
        <f t="array" ref="O50">+IFERROR(SUM(_xlfn._xlws.FILTER(Table_ThuChiTC[Giá trị GD],
(Table_ThuChiTC[Loại GD]="THU")*
(Table_ThuChiTC[Nội dung GD]=Sheet_ThuChiTC!$F$9)*
(Table_ThuChiTC[Ngày GD]&gt;=O2)*
(Table_ThuChiTC[Ngày GD]&lt;P2)
)),0)</f>
        <v>0</v>
      </c>
      <c r="P50" s="323"/>
      <c r="Q50" s="240"/>
      <c r="R50" s="73" t="s">
        <v>116</v>
      </c>
      <c r="S50" s="328" cm="1">
        <f t="array" ref="S50">+IFERROR(SUM(_xlfn._xlws.FILTER(Table_ThuChiTC[Giá trị GD],
(Table_ThuChiTC[Loại GD]="THU")*
(Table_ThuChiTC[Nội dung GD]="Thu chi từ biến động gốc vay, thuê tài chính")*
(Table_ThuChiTC[Ngày GD]&gt;=DATE(S$1,1,1))*
(Table_ThuChiTC[Ngày GD]&lt;DATE(S$1+1,1,1))
)),0)</f>
        <v>0</v>
      </c>
      <c r="T50" s="240"/>
      <c r="U50" s="73" t="s">
        <v>116</v>
      </c>
      <c r="V50" s="334" cm="1">
        <f t="array" ref="V50">+IFERROR(SUM(_xlfn._xlws.FILTER(Table_ThuChiTC[Giá trị GD],
(Table_ThuChiTC[Loại GD]="THU")*
(Table_ThuChiTC[Nội dung GD]="Thu chi từ biến động gốc vay, thuê tài chính")*
(Table_ThuChiTC[Ngày GD]&gt;=V$1)*
(Table_ThuChiTC[Ngày GD]&lt;DATE(YEAR(V$1),MONTH(V$1)+1,1))
)),0)</f>
        <v>0</v>
      </c>
    </row>
    <row r="51" spans="2:22" ht="18" customHeight="1" outlineLevel="2" x14ac:dyDescent="0.3">
      <c r="B51" s="73" t="s">
        <v>316</v>
      </c>
      <c r="C51" s="328" cm="1">
        <f t="array" ref="C51"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1" s="334" cm="1">
        <f t="array" ref="D51"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1" s="334" cm="1">
        <f t="array" ref="E51"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1" s="334" cm="1">
        <f t="array" ref="F51"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1" s="334" cm="1">
        <f t="array" ref="G51"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1" s="334" cm="1">
        <f t="array" ref="H51"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1" s="334" cm="1">
        <f t="array" ref="I51"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1" s="334" cm="1">
        <f t="array" ref="J51"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1" s="334" cm="1">
        <f t="array" ref="K51"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1" s="334" cm="1">
        <f t="array" ref="L51"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1" s="334" cm="1">
        <f t="array" ref="M51"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1" s="334" cm="1">
        <f t="array" ref="N51"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1" s="334" cm="1">
        <f t="array" ref="O51"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1" s="323"/>
      <c r="Q51" s="240"/>
      <c r="R51" s="73" t="s">
        <v>316</v>
      </c>
      <c r="S51" s="328" cm="1">
        <f t="array" ref="S51"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1" s="240"/>
      <c r="U51" s="73" t="s">
        <v>316</v>
      </c>
      <c r="V51" s="334" cm="1">
        <f t="array" ref="V51"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2" spans="2:22" ht="18" customHeight="1" outlineLevel="1" x14ac:dyDescent="0.3">
      <c r="B52" s="99" t="s">
        <v>317</v>
      </c>
      <c r="C52" s="129" t="e">
        <f xml:space="preserve">
(+ IFERROR(HLOOKUP(C$2,Table_BCTC_Nam[],Sheet_BaoCaoTaiChinh!A104,0),Sheet_BaoCaoTaiChinh!D104)
+ IFERROR(HLOOKUP(C$2,Table_BCTC_Nam[],Sheet_BaoCaoTaiChinh!A110,0),Sheet_BaoCaoTaiChinh!D110))
/(+ IFERROR(HLOOKUP(C$2,Table_BCTC_Nam[],Sheet_BaoCaoTaiChinh!A113,0),Sheet_BaoCaoTaiChinh!D113)
+ IFERROR(HLOOKUP(C$2,Table_BCTC_Nam[],Sheet_BaoCaoTaiChinh!A115,0),Sheet_BaoCaoTaiChinh!D115))</f>
        <v>#DIV/0!</v>
      </c>
      <c r="D52" s="122" t="e">
        <f xml:space="preserve">
(+ IFERROR(HLOOKUP(D$2,Table_BCTC_Thang[],Sheet_BaoCaoTaiChinh!$A$104,0),Sheet_BaoCaoTaiChinh!$D$104)
+ IFERROR(HLOOKUP(D$2,Table_BCTC_Nam[],Sheet_BaoCaoTaiChinh!$A$110,0),Sheet_BaoCaoTaiChinh!$D$110))
/(+ IFERROR(HLOOKUP(D$2,Table_BCTC_Nam[],Sheet_BaoCaoTaiChinh!$A$113,0),Sheet_BaoCaoTaiChinh!$D$113)
+ IFERROR(HLOOKUP(D$2,Table_BCTC_Nam[],Sheet_BaoCaoTaiChinh!$A$115,0),Sheet_BaoCaoTaiChinh!$D$115))</f>
        <v>#DIV/0!</v>
      </c>
      <c r="E52" s="122" t="e">
        <f xml:space="preserve">
(+ IFERROR(HLOOKUP(E$2,Table_BCTC_Thang[],Sheet_BaoCaoTaiChinh!$A$104,0),Sheet_BaoCaoTaiChinh!$D$104)
+ IFERROR(HLOOKUP(E$2,Table_BCTC_Nam[],Sheet_BaoCaoTaiChinh!$A$110,0),Sheet_BaoCaoTaiChinh!$D$110))
/(+ IFERROR(HLOOKUP(E$2,Table_BCTC_Nam[],Sheet_BaoCaoTaiChinh!$A$113,0),Sheet_BaoCaoTaiChinh!$D$113)
+ IFERROR(HLOOKUP(E$2,Table_BCTC_Nam[],Sheet_BaoCaoTaiChinh!$A$115,0),Sheet_BaoCaoTaiChinh!$D$115))</f>
        <v>#DIV/0!</v>
      </c>
      <c r="F52" s="122" t="e">
        <f xml:space="preserve">
(+ IFERROR(HLOOKUP(F$2,Table_BCTC_Thang[],Sheet_BaoCaoTaiChinh!$A$104,0),Sheet_BaoCaoTaiChinh!$D$104)
+ IFERROR(HLOOKUP(F$2,Table_BCTC_Nam[],Sheet_BaoCaoTaiChinh!$A$110,0),Sheet_BaoCaoTaiChinh!$D$110))
/(+ IFERROR(HLOOKUP(F$2,Table_BCTC_Nam[],Sheet_BaoCaoTaiChinh!$A$113,0),Sheet_BaoCaoTaiChinh!$D$113)
+ IFERROR(HLOOKUP(F$2,Table_BCTC_Nam[],Sheet_BaoCaoTaiChinh!$A$115,0),Sheet_BaoCaoTaiChinh!$D$115))</f>
        <v>#DIV/0!</v>
      </c>
      <c r="G52" s="122" t="e">
        <f xml:space="preserve">
(+ IFERROR(HLOOKUP(G$2,Table_BCTC_Thang[],Sheet_BaoCaoTaiChinh!$A$104,0),Sheet_BaoCaoTaiChinh!$D$104)
+ IFERROR(HLOOKUP(G$2,Table_BCTC_Nam[],Sheet_BaoCaoTaiChinh!$A$110,0),Sheet_BaoCaoTaiChinh!$D$110))
/(+ IFERROR(HLOOKUP(G$2,Table_BCTC_Nam[],Sheet_BaoCaoTaiChinh!$A$113,0),Sheet_BaoCaoTaiChinh!$D$113)
+ IFERROR(HLOOKUP(G$2,Table_BCTC_Nam[],Sheet_BaoCaoTaiChinh!$A$115,0),Sheet_BaoCaoTaiChinh!$D$115))</f>
        <v>#DIV/0!</v>
      </c>
      <c r="H52" s="122" t="e">
        <f xml:space="preserve">
(+ IFERROR(HLOOKUP(H$2,Table_BCTC_Thang[],Sheet_BaoCaoTaiChinh!$A$104,0),Sheet_BaoCaoTaiChinh!$D$104)
+ IFERROR(HLOOKUP(H$2,Table_BCTC_Nam[],Sheet_BaoCaoTaiChinh!$A$110,0),Sheet_BaoCaoTaiChinh!$D$110))
/(+ IFERROR(HLOOKUP(H$2,Table_BCTC_Nam[],Sheet_BaoCaoTaiChinh!$A$113,0),Sheet_BaoCaoTaiChinh!$D$113)
+ IFERROR(HLOOKUP(H$2,Table_BCTC_Nam[],Sheet_BaoCaoTaiChinh!$A$115,0),Sheet_BaoCaoTaiChinh!$D$115))</f>
        <v>#DIV/0!</v>
      </c>
      <c r="I52" s="122" t="e">
        <f xml:space="preserve">
(+ IFERROR(HLOOKUP(I$2,Table_BCTC_Thang[],Sheet_BaoCaoTaiChinh!$A$104,0),Sheet_BaoCaoTaiChinh!$D$104)
+ IFERROR(HLOOKUP(I$2,Table_BCTC_Nam[],Sheet_BaoCaoTaiChinh!$A$110,0),Sheet_BaoCaoTaiChinh!$D$110))
/(+ IFERROR(HLOOKUP(I$2,Table_BCTC_Nam[],Sheet_BaoCaoTaiChinh!$A$113,0),Sheet_BaoCaoTaiChinh!$D$113)
+ IFERROR(HLOOKUP(I$2,Table_BCTC_Nam[],Sheet_BaoCaoTaiChinh!$A$115,0),Sheet_BaoCaoTaiChinh!$D$115))</f>
        <v>#DIV/0!</v>
      </c>
      <c r="J52" s="122" t="e">
        <f xml:space="preserve">
(+ IFERROR(HLOOKUP(J$2,Table_BCTC_Thang[],Sheet_BaoCaoTaiChinh!$A$104,0),Sheet_BaoCaoTaiChinh!$D$104)
+ IFERROR(HLOOKUP(J$2,Table_BCTC_Nam[],Sheet_BaoCaoTaiChinh!$A$110,0),Sheet_BaoCaoTaiChinh!$D$110))
/(+ IFERROR(HLOOKUP(J$2,Table_BCTC_Nam[],Sheet_BaoCaoTaiChinh!$A$113,0),Sheet_BaoCaoTaiChinh!$D$113)
+ IFERROR(HLOOKUP(J$2,Table_BCTC_Nam[],Sheet_BaoCaoTaiChinh!$A$115,0),Sheet_BaoCaoTaiChinh!$D$115))</f>
        <v>#DIV/0!</v>
      </c>
      <c r="K52" s="122" t="e">
        <f xml:space="preserve">
(+ IFERROR(HLOOKUP(K$2,Table_BCTC_Thang[],Sheet_BaoCaoTaiChinh!$A$104,0),Sheet_BaoCaoTaiChinh!$D$104)
+ IFERROR(HLOOKUP(K$2,Table_BCTC_Nam[],Sheet_BaoCaoTaiChinh!$A$110,0),Sheet_BaoCaoTaiChinh!$D$110))
/(+ IFERROR(HLOOKUP(K$2,Table_BCTC_Nam[],Sheet_BaoCaoTaiChinh!$A$113,0),Sheet_BaoCaoTaiChinh!$D$113)
+ IFERROR(HLOOKUP(K$2,Table_BCTC_Nam[],Sheet_BaoCaoTaiChinh!$A$115,0),Sheet_BaoCaoTaiChinh!$D$115))</f>
        <v>#DIV/0!</v>
      </c>
      <c r="L52" s="122" t="e">
        <f xml:space="preserve">
(+ IFERROR(HLOOKUP(L$2,Table_BCTC_Thang[],Sheet_BaoCaoTaiChinh!$A$104,0),Sheet_BaoCaoTaiChinh!$D$104)
+ IFERROR(HLOOKUP(L$2,Table_BCTC_Nam[],Sheet_BaoCaoTaiChinh!$A$110,0),Sheet_BaoCaoTaiChinh!$D$110))
/(+ IFERROR(HLOOKUP(L$2,Table_BCTC_Nam[],Sheet_BaoCaoTaiChinh!$A$113,0),Sheet_BaoCaoTaiChinh!$D$113)
+ IFERROR(HLOOKUP(L$2,Table_BCTC_Nam[],Sheet_BaoCaoTaiChinh!$A$115,0),Sheet_BaoCaoTaiChinh!$D$115))</f>
        <v>#DIV/0!</v>
      </c>
      <c r="M52" s="122" t="e">
        <f xml:space="preserve">
(+ IFERROR(HLOOKUP(M$2,Table_BCTC_Thang[],Sheet_BaoCaoTaiChinh!$A$104,0),Sheet_BaoCaoTaiChinh!$D$104)
+ IFERROR(HLOOKUP(M$2,Table_BCTC_Nam[],Sheet_BaoCaoTaiChinh!$A$110,0),Sheet_BaoCaoTaiChinh!$D$110))
/(+ IFERROR(HLOOKUP(M$2,Table_BCTC_Nam[],Sheet_BaoCaoTaiChinh!$A$113,0),Sheet_BaoCaoTaiChinh!$D$113)
+ IFERROR(HLOOKUP(M$2,Table_BCTC_Nam[],Sheet_BaoCaoTaiChinh!$A$115,0),Sheet_BaoCaoTaiChinh!$D$115))</f>
        <v>#DIV/0!</v>
      </c>
      <c r="N52" s="122" t="e">
        <f xml:space="preserve">
(+ IFERROR(HLOOKUP(N$2,Table_BCTC_Thang[],Sheet_BaoCaoTaiChinh!$A$104,0),Sheet_BaoCaoTaiChinh!$D$104)
+ IFERROR(HLOOKUP(N$2,Table_BCTC_Nam[],Sheet_BaoCaoTaiChinh!$A$110,0),Sheet_BaoCaoTaiChinh!$D$110))
/(+ IFERROR(HLOOKUP(N$2,Table_BCTC_Nam[],Sheet_BaoCaoTaiChinh!$A$113,0),Sheet_BaoCaoTaiChinh!$D$113)
+ IFERROR(HLOOKUP(N$2,Table_BCTC_Nam[],Sheet_BaoCaoTaiChinh!$A$115,0),Sheet_BaoCaoTaiChinh!$D$115))</f>
        <v>#DIV/0!</v>
      </c>
      <c r="O52" s="122" t="e">
        <f xml:space="preserve">
(+ IFERROR(HLOOKUP(O$2,Table_BCTC_Thang[],Sheet_BaoCaoTaiChinh!$A$104,0),Sheet_BaoCaoTaiChinh!$D$104)
+ IFERROR(HLOOKUP(O$2,Table_BCTC_Nam[],Sheet_BaoCaoTaiChinh!$A$110,0),Sheet_BaoCaoTaiChinh!$D$110))
/(+ IFERROR(HLOOKUP(O$2,Table_BCTC_Nam[],Sheet_BaoCaoTaiChinh!$A$113,0),Sheet_BaoCaoTaiChinh!$D$113)
+ IFERROR(HLOOKUP(O$2,Table_BCTC_Nam[],Sheet_BaoCaoTaiChinh!$A$115,0),Sheet_BaoCaoTaiChinh!$D$115))</f>
        <v>#DIV/0!</v>
      </c>
      <c r="P52" s="323"/>
      <c r="Q52" s="240"/>
      <c r="R52" s="99" t="s">
        <v>317</v>
      </c>
      <c r="S52" s="129" t="e">
        <f xml:space="preserve">
(+ IFERROR(HLOOKUP(S$1,Table_BCTC_Nam[],Sheet_BaoCaoTaiChinh!$A$104,0),Sheet_BaoCaoTaiChinh!$D$104)
+ IFERROR(HLOOKUP(S$1,Table_BCTC_Nam[],Sheet_BaoCaoTaiChinh!$A$110,0),Sheet_BaoCaoTaiChinh!$D$110))
/(+ IFERROR(HLOOKUP(S$1,Table_BCTC_Nam[],Sheet_BaoCaoTaiChinh!$A$113,0),Sheet_BaoCaoTaiChinh!$D$113)
+ IFERROR(HLOOKUP(S$1,Table_BCTC_Nam[],Sheet_BaoCaoTaiChinh!$A$115,0),Sheet_BaoCaoTaiChinh!$D$115))</f>
        <v>#DIV/0!</v>
      </c>
      <c r="T52" s="240"/>
      <c r="U52" s="99" t="s">
        <v>317</v>
      </c>
      <c r="V52" s="122" t="e">
        <f xml:space="preserve">
(+ IFERROR(HLOOKUP(V$1,Table_BCTC_Thang[],Sheet_BaoCaoTaiChinh!$A$104,0),Sheet_BaoCaoTaiChinh!$D$104)
+ IFERROR(HLOOKUP(V$1,Table_BCTC_Nam[],Sheet_BaoCaoTaiChinh!$A$110,0),Sheet_BaoCaoTaiChinh!$D$110))
/(+ IFERROR(HLOOKUP(V$1,Table_BCTC_Nam[],Sheet_BaoCaoTaiChinh!$A$113,0),Sheet_BaoCaoTaiChinh!$D$113)
+ IFERROR(HLOOKUP(V$1,Table_BCTC_Nam[],Sheet_BaoCaoTaiChinh!$A$115,0),Sheet_BaoCaoTaiChinh!$D$115))</f>
        <v>#DIV/0!</v>
      </c>
    </row>
    <row r="53" spans="2:22" s="53" customFormat="1" ht="18" customHeight="1" outlineLevel="1" x14ac:dyDescent="0.3">
      <c r="B53" s="74" t="s">
        <v>318</v>
      </c>
      <c r="C53" s="327" cm="1">
        <f t="array" ref="C53">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+C46+SUM(C49:C51)+SUM(C44:C45)</f>
        <v>0</v>
      </c>
      <c r="D53" s="336" cm="1">
        <f t="array" ref="D53" xml:space="preserve">
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+SUM($D$46:D46)+SUM($D$49:D51)+SUM($D$44:D45)</f>
        <v>0</v>
      </c>
      <c r="E53" s="336" cm="1">
        <f t="array" ref="E53" xml:space="preserve">
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+SUM($D$46:E46)+SUM($D$49:E51)+SUM($D$44:E45)</f>
        <v>0</v>
      </c>
      <c r="F53" s="336" cm="1">
        <f t="array" ref="F53" xml:space="preserve">
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+SUM($D$46:F46)+SUM($D$49:F51)+SUM($D$44:F45)</f>
        <v>0</v>
      </c>
      <c r="G53" s="336" cm="1">
        <f t="array" ref="G53" xml:space="preserve">
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+SUM($D$46:G46)+SUM($D$49:G51)+SUM($D$44:G45)</f>
        <v>0</v>
      </c>
      <c r="H53" s="336" cm="1">
        <f t="array" ref="H53" xml:space="preserve">
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+SUM($D$46:H46)+SUM($D$49:H51)+SUM($D$44:H45)</f>
        <v>0</v>
      </c>
      <c r="I53" s="336" cm="1">
        <f t="array" ref="I53" xml:space="preserve">
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+SUM($D$46:I46)+SUM($D$49:I51)+SUM($D$44:I45)</f>
        <v>0</v>
      </c>
      <c r="J53" s="336" cm="1">
        <f t="array" ref="J53" xml:space="preserve">
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+SUM($D$46:J46)+SUM($D$49:J51)+SUM($D$44:J45)</f>
        <v>0</v>
      </c>
      <c r="K53" s="336" cm="1">
        <f t="array" ref="K53" xml:space="preserve">
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+SUM($D$46:K46)+SUM($D$49:K51)+SUM($D$44:K45)</f>
        <v>0</v>
      </c>
      <c r="L53" s="336" cm="1">
        <f t="array" ref="L53" xml:space="preserve">
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+SUM($D$46:L46)+SUM($D$49:L51)+SUM($D$44:L45)</f>
        <v>0</v>
      </c>
      <c r="M53" s="336" cm="1">
        <f t="array" ref="M53" xml:space="preserve">
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+SUM($D$46:M46)+SUM($D$49:M51)+SUM($D$44:M45)</f>
        <v>0</v>
      </c>
      <c r="N53" s="336" cm="1">
        <f t="array" ref="N53" xml:space="preserve">
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+SUM($D$46:N46)+SUM($D$49:N51)+SUM($D$44:N45)</f>
        <v>0</v>
      </c>
      <c r="O53" s="336" cm="1">
        <f t="array" ref="O53" xml:space="preserve">
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+SUM($D$46:O46)+SUM($D$49:O51)+SUM($D$44:O45)</f>
        <v>0</v>
      </c>
      <c r="P53" s="336"/>
      <c r="Q53" s="262"/>
      <c r="R53" s="74" t="s">
        <v>318</v>
      </c>
      <c r="S53" s="327" cm="1">
        <f t="array" ref="S53">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)),0)+S46+SUM(S49:S51)+SUM(S44:S45)</f>
        <v>0</v>
      </c>
      <c r="T53" s="262"/>
      <c r="U53" s="74" t="s">
        <v>318</v>
      </c>
      <c r="V53" s="336" cm="1">
        <f t="array" ref="V53" xml:space="preserve">
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+V46+SUM(V49:V51)+SUM(V44:V45)</f>
        <v>0</v>
      </c>
    </row>
    <row r="54" spans="2:22" s="41" customFormat="1" ht="18" customHeight="1" outlineLevel="1" x14ac:dyDescent="0.3">
      <c r="B54" s="73" t="s">
        <v>120</v>
      </c>
      <c r="C54" s="328" cm="1">
        <f t="array" ref="C54"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4" s="334" cm="1">
        <f t="array" ref="D54"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4" s="334" cm="1">
        <f t="array" ref="E54"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4" s="334" cm="1">
        <f t="array" ref="F54"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4" s="334" cm="1">
        <f t="array" ref="G54"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4" s="334" cm="1">
        <f t="array" ref="H54"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4" s="334" cm="1">
        <f t="array" ref="I54"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4" s="334" cm="1">
        <f t="array" ref="J54"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4" s="334" cm="1">
        <f t="array" ref="K54"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4" s="334" cm="1">
        <f t="array" ref="L54"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4" s="334" cm="1">
        <f t="array" ref="M54"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4" s="334" cm="1">
        <f t="array" ref="N54"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4" s="334" cm="1">
        <f t="array" ref="O54"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4" s="323"/>
      <c r="Q54" s="264"/>
      <c r="R54" s="73" t="s">
        <v>120</v>
      </c>
      <c r="S54" s="328" cm="1">
        <f t="array" ref="S54"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4" s="264"/>
      <c r="U54" s="73" t="s">
        <v>120</v>
      </c>
      <c r="V54" s="334" cm="1">
        <f t="array" ref="V54"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5" spans="2:22" ht="18" customHeight="1" outlineLevel="1" x14ac:dyDescent="0.3">
      <c r="B55" s="87" t="s">
        <v>319</v>
      </c>
      <c r="C55" s="331" cm="1">
        <f t="array" ref="C55">Sheet_BaoCaoTaiChinh!$D$74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+C46+SUM(C49:C51)+SUM(C44:C45)+C54</f>
        <v>0</v>
      </c>
      <c r="D55" s="331" cm="1">
        <f t="array" ref="D55" xml:space="preserve">
Sheet_BaoCaoTaiChinh!$D$74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+SUM($D$46:D46)+SUM($D$49:D51)+SUM($D$44:D45)+SUM($D$54:D54)</f>
        <v>0</v>
      </c>
      <c r="E55" s="331" cm="1">
        <f t="array" ref="E55" xml:space="preserve">
Sheet_BaoCaoTaiChinh!$D$74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+SUM($D$46:E46)+SUM($D$49:E51)+SUM($D$44:E45)+SUM($D$54:E54)</f>
        <v>0</v>
      </c>
      <c r="F55" s="331" cm="1">
        <f t="array" ref="F55" xml:space="preserve">
Sheet_BaoCaoTaiChinh!$D$74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+SUM($D$46:F46)+SUM($D$49:F51)+SUM($D$44:F45)+SUM($D$54:F54)</f>
        <v>0</v>
      </c>
      <c r="G55" s="331" cm="1">
        <f t="array" ref="G55" xml:space="preserve">
Sheet_BaoCaoTaiChinh!$D$74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+SUM($D$46:G46)+SUM($D$49:G51)+SUM($D$44:G45)+SUM($D$54:G54)</f>
        <v>0</v>
      </c>
      <c r="H55" s="331" cm="1">
        <f t="array" ref="H55" xml:space="preserve">
Sheet_BaoCaoTaiChinh!$D$74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+SUM($D$46:H46)+SUM($D$49:H51)+SUM($D$44:H45)+SUM($D$54:H54)</f>
        <v>0</v>
      </c>
      <c r="I55" s="331" cm="1">
        <f t="array" ref="I55" xml:space="preserve">
Sheet_BaoCaoTaiChinh!$D$74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+SUM($D$46:I46)+SUM($D$49:I51)+SUM($D$44:I45)+SUM($D$54:I54)</f>
        <v>0</v>
      </c>
      <c r="J55" s="331" cm="1">
        <f t="array" ref="J55" xml:space="preserve">
Sheet_BaoCaoTaiChinh!$D$74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+SUM($D$46:J46)+SUM($D$49:J51)+SUM($D$44:J45)+SUM($D$54:J54)</f>
        <v>0</v>
      </c>
      <c r="K55" s="331" cm="1">
        <f t="array" ref="K55" xml:space="preserve">
Sheet_BaoCaoTaiChinh!$D$74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+SUM($D$46:K46)+SUM($D$49:K51)+SUM($D$44:K45)+SUM($D$54:K54)</f>
        <v>0</v>
      </c>
      <c r="L55" s="331" cm="1">
        <f t="array" ref="L55" xml:space="preserve">
Sheet_BaoCaoTaiChinh!$D$74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+SUM($D$46:L46)+SUM($D$49:L51)+SUM($D$44:L45)+SUM($D$54:L54)</f>
        <v>0</v>
      </c>
      <c r="M55" s="331" cm="1">
        <f t="array" ref="M55" xml:space="preserve">
Sheet_BaoCaoTaiChinh!$D$74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+SUM($D$46:M46)+SUM($D$49:M51)+SUM($D$44:M45)+SUM($D$54:M54)</f>
        <v>0</v>
      </c>
      <c r="N55" s="331" cm="1">
        <f t="array" ref="N55" xml:space="preserve">
Sheet_BaoCaoTaiChinh!$D$74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+SUM($D$46:N46)+SUM($D$49:N51)+SUM($D$44:N45)+SUM($D$54:N54)</f>
        <v>0</v>
      </c>
      <c r="O55" s="331" cm="1">
        <f t="array" ref="O55" xml:space="preserve">
Sheet_BaoCaoTaiChinh!$D$74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+SUM($D$46:O46)+SUM($D$49:O51)+SUM($D$44:O45)+SUM($D$54:O54)</f>
        <v>0</v>
      </c>
      <c r="P55" s="323"/>
      <c r="Q55" s="240"/>
      <c r="R55" s="87" t="s">
        <v>319</v>
      </c>
      <c r="S55" s="331" cm="1">
        <f t="array" ref="S55">Sheet_BaoCaoTaiChinh!$D$74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)),0)+S46+SUM(S49:S51)+SUM(S44:S45)+S54</f>
        <v>0</v>
      </c>
      <c r="T55" s="240"/>
      <c r="U55" s="87" t="s">
        <v>319</v>
      </c>
      <c r="V55" s="331" cm="1">
        <f t="array" ref="V55" xml:space="preserve">
Sheet_BaoCaoTaiChinh!$D$74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+V46+SUM(V49:V51)+SUM(V44:V45)+V54</f>
        <v>0</v>
      </c>
    </row>
    <row r="56" spans="2:22" ht="18" customHeight="1" x14ac:dyDescent="0.3">
      <c r="Q56" s="240"/>
      <c r="T56" s="240"/>
    </row>
  </sheetData>
  <sheetProtection algorithmName="SHA-512" hashValue="RJJqBMozMn2AU4euHR9wYCj/mH8yrKc4BAZg5DCLYI+aYO89AfkI3+kCXwP19GTDQSJL01zv+XjdBP+QoCeu5w==" saltValue="Buc8z1oB/Rer1p+eM/7DEg==" spinCount="100000" sheet="1" scenarios="1" formatCells="0" formatColumns="0" formatRows="0" insertColumns="0" insertRows="0" deleteColumns="0" deleteRows="0" sort="0" autoFilter="0" pivotTables="0"/>
  <protectedRanges>
    <protectedRange sqref="B11 B20 B8 R20 R8 S3:S4 U20 U8 R11 U11 V3:V4 V9 C52 S18:S20 V18:V20 S30 V30 S35:S36 V35:V36 S40 V40 S42 V42 S46 V46 S52 S32 V32 P3:P55" name="Range1_63"/>
    <protectedRange sqref="D18:O18 B6:B7 C21:C29 C5 C9 R6:R7 U6:U7 U3:U4 B55 B3:C4 R3:R4 U38:U39 U32 U41:U42 R41:R42 R46 U55 R55 R30 B38:B39 B32 C43:C45 B41:B42 C50:C51 B46 B30 U30 U46 R38:R39 R32 S5 V5 S9 S13 D15:O15 S15:S16 V15:V16 S43:S45 S50:S51 C53:C54 S53:S54 C12:C13 C15:C18 S21:S29" name="Range1_63_63_1"/>
    <protectedRange sqref="B18 C19:O19 R5 U18 R18 U5 R53 U48 U53 B48 B53 R48 C10:O10 S10 V10" name="Range1_5_1_3_1_2"/>
    <protectedRange sqref="B16 R16 U16" name="Range1_5_1"/>
    <protectedRange sqref="B5" name="Range1_5"/>
    <protectedRange sqref="B9 R9 U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133350</xdr:colOff>
                    <xdr:row>0</xdr:row>
                    <xdr:rowOff>66675</xdr:rowOff>
                  </from>
                  <to>
                    <xdr:col>21</xdr:col>
                    <xdr:colOff>495300</xdr:colOff>
                    <xdr:row>1</xdr:row>
                    <xdr:rowOff>95250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21</xdr:col>
                    <xdr:colOff>542925</xdr:colOff>
                    <xdr:row>0</xdr:row>
                    <xdr:rowOff>66675</xdr:rowOff>
                  </from>
                  <to>
                    <xdr:col>22</xdr:col>
                    <xdr:colOff>133350</xdr:colOff>
                    <xdr:row>1</xdr:row>
                    <xdr:rowOff>95250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6" id="{68CFA04E-B687-4E63-B187-213D0E1182F4}">
            <xm:f>Security!$A$1="NO VBA"</xm:f>
            <x14:dxf>
              <font>
                <color theme="0"/>
              </font>
              <border>
                <vertical/>
                <horizontal/>
              </border>
            </x14:dxf>
          </x14:cfRule>
          <xm:sqref>A1:XFD1 A2:R2 R3 A56:XFD56 W2:XFD55 A57:Q109 T57:XFD109 A110:XFD110 A164:XFD1048576 A111:T163 W111:XFD163 A3:Q8 R4:S8 T3:V8 A9 C9:Q9 A10:V55 S9:T9 V9</xm:sqref>
        </x14:conditionalFormatting>
        <x14:conditionalFormatting xmlns:xm="http://schemas.microsoft.com/office/excel/2006/main">
          <x14:cfRule type="expression" priority="5"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4" id="{0A031C81-4776-435C-B6B9-5C1B51BF690D}">
            <xm:f>Security!$A$1="NO VBA"</xm:f>
            <x14:dxf>
              <font>
                <color theme="0"/>
              </font>
              <border>
                <vertical/>
                <horizontal/>
              </border>
            </x14:dxf>
          </x14:cfRule>
          <xm:sqref>S3</xm:sqref>
        </x14:conditionalFormatting>
        <x14:conditionalFormatting xmlns:xm="http://schemas.microsoft.com/office/excel/2006/main">
          <x14:cfRule type="expression" priority="3" id="{0BE5C1D6-139D-45F4-A9CE-D1E3A970397C}">
            <xm:f>Security!$A$1="NO VBA"</xm:f>
            <x14:dxf>
              <font>
                <color theme="0"/>
              </font>
              <border>
                <vertical/>
                <horizontal/>
              </border>
            </x14:dxf>
          </x14:cfRule>
          <xm:sqref>B9</xm:sqref>
        </x14:conditionalFormatting>
        <x14:conditionalFormatting xmlns:xm="http://schemas.microsoft.com/office/excel/2006/main">
          <x14:cfRule type="expression" priority="2" id="{7DF58CAD-7A57-4925-BC0B-8D1FD2E30366}">
            <xm:f>Security!$A$1="NO VBA"</xm:f>
            <x14:dxf>
              <font>
                <color theme="0"/>
              </font>
              <border>
                <vertical/>
                <horizontal/>
              </border>
            </x14:dxf>
          </x14:cfRule>
          <xm:sqref>R9</xm:sqref>
        </x14:conditionalFormatting>
        <x14:conditionalFormatting xmlns:xm="http://schemas.microsoft.com/office/excel/2006/main">
          <x14:cfRule type="expression" priority="1" id="{DC8A11C8-2C3C-4FED-98C1-E492772931A7}">
            <xm:f>Security!$A$1="NO VBA"</xm:f>
            <x14:dxf>
              <font>
                <color theme="0"/>
              </font>
              <border>
                <vertical/>
                <horizontal/>
              </border>
            </x14:dxf>
          </x14:cfRule>
          <xm:sqref>U9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496"/>
  <sheetViews>
    <sheetView showGridLines="0" zoomScaleNormal="100" workbookViewId="0">
      <selection activeCell="C7" sqref="C7"/>
    </sheetView>
  </sheetViews>
  <sheetFormatPr defaultRowHeight="18" customHeight="1" outlineLevelRow="4"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0"/>
      <c r="B1" s="242"/>
      <c r="C1" s="41" t="s">
        <v>354</v>
      </c>
      <c r="D1" s="263"/>
      <c r="E1" s="348"/>
      <c r="F1" s="348"/>
      <c r="G1" s="242"/>
      <c r="H1" s="240"/>
      <c r="I1" s="240"/>
      <c r="J1" s="348"/>
      <c r="K1" s="348"/>
      <c r="L1" s="242"/>
      <c r="M1" s="240"/>
      <c r="N1" s="240"/>
      <c r="O1" s="347"/>
      <c r="P1" s="347"/>
      <c r="Q1" s="240"/>
      <c r="R1" s="240"/>
      <c r="S1" s="240"/>
      <c r="T1" s="240"/>
      <c r="U1" s="240"/>
      <c r="V1" s="240"/>
      <c r="W1" s="240"/>
      <c r="X1" s="240"/>
      <c r="Y1" s="240"/>
      <c r="Z1" s="240"/>
      <c r="AA1" s="240"/>
      <c r="AB1" s="240"/>
      <c r="AC1" s="240"/>
      <c r="AD1" s="240"/>
      <c r="AE1" s="240"/>
      <c r="AF1" s="240"/>
      <c r="AG1" s="240"/>
      <c r="AH1" s="240"/>
      <c r="AI1" s="240"/>
      <c r="AJ1" s="240"/>
      <c r="AK1" s="240"/>
      <c r="AL1" s="240"/>
      <c r="AM1" s="240"/>
    </row>
    <row r="2" spans="1:39" ht="18" customHeight="1" x14ac:dyDescent="0.3">
      <c r="A2" s="240"/>
      <c r="B2" s="242"/>
      <c r="C2" s="7" t="s">
        <v>879</v>
      </c>
      <c r="D2" s="453">
        <v>45915</v>
      </c>
      <c r="E2" s="349">
        <f>+E73+E86-E97-E111</f>
        <v>-4050000000</v>
      </c>
      <c r="F2" s="349">
        <f>+F73+F86-F97-F111</f>
        <v>-4050000000</v>
      </c>
      <c r="G2" s="242"/>
      <c r="H2" s="240"/>
      <c r="I2" s="240"/>
      <c r="J2" s="240"/>
      <c r="K2" s="240"/>
      <c r="L2" s="242"/>
      <c r="M2" s="240"/>
      <c r="N2" s="240"/>
      <c r="O2" s="240"/>
      <c r="P2" s="240"/>
      <c r="Q2" s="240"/>
      <c r="R2" s="240"/>
      <c r="S2" s="240"/>
      <c r="T2" s="240"/>
      <c r="U2" s="240"/>
      <c r="V2" s="240"/>
      <c r="W2" s="240"/>
      <c r="X2" s="240"/>
      <c r="Y2" s="240"/>
      <c r="Z2" s="240"/>
      <c r="AA2" s="240"/>
      <c r="AB2" s="240"/>
      <c r="AC2" s="240"/>
      <c r="AD2" s="240"/>
      <c r="AE2" s="240"/>
      <c r="AF2" s="240"/>
      <c r="AG2" s="240"/>
      <c r="AH2" s="240"/>
      <c r="AI2" s="240"/>
      <c r="AJ2" s="240"/>
      <c r="AK2" s="240"/>
      <c r="AL2" s="240"/>
      <c r="AM2" s="240"/>
    </row>
    <row r="3" spans="1:39" ht="18" customHeight="1" x14ac:dyDescent="0.3">
      <c r="A3" s="240"/>
      <c r="B3" s="3" t="s">
        <v>355</v>
      </c>
      <c r="C3" s="4" t="s">
        <v>874</v>
      </c>
      <c r="D3" s="12" t="s">
        <v>356</v>
      </c>
      <c r="E3" s="3" t="s">
        <v>357</v>
      </c>
      <c r="F3" s="4" t="s">
        <v>358</v>
      </c>
      <c r="G3" s="350"/>
      <c r="H3" s="3" t="s">
        <v>355</v>
      </c>
      <c r="I3" s="4" t="s">
        <v>874</v>
      </c>
      <c r="J3" s="4" t="s">
        <v>891</v>
      </c>
      <c r="K3" s="4" t="s">
        <v>873</v>
      </c>
      <c r="L3" s="242"/>
      <c r="M3" s="3" t="s">
        <v>355</v>
      </c>
      <c r="N3" s="4" t="s">
        <v>874</v>
      </c>
      <c r="O3" s="4" t="s">
        <v>892</v>
      </c>
      <c r="P3" s="4" t="s">
        <v>873</v>
      </c>
      <c r="Q3" s="240"/>
      <c r="R3" s="240"/>
      <c r="S3" s="240"/>
      <c r="T3" s="240"/>
      <c r="U3" s="240"/>
      <c r="V3" s="240"/>
      <c r="W3" s="240"/>
      <c r="X3" s="240"/>
      <c r="Y3" s="240"/>
      <c r="Z3" s="240"/>
      <c r="AA3" s="240"/>
      <c r="AB3" s="240"/>
      <c r="AC3" s="240"/>
      <c r="AD3" s="240"/>
      <c r="AE3" s="240"/>
      <c r="AF3" s="240"/>
      <c r="AG3" s="240"/>
      <c r="AH3" s="240"/>
      <c r="AI3" s="240"/>
      <c r="AJ3" s="240"/>
      <c r="AK3" s="240"/>
      <c r="AL3" s="240"/>
      <c r="AM3" s="240"/>
    </row>
    <row r="4" spans="1:39" s="69" customFormat="1" ht="18" customHeight="1" x14ac:dyDescent="0.3">
      <c r="A4" s="240">
        <f>+A3+1</f>
        <v>1</v>
      </c>
      <c r="B4" s="351"/>
      <c r="C4" s="74" t="s">
        <v>359</v>
      </c>
      <c r="D4" s="350"/>
      <c r="E4" s="75" t="str">
        <f>CONCATENATE(BCTC_Nam, " / Đầu kỳ")</f>
        <v xml:space="preserve"> / Đầu kỳ</v>
      </c>
      <c r="F4" s="76" t="str">
        <f>CONCATENATE(BCTC_Thang,"-",BCTC_Nam, " / Cuối kỳ")</f>
        <v>- / Cuối kỳ</v>
      </c>
      <c r="G4" s="352"/>
      <c r="H4" s="351"/>
      <c r="I4" s="74" t="s">
        <v>359</v>
      </c>
      <c r="J4" s="353"/>
      <c r="K4" s="353">
        <f>K$1</f>
        <v>0</v>
      </c>
      <c r="L4" s="354"/>
      <c r="M4" s="351"/>
      <c r="N4" s="74" t="s">
        <v>359</v>
      </c>
      <c r="O4" s="353"/>
      <c r="P4" s="76">
        <f>P$1</f>
        <v>0</v>
      </c>
      <c r="Q4" s="354"/>
      <c r="R4" s="354"/>
      <c r="S4" s="354"/>
      <c r="T4" s="354"/>
      <c r="U4" s="354"/>
      <c r="V4" s="354"/>
      <c r="W4" s="354"/>
      <c r="X4" s="354"/>
      <c r="Y4" s="354"/>
      <c r="Z4" s="354"/>
      <c r="AA4" s="354"/>
      <c r="AB4" s="354"/>
      <c r="AC4" s="354"/>
      <c r="AD4" s="354"/>
      <c r="AE4" s="354"/>
      <c r="AF4" s="354"/>
      <c r="AG4" s="354"/>
      <c r="AH4" s="354"/>
      <c r="AI4" s="354"/>
      <c r="AJ4" s="354"/>
      <c r="AK4" s="354"/>
      <c r="AL4" s="354"/>
      <c r="AM4" s="354"/>
    </row>
    <row r="5" spans="1:39" ht="18" customHeight="1" x14ac:dyDescent="0.15">
      <c r="A5" s="240">
        <f t="shared" ref="A5:A68" si="0">+A4+1</f>
        <v>2</v>
      </c>
      <c r="B5" s="260"/>
      <c r="C5" s="74" t="s">
        <v>360</v>
      </c>
      <c r="D5" s="263"/>
      <c r="E5" s="355"/>
      <c r="F5" s="355"/>
      <c r="G5" s="240"/>
      <c r="H5" s="356"/>
      <c r="I5" s="74" t="s">
        <v>360</v>
      </c>
      <c r="J5" s="355"/>
      <c r="K5" s="355"/>
      <c r="L5" s="240"/>
      <c r="M5" s="356"/>
      <c r="N5" s="74" t="s">
        <v>360</v>
      </c>
      <c r="O5" s="355"/>
      <c r="P5" s="355"/>
      <c r="Q5" s="240"/>
      <c r="R5" s="240"/>
      <c r="S5" s="240"/>
      <c r="T5" s="240"/>
      <c r="U5" s="240"/>
      <c r="V5" s="240"/>
      <c r="W5" s="240"/>
      <c r="X5" s="240"/>
      <c r="Y5" s="240"/>
      <c r="Z5" s="240"/>
      <c r="AA5" s="240"/>
      <c r="AB5" s="240"/>
      <c r="AC5" s="240"/>
      <c r="AD5" s="240"/>
      <c r="AE5" s="240"/>
      <c r="AF5" s="240"/>
      <c r="AG5" s="240"/>
      <c r="AH5" s="240"/>
      <c r="AI5" s="240"/>
      <c r="AJ5" s="240"/>
      <c r="AK5" s="240"/>
      <c r="AL5" s="240"/>
      <c r="AM5" s="240"/>
    </row>
    <row r="6" spans="1:39" s="53" customFormat="1" ht="18" customHeight="1" outlineLevel="1" x14ac:dyDescent="0.3">
      <c r="A6" s="240">
        <f t="shared" si="0"/>
        <v>3</v>
      </c>
      <c r="B6" s="357"/>
      <c r="C6" s="72" t="s">
        <v>73</v>
      </c>
      <c r="D6" s="358"/>
      <c r="E6" s="359"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0"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59"/>
      <c r="H6" s="357"/>
      <c r="I6" s="72" t="s">
        <v>73</v>
      </c>
      <c r="J6" s="359"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59"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2"/>
      <c r="M6" s="357"/>
      <c r="N6" s="72" t="s">
        <v>73</v>
      </c>
      <c r="O6" s="360"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0"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2"/>
      <c r="R6" s="262"/>
      <c r="S6" s="262"/>
      <c r="T6" s="262"/>
      <c r="U6" s="262"/>
      <c r="V6" s="262"/>
      <c r="W6" s="262"/>
      <c r="X6" s="262"/>
      <c r="Y6" s="262"/>
      <c r="Z6" s="262"/>
      <c r="AA6" s="262"/>
      <c r="AB6" s="262"/>
      <c r="AC6" s="262"/>
      <c r="AD6" s="262"/>
      <c r="AE6" s="262"/>
      <c r="AF6" s="262"/>
      <c r="AG6" s="262"/>
      <c r="AH6" s="262"/>
      <c r="AI6" s="262"/>
      <c r="AJ6" s="262"/>
      <c r="AK6" s="262"/>
      <c r="AL6" s="262"/>
      <c r="AM6" s="262"/>
    </row>
    <row r="7" spans="1:39" s="53" customFormat="1" ht="18" customHeight="1" outlineLevel="1" x14ac:dyDescent="0.3">
      <c r="A7" s="240">
        <f t="shared" si="0"/>
        <v>4</v>
      </c>
      <c r="B7" s="353">
        <v>10</v>
      </c>
      <c r="C7" s="74" t="s">
        <v>363</v>
      </c>
      <c r="D7" s="364"/>
      <c r="E7" s="363" cm="1">
        <f t="array" ref="E7" xml:space="preserve">
+IFERROR(SUM(
_xlfn._xlws.FILTER(Table_DonBan[Doanh thu ròng],
(ISBLANK(Table_DonBan[Phân bổ từ]))*
(ISBLANK(Table_DonBan[Phân bổ đến]))*
(Table_Main[Ngày lên đơn] &gt;= DATE(BCTC_Nam, 1, 1))*
(Table_Main[Ngày lên đơn] &lt; DATE(BCTC_Nam+1, 1, 1))
)),0)
+IFERROR(SUMPRODUCT(
_xlfn._xlws.FILTER(Table_DonBan[Doanh thu ròng],
(NOT(ISBLANK(Table_DonBan[Phân bổ từ])))*
(NOT(ISBLANK(Table_DonBan[Phân bổ đến])))*
(Table_DonBan[Phân bổ từ]&lt;DATE(BCTC_Nam+1, 1, 1))*
(Table_DonBan[Phân bổ đến]&gt;DATE(BCTC_Nam, 1, 1))
),
_xlfn._xlws.FILTER(
ROUND((DATE(BCTC_Nam+1, 1, 1) - 1 - Table_DonBan[Phân bổ từ]) / (362.25 / 12 ), 0),
(NOT(ISBLANK(Table_DonBan[Phân bổ từ])))*
(NOT(ISBLANK(Table_DonBan[Phân bổ đến])))*
(Table_DonBan[Phân bổ từ]&lt;DATE(BCTC_Nam+1, 1, 1))*
(Table_DonBan[Phân bổ đến]&gt;DATE(BCTC_Nam, 1, 1))
),
_xlfn._xlws.FILTER(
1/ROUND((Table_DonBan[Phân bổ đến] - Table_DonBan[Phân bổ từ]) / (362.25 / 12 ),0),
(NOT(ISBLANK(Table_DonBan[Phân bổ từ])))*
(NOT(ISBLANK(Table_DonBan[Phân bổ đến])))*
(Table_DonBan[Phân bổ từ]&lt;DATE(BCTC_Nam+1, 1, 1))*
(Table_DonBan[Phân bổ đến]&gt;DATE(BCTC_Nam, 1, 1))
)),0)</f>
        <v>0</v>
      </c>
      <c r="F7" s="363" cm="1">
        <f t="array" ref="F7" xml:space="preserve">
+IFERROR(SUM(
_xlfn._xlws.FILTER(Table_DonBan[Doanh thu ròng],
(ISBLANK(Table_DonBan[Phân bổ từ]))*
(ISBLANK(Table_DonBan[Phân bổ đến]))*
(Table_Main[Ngày lên đơn] &gt;= DATE(BCTC_Nam, BCTC_Thang, 1))*
(Table_Main[Ngày lên đơn] &lt; DATE(BCTC_Nam, BCTC_Thang+1, 1))
)),0)
+IFERROR(SUMPRODUCT(
_xlfn._xlws.FILTER(Table_DonBan[Doanh thu ròng],
(NOT(ISBLANK(Table_DonBan[Phân bổ từ])))*
(NOT(ISBLANK(Table_DonBan[Phân bổ đến])))*
(Table_DonBan[Phân bổ từ]&lt;DATE(BCTC_Nam, BCTC_Thang+1, 1))*
(Table_DonBan[Phân bổ đến]&gt;DATE(BCTC_Nam, BCTC_Thang, 1))
),
_xlfn._xlws.FILTER(
ROUND((DATE(BCTC_Nam, BCTC_Thang+1, 1) - 1 - Table_DonBan[Phân bổ từ]) / (362.25 / 12 ), 0),
(NOT(ISBLANK(Table_DonBan[Phân bổ từ])))*
(NOT(ISBLANK(Table_DonBan[Phân bổ đến])))*
(Table_DonBan[Phân bổ từ]&lt;DATE(BCTC_Nam, BCTC_Thang+1, 1))*
(Table_DonBan[Phân bổ đến]&gt;DATE(BCTC_Nam, BCTC_Thang, 1))
),
_xlfn._xlws.FILTER(
1/ROUND((Table_DonBan[Phân bổ đến] - Table_DonBan[Phân bổ từ]) / (362.25 / 12 ),0),
(NOT(ISBLANK(Table_DonBan[Phân bổ từ])))*
(NOT(ISBLANK(Table_DonBan[Phân bổ đến])))*
(Table_DonBan[Phân bổ từ]&lt;DATE(BCTC_Nam, BCTC_Thang+1, 1))*
(Table_DonBan[Phân bổ đến]&gt;DATE(BCTC_Nam, BCTC_Thang, 1))
)),0)</f>
        <v>0</v>
      </c>
      <c r="G7" s="359"/>
      <c r="H7" s="353">
        <v>10</v>
      </c>
      <c r="I7" s="74" t="s">
        <v>363</v>
      </c>
      <c r="J7" s="363" cm="1">
        <f t="array" ref="J7" xml:space="preserve">
+IFERROR(SUM(
_xlfn._xlws.FILTER(Table_DonBan[Doanh thu ròng],
(ISBLANK(Table_DonBan[Phân bổ từ]))*
(ISBLANK(Table_DonBan[Phân bổ đến]))*
(Table_Main[Ngày lên đơn] &gt;= DATE(J$1, 1, 1))*
(Table_Main[Ngày lên đơn] &lt; DATE(J$1+1, 1, 1))
)),0)
+IFERROR(SUMPRODUCT(
_xlfn._xlws.FILTER(Table_DonBan[Doanh thu ròng],
(NOT(ISBLANK(Table_DonBan[Phân bổ từ])))*
(NOT(ISBLANK(Table_DonBan[Phân bổ đến])))*
(Table_DonBan[Phân bổ từ]&lt;DATE(J$1+1, 1, 1))*
(Table_DonBan[Phân bổ đến]&gt;DATE(J$1, 1, 1))
),
_xlfn._xlws.FILTER(
ROUND((DATE(J$1+1, 1, 1) - 1 - Table_DonBan[Phân bổ từ]) / (362.25 / 12 ), 0),
(NOT(ISBLANK(Table_DonBan[Phân bổ từ])))*
(NOT(ISBLANK(Table_DonBan[Phân bổ đến])))*
(Table_DonBan[Phân bổ từ]&lt;DATE(J$1+1, 1, 1))*
(Table_DonBan[Phân bổ đến]&gt;DATE(J$1, 1, 1))
),
_xlfn._xlws.FILTER(
1/ROUND((Table_DonBan[Phân bổ đến] - Table_DonBan[Phân bổ từ]) / (362.25 / 12 ),0),
(NOT(ISBLANK(Table_DonBan[Phân bổ từ])))*
(NOT(ISBLANK(Table_DonBan[Phân bổ đến])))*
(Table_DonBan[Phân bổ từ]&lt;DATE(J$1+1, 1, 1))*
(Table_DonBan[Phân bổ đến]&gt;DATE(J$1, 1, 1))
)),0)</f>
        <v>0</v>
      </c>
      <c r="K7" s="363" cm="1">
        <f t="array" ref="K7" xml:space="preserve">
+IFERROR(SUM(
_xlfn._xlws.FILTER(Table_DonBan[Doanh thu ròng],
(ISBLANK(Table_DonBan[Phân bổ từ]))*
(ISBLANK(Table_DonBan[Phân bổ đến]))*
(Table_Main[Ngày lên đơn] &gt;= DATE(K$1, 1, 1))*
(Table_Main[Ngày lên đơn] &lt; DATE(K$1+1, 1, 1))
)),0)
+IFERROR(SUMPRODUCT(
_xlfn._xlws.FILTER(Table_DonBan[Doanh thu ròng],
(NOT(ISBLANK(Table_DonBan[Phân bổ từ])))*
(NOT(ISBLANK(Table_DonBan[Phân bổ đến])))*
(Table_DonBan[Phân bổ từ]&lt;DATE(K$1+1, 1, 1))*
(Table_DonBan[Phân bổ đến]&gt;DATE(K$1, 1, 1))
),
_xlfn._xlws.FILTER(
ROUND((DATE(K$1+1, 1, 1) - 1 - Table_DonBan[Phân bổ từ]) / (362.25 / 12 ), 0),
(NOT(ISBLANK(Table_DonBan[Phân bổ từ])))*
(NOT(ISBLANK(Table_DonBan[Phân bổ đến])))*
(Table_DonBan[Phân bổ từ]&lt;DATE(K$1+1, 1, 1))*
(Table_DonBan[Phân bổ đến]&gt;DATE(K$1, 1, 1))
),
_xlfn._xlws.FILTER(
1/ROUND((Table_DonBan[Phân bổ đến] - Table_DonBan[Phân bổ từ]) / (362.25 / 12 ),0),
(NOT(ISBLANK(Table_DonBan[Phân bổ từ])))*
(NOT(ISBLANK(Table_DonBan[Phân bổ đến])))*
(Table_DonBan[Phân bổ từ]&lt;DATE(K$1+1, 1, 1))*
(Table_DonBan[Phân bổ đến]&gt;DATE(K$1, 1, 1))
)),0)</f>
        <v>0</v>
      </c>
      <c r="L7" s="262"/>
      <c r="M7" s="353">
        <v>10</v>
      </c>
      <c r="N7" s="74" t="s">
        <v>363</v>
      </c>
      <c r="O7" s="363" cm="1">
        <f t="array" ref="O7" xml:space="preserve">
+IFERROR(SUM(
_xlfn._xlws.FILTER(Table_DonBan[Doanh thu ròng],
(ISBLANK(Table_DonBan[Phân bổ từ]))*
(ISBLANK(Table_DonBan[Phân bổ đến]))*
(Table_Main[Ngày lên đơn] &gt;= O$1)*
(Table_Main[Ngày lên đơn] &lt; DATE(YEAR(O$1),MONTH(O$1)+1, 1))
)),0)
+IFERROR(SUMPRODUCT(
_xlfn._xlws.FILTER(Table_DonBan[Doanh thu ròng],
(NOT(ISBLANK(Table_DonBan[Phân bổ từ])))*
(NOT(ISBLANK(Table_DonBan[Phân bổ đến])))*
(Table_DonBan[Phân bổ từ]&lt;DATE(YEAR(O$1),MONTH(O$1)+1, 1))*
(Table_DonBan[Phân bổ đến]&gt;O$1)
),
_xlfn._xlws.FILTER(
ROUND((DATE(YEAR(O$1),MONTH(O$1)+1, 1) - 1 - Table_DonBan[Phân bổ từ]) / (362.25 / 12 ), 0),
(NOT(ISBLANK(Table_DonBan[Phân bổ từ])))*
(NOT(ISBLANK(Table_DonBan[Phân bổ đến])))*
(Table_DonBan[Phân bổ từ]&lt;DATE(YEAR(O$1),MONTH(O$1)+1, 1))*
(Table_DonBan[Phân bổ đến]&gt;O$1)
),
_xlfn._xlws.FILTER(
1/ROUND((Table_DonBan[Phân bổ đến] - Table_DonBan[Phân bổ từ]) / (362.25 / 12 ),0),
(NOT(ISBLANK(Table_DonBan[Phân bổ từ])))*
(NOT(ISBLANK(Table_DonBan[Phân bổ đến])))*
(Table_DonBan[Phân bổ từ]&lt;DATE(YEAR(O$1),MONTH(O$1)+1, 1))*
(Table_DonBan[Phân bổ đến]&gt;O$1)
)),0)</f>
        <v>0</v>
      </c>
      <c r="P7" s="363" cm="1">
        <f t="array" ref="P7" xml:space="preserve">
+IFERROR(SUM(
_xlfn._xlws.FILTER(Table_DonBan[Doanh thu ròng],
(ISBLANK(Table_DonBan[Phân bổ từ]))*
(ISBLANK(Table_DonBan[Phân bổ đến]))*
(Table_Main[Ngày lên đơn] &gt;= P$1)*
(Table_Main[Ngày lên đơn] &lt; DATE(YEAR(P$1),MONTH(P$1)+1, 1))
)),0)
+IFERROR(SUMPRODUCT(
_xlfn._xlws.FILTER(Table_DonBan[Doanh thu ròng],
(NOT(ISBLANK(Table_DonBan[Phân bổ từ])))*
(NOT(ISBLANK(Table_DonBan[Phân bổ đến])))*
(Table_DonBan[Phân bổ từ]&lt;DATE(YEAR(P$1),MONTH(P$1)+1, 1))*
(Table_DonBan[Phân bổ đến]&gt;P$1)
),
_xlfn._xlws.FILTER(
ROUND((DATE(YEAR(P$1),MONTH(P$1)+1, 1) - 1 - Table_DonBan[Phân bổ từ]) / (362.25 / 12 ), 0),
(NOT(ISBLANK(Table_DonBan[Phân bổ từ])))*
(NOT(ISBLANK(Table_DonBan[Phân bổ đến])))*
(Table_DonBan[Phân bổ từ]&lt;DATE(YEAR(P$1),MONTH(P$1)+1, 1))*
(Table_DonBan[Phân bổ đến]&gt;P$1)
),
_xlfn._xlws.FILTER(
1/ROUND((Table_DonBan[Phân bổ đến] - Table_DonBan[Phân bổ từ]) / (362.25 / 12 ),0),
(NOT(ISBLANK(Table_DonBan[Phân bổ từ])))*
(NOT(ISBLANK(Table_DonBan[Phân bổ đến])))*
(Table_DonBan[Phân bổ từ]&lt;DATE(YEAR(P$1),MONTH(P$1)+1, 1))*
(Table_DonBan[Phân bổ đến]&gt;P$1)
)),0)</f>
        <v>0</v>
      </c>
      <c r="Q7" s="262"/>
      <c r="R7" s="262"/>
      <c r="S7" s="262"/>
      <c r="T7" s="262"/>
      <c r="U7" s="262"/>
      <c r="V7" s="262"/>
      <c r="W7" s="262"/>
      <c r="X7" s="262"/>
      <c r="Y7" s="262"/>
      <c r="Z7" s="262"/>
      <c r="AA7" s="262"/>
      <c r="AB7" s="262"/>
      <c r="AC7" s="262"/>
      <c r="AD7" s="262"/>
      <c r="AE7" s="262"/>
      <c r="AF7" s="262"/>
      <c r="AG7" s="262"/>
      <c r="AH7" s="262"/>
      <c r="AI7" s="262"/>
      <c r="AJ7" s="262"/>
      <c r="AK7" s="262"/>
      <c r="AL7" s="262"/>
      <c r="AM7" s="262"/>
    </row>
    <row r="8" spans="1:39" s="53" customFormat="1" ht="18" customHeight="1" outlineLevel="2" x14ac:dyDescent="0.3">
      <c r="A8" s="240">
        <f t="shared" si="0"/>
        <v>5</v>
      </c>
      <c r="B8" s="356">
        <v>11</v>
      </c>
      <c r="C8" s="73" t="s">
        <v>364</v>
      </c>
      <c r="D8" s="361"/>
      <c r="E8" s="355">
        <f>+SUM(E9:E15)</f>
        <v>0</v>
      </c>
      <c r="F8" s="355">
        <f>+SUM(F9:F15)</f>
        <v>0</v>
      </c>
      <c r="G8" s="359"/>
      <c r="H8" s="356">
        <v>11</v>
      </c>
      <c r="I8" s="73" t="s">
        <v>364</v>
      </c>
      <c r="J8" s="355">
        <f>+SUM(J9:J15)</f>
        <v>0</v>
      </c>
      <c r="K8" s="355">
        <f>+SUM(K9:K15)</f>
        <v>0</v>
      </c>
      <c r="L8" s="262"/>
      <c r="M8" s="356">
        <v>11</v>
      </c>
      <c r="N8" s="73" t="s">
        <v>364</v>
      </c>
      <c r="O8" s="355">
        <f>+SUM(O9:O15)</f>
        <v>0</v>
      </c>
      <c r="P8" s="355">
        <f>+SUM(P9:P15)</f>
        <v>0</v>
      </c>
      <c r="Q8" s="262"/>
      <c r="R8" s="262"/>
      <c r="S8" s="262"/>
      <c r="T8" s="262"/>
      <c r="U8" s="262"/>
      <c r="V8" s="262"/>
      <c r="W8" s="262"/>
      <c r="X8" s="262"/>
      <c r="Y8" s="262"/>
      <c r="Z8" s="262"/>
      <c r="AA8" s="262"/>
      <c r="AB8" s="262"/>
      <c r="AC8" s="262"/>
      <c r="AD8" s="262"/>
      <c r="AE8" s="262"/>
      <c r="AF8" s="262"/>
      <c r="AG8" s="262"/>
      <c r="AH8" s="262"/>
      <c r="AI8" s="262"/>
      <c r="AJ8" s="262"/>
      <c r="AK8" s="262"/>
      <c r="AL8" s="262"/>
      <c r="AM8" s="262"/>
    </row>
    <row r="9" spans="1:39" s="53" customFormat="1" ht="18" customHeight="1" outlineLevel="3" x14ac:dyDescent="0.3">
      <c r="A9" s="240">
        <f t="shared" si="0"/>
        <v>6</v>
      </c>
      <c r="B9" s="362"/>
      <c r="C9" s="72" t="s">
        <v>365</v>
      </c>
      <c r="D9" s="358"/>
      <c r="E9" s="359" cm="1">
        <f t="array" ref="E9">-IFERROR(
SUM(_xlfn._xlws.FILTER(Table_TonKho[Chi phí ghi nhận],
(Table_TonKho[Năm] = BCTC_Nam) *
(Table_TonKho[Chức năng] = "Nguyên liệu")
)),0)
-IFERROR(
SUM(_xlfn._xlws.FILTER(Table_TonKho[Chi phí ghi nhận],
(Table_TonKho[Năm] = BCTC_Nam) *
(Table_TonKho[Chức năng] = "")
)),0)</f>
        <v>0</v>
      </c>
      <c r="F9" s="359" cm="1">
        <f t="array" ref="F9">-IFERROR(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9" s="359"/>
      <c r="H9" s="362"/>
      <c r="I9" s="72" t="s">
        <v>365</v>
      </c>
      <c r="J9" s="359" cm="1">
        <f t="array" ref="J9">-IFERROR(
SUM(_xlfn._xlws.FILTER(Table_TonKho[Chi phí ghi nhận],
(Table_TonKho[Năm] = J$1) *
(Table_TonKho[Chức năng] = "Nguyên liệu")
)),0)
-IFERROR(
SUM(_xlfn._xlws.FILTER(Table_TonKho[Chi phí ghi nhận],
(Table_TonKho[Năm] = J$1) *
(Table_TonKho[Chức năng] = "")
)),0)</f>
        <v>0</v>
      </c>
      <c r="K9" s="359" cm="1">
        <f t="array" ref="K9">-IFERROR(
SUM(_xlfn._xlws.FILTER(Table_TonKho[Chi phí ghi nhận],
(Table_TonKho[Năm] = K$1) *
(Table_TonKho[Chức năng] = "Nguyên liệu")
)),0)
-IFERROR(
SUM(_xlfn._xlws.FILTER(Table_TonKho[Chi phí ghi nhận],
(Table_TonKho[Năm] = K$1) *
(Table_TonKho[Chức năng] = "")
)),0)</f>
        <v>0</v>
      </c>
      <c r="L9" s="262"/>
      <c r="M9" s="362"/>
      <c r="N9" s="72" t="s">
        <v>365</v>
      </c>
      <c r="O9" s="359" cm="1">
        <f t="array" ref="O9">-IFERROR(
SUM(_xlfn._xlws.FILTER(Table_TonKho[Chi phí ghi nhận],
(Table_TonKho[Kỳ] = O$1) *
(Table_TonKho[Chức năng] = "Nguyên liệu")
)),0)
-IFERROR(
SUM(_xlfn._xlws.FILTER(Table_TonKho[Chi phí ghi nhận],
(Table_TonKho[Kỳ] = O$1) *
(Table_TonKho[Chức năng] = "")
)),0)</f>
        <v>0</v>
      </c>
      <c r="P9" s="359" cm="1">
        <f t="array" ref="P9">-IFERROR(
SUM(_xlfn._xlws.FILTER(Table_TonKho[Chi phí ghi nhận],
(Table_TonKho[Kỳ] = P$1) *
(Table_TonKho[Chức năng] = "Nguyên liệu")
)),0)
-IFERROR(
SUM(_xlfn._xlws.FILTER(Table_TonKho[Chi phí ghi nhận],
(Table_TonKho[Kỳ] = P$1) *
(Table_TonKho[Chức năng] = "")
)),0)</f>
        <v>0</v>
      </c>
      <c r="Q9" s="262"/>
      <c r="R9" s="262"/>
      <c r="S9" s="262"/>
      <c r="T9" s="262"/>
      <c r="U9" s="262"/>
      <c r="V9" s="262"/>
      <c r="W9" s="262"/>
      <c r="X9" s="262"/>
      <c r="Y9" s="262"/>
      <c r="Z9" s="262"/>
      <c r="AA9" s="262"/>
      <c r="AB9" s="262"/>
      <c r="AC9" s="262"/>
      <c r="AD9" s="262"/>
      <c r="AE9" s="262"/>
      <c r="AF9" s="262"/>
      <c r="AG9" s="262"/>
      <c r="AH9" s="262"/>
      <c r="AI9" s="262"/>
      <c r="AJ9" s="262"/>
      <c r="AK9" s="262"/>
      <c r="AL9" s="262"/>
      <c r="AM9" s="262"/>
    </row>
    <row r="10" spans="1:39" s="53" customFormat="1" ht="18" customHeight="1" outlineLevel="3" x14ac:dyDescent="0.3">
      <c r="A10" s="240">
        <f t="shared" si="0"/>
        <v>7</v>
      </c>
      <c r="B10" s="362"/>
      <c r="C10" s="72" t="s">
        <v>366</v>
      </c>
      <c r="D10" s="358"/>
      <c r="E10" s="359" cm="1">
        <f t="array" ref="E10">-IFERROR(
SUM(_xlfn._xlws.FILTER(Table_ChiPhiNV[Tổng chi phí],
(Table_ChiPhiNV[Chức năng] = "Sản xuất") *
(Table_ChiPhiNV[Năm] = BCTC_Nam)
)),0)</f>
        <v>0</v>
      </c>
      <c r="F10" s="359"/>
      <c r="G10" s="359"/>
      <c r="H10" s="362"/>
      <c r="I10" s="72" t="s">
        <v>366</v>
      </c>
      <c r="J10" s="359" cm="1">
        <f t="array" ref="J10"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0" s="359" cm="1">
        <f t="array" ref="K10"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0" s="262"/>
      <c r="M10" s="362"/>
      <c r="N10" s="72" t="s">
        <v>366</v>
      </c>
      <c r="O10" s="359" cm="1">
        <f t="array" ref="O10">-IFERROR(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0" s="359" cm="1">
        <f t="array" ref="P10">-IFERROR(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0" s="262"/>
      <c r="R10" s="262"/>
      <c r="S10" s="262"/>
      <c r="T10" s="262"/>
      <c r="U10" s="262"/>
      <c r="V10" s="262"/>
      <c r="W10" s="262"/>
      <c r="X10" s="262"/>
      <c r="Y10" s="262"/>
      <c r="Z10" s="262"/>
      <c r="AA10" s="262"/>
      <c r="AB10" s="262"/>
      <c r="AC10" s="262"/>
      <c r="AD10" s="262"/>
      <c r="AE10" s="262"/>
      <c r="AF10" s="262"/>
      <c r="AG10" s="262"/>
      <c r="AH10" s="262"/>
      <c r="AI10" s="262"/>
      <c r="AJ10" s="262"/>
      <c r="AK10" s="262"/>
      <c r="AL10" s="262"/>
      <c r="AM10" s="262"/>
    </row>
    <row r="11" spans="1:39" s="53" customFormat="1" ht="18" customHeight="1" outlineLevel="3" x14ac:dyDescent="0.3">
      <c r="A11" s="240">
        <f t="shared" si="0"/>
        <v>8</v>
      </c>
      <c r="B11" s="362"/>
      <c r="C11" s="72" t="s">
        <v>367</v>
      </c>
      <c r="D11" s="358"/>
      <c r="E11" s="359" cm="1">
        <f t="array" ref="E11">-IFERROR(
SUM(_xlfn._xlws.FILTER(Table_TonKho[Chi phí ghi nhận],
(Table_TonKho[Năm] = BCTC_Nam) *
(Table_TonKho[Chức năng] = "Sản xuất")
)),0)</f>
        <v>0</v>
      </c>
      <c r="F11" s="359" cm="1">
        <f t="array" ref="F11">-IFERROR(
SUM(_xlfn._xlws.FILTER(Table_TonKho[Chi phí ghi nhận],
(Table_TonKho[Kỳ] = DATE(BCTC_Nam,BCTC_Thang,1)) *
(Table_TonKho[Chức năng] = "Sản xuất")
)),0)</f>
        <v>0</v>
      </c>
      <c r="G11" s="359"/>
      <c r="H11" s="362"/>
      <c r="I11" s="72" t="s">
        <v>367</v>
      </c>
      <c r="J11" s="359" cm="1">
        <f t="array" ref="J11">-IFERROR(
SUM(_xlfn._xlws.FILTER(Table_TonKho[Chi phí ghi nhận],
(Table_TonKho[Năm] = J$1) *
(Table_TonKho[Chức năng] = "Sản xuất")
)),0)</f>
        <v>0</v>
      </c>
      <c r="K11" s="359" cm="1">
        <f t="array" ref="K11">-IFERROR(
SUM(_xlfn._xlws.FILTER(Table_TonKho[Chi phí ghi nhận],
(Table_TonKho[Năm] = K$1) *
(Table_TonKho[Chức năng] = "Sản xuất")
)),0)</f>
        <v>0</v>
      </c>
      <c r="L11" s="262"/>
      <c r="M11" s="362"/>
      <c r="N11" s="72" t="s">
        <v>367</v>
      </c>
      <c r="O11" s="359" cm="1">
        <f t="array" ref="O11">-IFERROR(
SUM(_xlfn._xlws.FILTER(Table_TonKho[Chi phí ghi nhận],
(Table_TonKho[Kỳ] = O$1) *
(Table_TonKho[Chức năng] = "Sản xuất")
)),0)</f>
        <v>0</v>
      </c>
      <c r="P11" s="359" cm="1">
        <f t="array" ref="P11">-IFERROR(
SUM(_xlfn._xlws.FILTER(Table_TonKho[Chi phí ghi nhận],
(Table_TonKho[Kỳ] = P$1) *
(Table_TonKho[Chức năng] = "Sản xuất")
)),0)</f>
        <v>0</v>
      </c>
      <c r="Q11" s="262"/>
      <c r="R11" s="262"/>
      <c r="S11" s="262"/>
      <c r="T11" s="262"/>
      <c r="U11" s="262"/>
      <c r="V11" s="262"/>
      <c r="W11" s="262"/>
      <c r="X11" s="262"/>
      <c r="Y11" s="262"/>
      <c r="Z11" s="262"/>
      <c r="AA11" s="262"/>
      <c r="AB11" s="262"/>
      <c r="AC11" s="262"/>
      <c r="AD11" s="262"/>
      <c r="AE11" s="262"/>
      <c r="AF11" s="262"/>
      <c r="AG11" s="262"/>
      <c r="AH11" s="262"/>
      <c r="AI11" s="262"/>
      <c r="AJ11" s="262"/>
      <c r="AK11" s="262"/>
      <c r="AL11" s="262"/>
      <c r="AM11" s="262"/>
    </row>
    <row r="12" spans="1:39" s="53" customFormat="1" ht="18" customHeight="1" outlineLevel="3" x14ac:dyDescent="0.3">
      <c r="A12" s="240">
        <f t="shared" si="0"/>
        <v>9</v>
      </c>
      <c r="B12" s="362"/>
      <c r="C12" s="72" t="s">
        <v>286</v>
      </c>
      <c r="D12" s="358"/>
      <c r="E12" s="359" cm="1">
        <f t="array" ref="E12">-
IFERROR(
SUM(_xlfn._xlws.FILTER(Table_ChiPhiKD[Phân bổ sản xuất],
(Table_ChiPhiKD[Năm] = BCTC_Nam) *
(VLOOKUP(Table_ChiPhiKD[Nhóm chi phí],Table_ChiPhiKD_PhanNhom[],Sheet_ChiPhiKD!$J$2,0) = "Chưa phân bổ" )
)),0)</f>
        <v>0</v>
      </c>
      <c r="F12" s="359" cm="1">
        <f t="array" ref="F12">-
IFERROR(
SUM(
_xlfn._xlws.FILTER(Table_ChiPhiKD[Phân bổ sản xuất],
(Table_ChiPhiKD[Kỳ] = DATE(BCTC_Nam,BCTC_Thang,1)) *
(NOT(ISBLANK(Table_ChiPhiKD[Tháng])))*
(VLOOKUP(Table_ChiPhiKD[Nhóm chi phí],Table_ChiPhiKD_PhanNhom[],Sheet_ChiPhiKD!$J$2,0) = "Chưa phân bổ" )
)),0)
- IFERROR(SUMPRODUCT(
_xlfn._xlws.FILTER(Table_ChiPhiKD[Phân bổ sản xuất],
(Table_ChiPhiKD[Năm] = BCTC_Nam) *
(ISBLANK(Table_ChiPhiKD[Tháng])) *
(Table_ChiPhiKD[Phân bổ từ] &lt; DATE(BCTC_Nam,BCTC_Thang+1,1))*
(Table_ChiPhiKD[Phân bổ đến] &gt; DATE(BCTC_Nam,BCTC_Thang,1))*
(VLOOKUP(Table_ChiPhiKD[Nhóm chi phí],Table_ChiPhiKD_PhanNhom[],Sheet_ChiPhiKD!$J$2,0) = "Chưa phân bổ" )),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phí],Table_ChiPhiKD_PhanNhom[],Sheet_ChiPhiKD!$J$2,0) = "Chưa phân bổ" ))
), 0)</f>
        <v>0</v>
      </c>
      <c r="G12" s="310"/>
      <c r="H12" s="362"/>
      <c r="I12" s="72" t="s">
        <v>286</v>
      </c>
      <c r="J12" s="359" cm="1">
        <f t="array" ref="J12" xml:space="preserve">
-IFERROR(
SUM(
_xlfn._xlws.FILTER(Table_ChiPhiKD[Phân bổ sản xuất],
(Table_ChiPhiKD[Năm] = J$1)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2" s="359" cm="1">
        <f t="array" ref="K12" xml:space="preserve">
-IFERROR(
SUM(
_xlfn._xlws.FILTER(Table_ChiPhiKD[Phân bổ sản xuất],
(Table_ChiPhiKD[Năm] = K$1) *
(NOT(ISBLANK(Table_ChiPhiKD[Tháng])))*
(VLOOKUP(
Table_ChiPhiKD[Nhóm chi phí],
Table_ChiPhiKD_PhanNhom[],
COUNTA(Table_ChiPhiKD_PhanNhom[[#Headers],[Nhóm chi phí]:[Chức năng]]),
0) = "Chưa phân bổ" )
)),
0)
- IFERROR(
SUMPRODUCT(
_xlfn._xlws.FILTER(Table_ChiPhiKD[Phân bổ sản xuất],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2" s="262"/>
      <c r="M12" s="362"/>
      <c r="N12" s="72" t="s">
        <v>286</v>
      </c>
      <c r="O12" s="359" cm="1">
        <f t="array" ref="O12">-
IFERROR(
SUM(
_xlfn._xlws.FILTER(Table_ChiPhiKD[Phân bổ sản xuất],
(Table_ChiPhiKD[Kỳ] = O$1) *
(NOT(ISBLANK(Table_ChiPhiKD[Tháng])))*
(VLOOKUP(Table_ChiPhiKD[Nhóm chi phí],Table_ChiPhiKD_PhanNhom[],Sheet_ChiPhiKD!$J$2,0) = "Chưa phân bổ" )
)),0)
- IFERROR(SUMPRODUCT(
_xlfn._xlws.FILTER(Table_ChiPhiKD[Phân bổ sản xuất],
(ISBLANK(Table_ChiPhiKD[Tháng])) *
(Table_ChiPhiKD[Phân bổ từ] &lt; DATE(YEAR(O$1),MONTH(O$1)+1,1))*
(Table_ChiPhiKD[Phân bổ đến] &gt; O$1)*
(VLOOKUP(Table_ChiPhiKD[Nhóm chi phí],Table_ChiPhiKD_PhanNhom[],Sheet_ChiPhiKD!$J$2,0) = "Chưa phân bổ" )),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phí],Table_ChiPhiKD_PhanNhom[],Sheet_ChiPhiKD!$J$2,0) = "Chưa phân bổ" ))
), 0)</f>
        <v>0</v>
      </c>
      <c r="P12" s="359" cm="1">
        <f t="array" ref="P12">-
IFERROR(
SUM(
_xlfn._xlws.FILTER(Table_ChiPhiKD[Phân bổ sản xuất],
(Table_ChiPhiKD[Kỳ] = P$1) *
(NOT(ISBLANK(Table_ChiPhiKD[Tháng])))*
(VLOOKUP(Table_ChiPhiKD[Nhóm chi phí],Table_ChiPhiKD_PhanNhom[],Sheet_ChiPhiKD!$J$2,0) = "Chưa phân bổ" )
)),0)
- IFERROR(SUMPRODUCT(
_xlfn._xlws.FILTER(Table_ChiPhiKD[Phân bổ sản xuất],
(ISBLANK(Table_ChiPhiKD[Tháng])) *
(Table_ChiPhiKD[Phân bổ từ] &lt; DATE(YEAR(P$1),MONTH(P$1)+1,1))*
(Table_ChiPhiKD[Phân bổ đến] &gt; P$1)*
(VLOOKUP(Table_ChiPhiKD[Nhóm chi phí],Table_ChiPhiKD_PhanNhom[],Sheet_ChiPhiKD!$J$2,0) = "Chưa phân bổ" )),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phí],Table_ChiPhiKD_PhanNhom[],Sheet_ChiPhiKD!$J$2,0) = "Chưa phân bổ" ))
), 0)</f>
        <v>0</v>
      </c>
      <c r="Q12" s="262"/>
      <c r="R12" s="262"/>
      <c r="S12" s="262"/>
      <c r="T12" s="262"/>
      <c r="U12" s="262"/>
      <c r="V12" s="262"/>
      <c r="W12" s="262"/>
      <c r="X12" s="262"/>
      <c r="Y12" s="262"/>
      <c r="Z12" s="262"/>
      <c r="AA12" s="262"/>
      <c r="AB12" s="262"/>
      <c r="AC12" s="262"/>
      <c r="AD12" s="262"/>
      <c r="AE12" s="262"/>
      <c r="AF12" s="262"/>
      <c r="AG12" s="262"/>
      <c r="AH12" s="262"/>
      <c r="AI12" s="262"/>
      <c r="AJ12" s="262"/>
      <c r="AK12" s="262"/>
      <c r="AL12" s="262"/>
      <c r="AM12" s="262"/>
    </row>
    <row r="13" spans="1:39" s="41" customFormat="1" ht="18" customHeight="1" outlineLevel="3" x14ac:dyDescent="0.3">
      <c r="A13" s="240">
        <f t="shared" si="0"/>
        <v>10</v>
      </c>
      <c r="B13" s="362"/>
      <c r="C13" s="72" t="s">
        <v>346</v>
      </c>
      <c r="D13" s="358"/>
      <c r="E13" s="359" cm="1">
        <f t="array" ref="E13">-IFERROR(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3" s="359" cm="1">
        <f t="array" ref="F13">-IFERROR(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3" s="355"/>
      <c r="H13" s="362"/>
      <c r="I13" s="72" t="s">
        <v>346</v>
      </c>
      <c r="J13" s="359" cm="1">
        <f t="array" ref="J13"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3" s="359" cm="1">
        <f t="array" ref="K13"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3" s="264"/>
      <c r="M13" s="362"/>
      <c r="N13" s="72" t="s">
        <v>346</v>
      </c>
      <c r="O13" s="359" cm="1">
        <f t="array" ref="O13">-IFERROR(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3" s="359" cm="1">
        <f t="array" ref="P13">-IFERROR(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41" customFormat="1" ht="18" customHeight="1" outlineLevel="3" x14ac:dyDescent="0.3">
      <c r="A14" s="240">
        <f t="shared" si="0"/>
        <v>11</v>
      </c>
      <c r="B14" s="362"/>
      <c r="C14" s="72" t="s">
        <v>368</v>
      </c>
      <c r="D14" s="358"/>
      <c r="E14" s="359" cm="1">
        <f t="array" ref="E14">-IFERROR(
SUM(_xlfn._xlws.FILTER(Table_TSCD_KhauHao[Khấu hao sản xuất],
(Table_TSCD_KhauHao[Năm] = BCTC_Nam)
)),0)</f>
        <v>0</v>
      </c>
      <c r="F14" s="359" cm="1">
        <f t="array" ref="F14">-IFERROR(
SUM(_xlfn._xlws.FILTER(Table_TSCD_KhauHao[Khấu hao sản xuất],
(Table_TSCD_KhauHao[Kỳ] = DATE(BCTC_Nam,BCTC_Thang,1))
)),0)</f>
        <v>0</v>
      </c>
      <c r="G14" s="363"/>
      <c r="H14" s="362"/>
      <c r="I14" s="72" t="s">
        <v>368</v>
      </c>
      <c r="J14" s="359" cm="1">
        <f t="array" ref="J14">-IFERROR(
SUM(_xlfn._xlws.FILTER(Table_TSCD_KhauHao[Khấu hao sản xuất],
(Table_TSCD_KhauHao[Năm] = J$1)
)),0)</f>
        <v>0</v>
      </c>
      <c r="K14" s="359" cm="1">
        <f t="array" ref="K14">-IFERROR(
SUM(_xlfn._xlws.FILTER(Table_TSCD_KhauHao[Khấu hao sản xuất],
(Table_TSCD_KhauHao[Năm] = K$1)
)),0)</f>
        <v>0</v>
      </c>
      <c r="L14" s="264"/>
      <c r="M14" s="362"/>
      <c r="N14" s="72" t="s">
        <v>368</v>
      </c>
      <c r="O14" s="359" cm="1">
        <f t="array" ref="O14">-IFERROR(
SUM(_xlfn._xlws.FILTER(Table_TSCD_KhauHao[Khấu hao sản xuất],
(Table_TSCD_KhauHao[Kỳ] = O$1)
)),0)</f>
        <v>0</v>
      </c>
      <c r="P14" s="359" cm="1">
        <f t="array" ref="P14">-IFERROR(
SUM(_xlfn._xlws.FILTER(Table_TSCD_KhauHao[Khấu hao sản xuất],
(Table_TSCD_KhauHao[Kỳ] = P$1)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customHeight="1" outlineLevel="3" x14ac:dyDescent="0.3">
      <c r="A15" s="240">
        <f t="shared" si="0"/>
        <v>12</v>
      </c>
      <c r="B15" s="257"/>
      <c r="C15" s="72" t="s">
        <v>369</v>
      </c>
      <c r="D15" s="358"/>
      <c r="E15" s="310" cm="1">
        <f t="array" ref="E15">-IFERROR(
SUM(_xlfn._xlws.FILTER(Table_ChiPhiKD[Giá trị],
(Table_ChiPhiKD[Nhóm chi phí] = Table_BCTC[[#This Row],[Gtri]]) *
(Table_ChiPhiKD[Năm] = BCTC_Nam)
)),0)</f>
        <v>0</v>
      </c>
      <c r="F15" s="310" cm="1">
        <f t="array" ref="F1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5" s="359"/>
      <c r="H15" s="257"/>
      <c r="I15" s="72" t="s">
        <v>369</v>
      </c>
      <c r="J15" s="310" cm="1">
        <f t="array" ref="J1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5" s="310" cm="1">
        <f t="array" ref="K1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5" s="262"/>
      <c r="M15" s="257"/>
      <c r="N15" s="72" t="s">
        <v>369</v>
      </c>
      <c r="O15" s="310" cm="1">
        <f t="array" ref="O1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5" s="310" cm="1">
        <f t="array" ref="P1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5" s="262"/>
      <c r="R15" s="262"/>
      <c r="S15" s="262"/>
      <c r="T15" s="262"/>
      <c r="U15" s="262"/>
      <c r="V15" s="262"/>
      <c r="W15" s="262"/>
      <c r="X15" s="262"/>
      <c r="Y15" s="262"/>
      <c r="Z15" s="262"/>
      <c r="AA15" s="262"/>
      <c r="AB15" s="262"/>
      <c r="AC15" s="262"/>
      <c r="AD15" s="262"/>
      <c r="AE15" s="262"/>
      <c r="AF15" s="262"/>
      <c r="AG15" s="262"/>
      <c r="AH15" s="262"/>
      <c r="AI15" s="262"/>
      <c r="AJ15" s="262"/>
      <c r="AK15" s="262"/>
      <c r="AL15" s="262"/>
      <c r="AM15" s="262"/>
    </row>
    <row r="16" spans="1:39" s="53" customFormat="1" ht="18" customHeight="1" outlineLevel="1" x14ac:dyDescent="0.3">
      <c r="A16" s="240">
        <f t="shared" si="0"/>
        <v>13</v>
      </c>
      <c r="B16" s="353" t="s">
        <v>370</v>
      </c>
      <c r="C16" s="74" t="s">
        <v>371</v>
      </c>
      <c r="D16" s="364"/>
      <c r="E16" s="363">
        <f>+E7+E8</f>
        <v>0</v>
      </c>
      <c r="F16" s="363">
        <f>+F7+F8</f>
        <v>0</v>
      </c>
      <c r="G16" s="359"/>
      <c r="H16" s="353" t="s">
        <v>370</v>
      </c>
      <c r="I16" s="74" t="s">
        <v>371</v>
      </c>
      <c r="J16" s="363">
        <f>+J7+J8</f>
        <v>0</v>
      </c>
      <c r="K16" s="363">
        <f>+K7+K8</f>
        <v>0</v>
      </c>
      <c r="L16" s="262"/>
      <c r="M16" s="353" t="s">
        <v>370</v>
      </c>
      <c r="N16" s="74" t="s">
        <v>371</v>
      </c>
      <c r="O16" s="363">
        <f>+O7+O8</f>
        <v>0</v>
      </c>
      <c r="P16" s="363">
        <f>+P7+P8</f>
        <v>0</v>
      </c>
      <c r="Q16" s="262"/>
      <c r="R16" s="262"/>
      <c r="S16" s="262"/>
      <c r="T16" s="262"/>
      <c r="U16" s="262"/>
      <c r="V16" s="262"/>
      <c r="W16" s="262"/>
      <c r="X16" s="262"/>
      <c r="Y16" s="262"/>
      <c r="Z16" s="262"/>
      <c r="AA16" s="262"/>
      <c r="AB16" s="262"/>
      <c r="AC16" s="262"/>
      <c r="AD16" s="262"/>
      <c r="AE16" s="262"/>
      <c r="AF16" s="262"/>
      <c r="AG16" s="262"/>
      <c r="AH16" s="262"/>
      <c r="AI16" s="262"/>
      <c r="AJ16" s="262"/>
      <c r="AK16" s="262"/>
      <c r="AL16" s="262"/>
      <c r="AM16" s="262"/>
    </row>
    <row r="17" spans="1:39" s="53" customFormat="1" ht="18" customHeight="1" outlineLevel="2" x14ac:dyDescent="0.3">
      <c r="A17" s="240">
        <f t="shared" si="0"/>
        <v>14</v>
      </c>
      <c r="B17" s="356" t="s">
        <v>372</v>
      </c>
      <c r="C17" s="73" t="s">
        <v>373</v>
      </c>
      <c r="D17" s="361"/>
      <c r="E17" s="355">
        <f>+SUM(E18:E27)</f>
        <v>0</v>
      </c>
      <c r="F17" s="355">
        <f>+SUM(F18:F27)</f>
        <v>0</v>
      </c>
      <c r="G17" s="359"/>
      <c r="H17" s="356" t="s">
        <v>372</v>
      </c>
      <c r="I17" s="73" t="s">
        <v>373</v>
      </c>
      <c r="J17" s="355">
        <f>+SUM(J18:J27)</f>
        <v>0</v>
      </c>
      <c r="K17" s="355">
        <f>+SUM(K18:K27)</f>
        <v>0</v>
      </c>
      <c r="L17" s="262"/>
      <c r="M17" s="356" t="s">
        <v>372</v>
      </c>
      <c r="N17" s="73" t="s">
        <v>373</v>
      </c>
      <c r="O17" s="355">
        <f>+SUM(O18:O27)</f>
        <v>0</v>
      </c>
      <c r="P17" s="355">
        <f>+SUM(P18:P27)</f>
        <v>0</v>
      </c>
      <c r="Q17" s="262"/>
      <c r="R17" s="262"/>
      <c r="S17" s="262"/>
      <c r="T17" s="262"/>
      <c r="U17" s="262"/>
      <c r="V17" s="262"/>
      <c r="W17" s="262"/>
      <c r="X17" s="262"/>
      <c r="Y17" s="262"/>
      <c r="Z17" s="262"/>
      <c r="AA17" s="262"/>
      <c r="AB17" s="262"/>
      <c r="AC17" s="262"/>
      <c r="AD17" s="262"/>
      <c r="AE17" s="262"/>
      <c r="AF17" s="262"/>
      <c r="AG17" s="262"/>
      <c r="AH17" s="262"/>
      <c r="AI17" s="262"/>
      <c r="AJ17" s="262"/>
      <c r="AK17" s="262"/>
      <c r="AL17" s="262"/>
      <c r="AM17" s="262"/>
    </row>
    <row r="18" spans="1:39" s="53" customFormat="1" ht="18" customHeight="1" outlineLevel="3" x14ac:dyDescent="0.3">
      <c r="A18" s="240">
        <f t="shared" si="0"/>
        <v>15</v>
      </c>
      <c r="B18" s="362"/>
      <c r="C18" s="72" t="s">
        <v>374</v>
      </c>
      <c r="D18" s="358"/>
      <c r="E18" s="359" cm="1">
        <f t="array" ref="E18">-IFERROR(
SUM(_xlfn._xlws.FILTER(Table_ChiPhiNV[Tổng chi phí],
(Table_ChiPhiNV[Chức năng] = "Bán hàng") *
(Table_ChiPhiNV[Năm] = BCTC_Nam)
)),0)-E19</f>
        <v>0</v>
      </c>
      <c r="F18" s="359" cm="1">
        <f t="array" ref="F18">-IFERROR(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),0)-F19</f>
        <v>0</v>
      </c>
      <c r="G18" s="359"/>
      <c r="H18" s="362"/>
      <c r="I18" s="72" t="s">
        <v>374</v>
      </c>
      <c r="J18" s="359" cm="1">
        <f t="array" ref="J18"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0)-J19</f>
        <v>0</v>
      </c>
      <c r="K18" s="359" cm="1">
        <f t="array" ref="K18"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0)-K19</f>
        <v>0</v>
      </c>
      <c r="L18" s="262"/>
      <c r="M18" s="362"/>
      <c r="N18" s="72" t="s">
        <v>374</v>
      </c>
      <c r="O18" s="359" cm="1">
        <f t="array" ref="O18">-IFERROR(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),0)-O19</f>
        <v>0</v>
      </c>
      <c r="P18" s="359" cm="1">
        <f t="array" ref="P18">-IFERROR(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),0)-P19</f>
        <v>0</v>
      </c>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row>
    <row r="19" spans="1:39" s="53" customFormat="1" ht="18" customHeight="1" outlineLevel="3" x14ac:dyDescent="0.3">
      <c r="A19" s="240">
        <f t="shared" si="0"/>
        <v>16</v>
      </c>
      <c r="B19" s="362"/>
      <c r="C19" s="72" t="s">
        <v>223</v>
      </c>
      <c r="D19" s="358"/>
      <c r="E19" s="359" cm="1">
        <f t="array" ref="E19">-IFERROR(SUM(_xlfn._xlws.FILTER(Table_ChiPhiNV[Hoa hồng],
(Table_ChiPhiNV[Năm] = BCTC_Nam)
)),0)
-IFERROR(
SUM(_xlfn._xlws.FILTER(Table_KPI[Thưởng KPI],
(NOT(ISBLANK(Table_KPI[Nhân viên]))) *
(Table_KPI[Năm] =  BCTC_Nam)
)),0)</f>
        <v>0</v>
      </c>
      <c r="F19" s="359" cm="1">
        <f t="array" ref="F19">-IFERROR(SUM(_xlfn._xlws.FILTER(Table_ChiPhiNV[Hoa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19" s="359"/>
      <c r="H19" s="362"/>
      <c r="I19" s="72" t="s">
        <v>223</v>
      </c>
      <c r="J19" s="359" cm="1">
        <f t="array" ref="J19" xml:space="preserve">
-IFERROR(
SUM(
_xlfn._xlws.FILTER(Table_ChiPhiNV[Hoa hồng],
(Table_ChiPhiNV[Năm] = J$1)
)),
0)
-IFERROR(
SUM(
_xlfn._xlws.FILTER(Table_KPI[Thưởng KPI],
(NOT(ISBLANK(Table_KPI[Nhân viên]))) *
(Table_KPI[Năm] =  J$1)
)),
0)</f>
        <v>0</v>
      </c>
      <c r="K19" s="359" cm="1">
        <f t="array" ref="K19" xml:space="preserve">
-IFERROR(
SUM(
_xlfn._xlws.FILTER(Table_ChiPhiNV[Hoa hồng],
(Table_ChiPhiNV[Năm] = K$1)
)),
0)
-IFERROR(
SUM(
_xlfn._xlws.FILTER(Table_KPI[Thưởng KPI],
(NOT(ISBLANK(Table_KPI[Nhân viên]))) *
(Table_KPI[Năm] =  K$1)
)),
0)</f>
        <v>0</v>
      </c>
      <c r="L19" s="262"/>
      <c r="M19" s="362"/>
      <c r="N19" s="72" t="s">
        <v>223</v>
      </c>
      <c r="O19" s="359" cm="1">
        <f t="array" ref="O19"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19" s="359" cm="1">
        <f t="array" ref="P19"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19" s="262"/>
      <c r="R19" s="262"/>
      <c r="S19" s="262"/>
      <c r="T19" s="262"/>
      <c r="U19" s="262"/>
      <c r="V19" s="262"/>
      <c r="W19" s="262"/>
      <c r="X19" s="262"/>
      <c r="Y19" s="262"/>
      <c r="Z19" s="262"/>
      <c r="AA19" s="262"/>
      <c r="AB19" s="262"/>
      <c r="AC19" s="262"/>
      <c r="AD19" s="262"/>
      <c r="AE19" s="262"/>
      <c r="AF19" s="262"/>
      <c r="AG19" s="262"/>
      <c r="AH19" s="262"/>
      <c r="AI19" s="262"/>
      <c r="AJ19" s="262"/>
      <c r="AK19" s="262"/>
      <c r="AL19" s="262"/>
      <c r="AM19" s="262"/>
    </row>
    <row r="20" spans="1:39" s="53" customFormat="1" ht="18" customHeight="1" outlineLevel="3" x14ac:dyDescent="0.3">
      <c r="A20" s="240">
        <f t="shared" si="0"/>
        <v>17</v>
      </c>
      <c r="B20" s="362"/>
      <c r="C20" s="72" t="s">
        <v>375</v>
      </c>
      <c r="D20" s="358"/>
      <c r="E20" s="359" cm="1">
        <f t="array" ref="E20">-IFERROR(
SUM(_xlfn._xlws.FILTER(Table_TonKho[Chi phí ghi nhận],
(Table_TonKho[Năm] = BCTC_Nam) *
(Table_TonKho[Chức năng] = "Bán hàng")
)),0)</f>
        <v>0</v>
      </c>
      <c r="F20" s="359" cm="1">
        <f t="array" ref="F20">-IFERROR(
SUM(_xlfn._xlws.FILTER(Table_TonKho[Chi phí ghi nhận],
(Table_TonKho[Kỳ] = DATE(BCTC_Nam,BCTC_Thang,1)) *
(Table_TonKho[Chức năng] = "Bán hàng")
)),0)</f>
        <v>0</v>
      </c>
      <c r="G20" s="359"/>
      <c r="H20" s="362"/>
      <c r="I20" s="72" t="s">
        <v>375</v>
      </c>
      <c r="J20" s="359" cm="1">
        <f t="array" ref="J20">-IFERROR(
SUM(_xlfn._xlws.FILTER(Table_TonKho[Chi phí ghi nhận],
(Table_TonKho[Năm] = J$1) *
(Table_TonKho[Chức năng] = "Bán hàng")
)),0)</f>
        <v>0</v>
      </c>
      <c r="K20" s="359" cm="1">
        <f t="array" ref="K20">-IFERROR(
SUM(_xlfn._xlws.FILTER(Table_TonKho[Chi phí ghi nhận],
(Table_TonKho[Năm] = K$1) *
(Table_TonKho[Chức năng] = "Bán hàng")
)),0)</f>
        <v>0</v>
      </c>
      <c r="L20" s="262"/>
      <c r="M20" s="362"/>
      <c r="N20" s="72" t="s">
        <v>375</v>
      </c>
      <c r="O20" s="359" cm="1">
        <f t="array" ref="O20">-IFERROR(
SUM(_xlfn._xlws.FILTER(Table_TonKho[Chi phí ghi nhận],
(Table_TonKho[Kỳ] = O$1) *
(Table_TonKho[Chức năng] = "Bán hàng")
)),0)</f>
        <v>0</v>
      </c>
      <c r="P20" s="359" cm="1">
        <f t="array" ref="P20">-IFERROR(
SUM(_xlfn._xlws.FILTER(Table_TonKho[Chi phí ghi nhận],
(Table_TonKho[Kỳ] = P$1) *
(Table_TonKho[Chức năng] = "Bán hàng")
)),0)</f>
        <v>0</v>
      </c>
      <c r="Q20" s="262"/>
      <c r="R20" s="262"/>
      <c r="S20" s="262"/>
      <c r="T20" s="262"/>
      <c r="U20" s="262"/>
      <c r="V20" s="262"/>
      <c r="W20" s="262"/>
      <c r="X20" s="262"/>
      <c r="Y20" s="262"/>
      <c r="Z20" s="262"/>
      <c r="AA20" s="262"/>
      <c r="AB20" s="262"/>
      <c r="AC20" s="262"/>
      <c r="AD20" s="262"/>
      <c r="AE20" s="262"/>
      <c r="AF20" s="262"/>
      <c r="AG20" s="262"/>
      <c r="AH20" s="262"/>
      <c r="AI20" s="262"/>
      <c r="AJ20" s="262"/>
      <c r="AK20" s="262"/>
      <c r="AL20" s="262"/>
      <c r="AM20" s="262"/>
    </row>
    <row r="21" spans="1:39" s="53" customFormat="1" ht="18" customHeight="1" outlineLevel="3" x14ac:dyDescent="0.3">
      <c r="A21" s="240">
        <f t="shared" si="0"/>
        <v>18</v>
      </c>
      <c r="B21" s="362"/>
      <c r="C21" s="72" t="s">
        <v>290</v>
      </c>
      <c r="D21" s="358"/>
      <c r="E21" s="359" cm="1">
        <f t="array" ref="E21">-IFERROR(
SUM(_xlfn._xlws.FILTER(Table_VanDon[Phí ship],
(Table_VanDon[Bên chịu phí] = "Bên bán") *
(Table_VanDon[Ngày lập] &gt;= DATE(BCTC_Nam,1,1)) *
(Table_VanDon[Ngày lập] &lt; DATE(BCTC_Nam+1,1,1))
)),0)</f>
        <v>0</v>
      </c>
      <c r="F21" s="359" cm="1">
        <f t="array" ref="F21">-IFERROR(
SUM(_xlfn._xlws.FILTER(Table_VanDon[Phí ship],
(Table_VanDon[Bên chịu phí] = "Bên bán") *
(Table_VanDon[Ngày lập] &gt;= DATE(BCTC_Nam, BCTC_Thang,1)) *
(Table_VanDon[Ngày lập] &lt; DATE(BCTC_Nam, BCTC_Thang+1,1))
)),0)</f>
        <v>0</v>
      </c>
      <c r="G21" s="359"/>
      <c r="H21" s="362"/>
      <c r="I21" s="72" t="s">
        <v>290</v>
      </c>
      <c r="J21" s="359" cm="1">
        <f t="array" ref="J21">-IFERROR(
SUM(
_xlfn._xlws.FILTER(Table_VanDon[Phí ship],
(Table_VanDon[Bên chịu phí] = "Bên bán") *
(Table_VanDon[Ngày lập] &gt;= DATE(J$1,1,1)) *
(Table_VanDon[Ngày lập] &lt; DATE(J$1+1,1,1))
)),
0)</f>
        <v>0</v>
      </c>
      <c r="K21" s="359" cm="1">
        <f t="array" ref="K21">-IFERROR(
SUM(
_xlfn._xlws.FILTER(Table_VanDon[Phí ship],
(Table_VanDon[Bên chịu phí] = "Bên bán") *
(Table_VanDon[Ngày lập] &gt;= DATE(K$1,1,1)) *
(Table_VanDon[Ngày lập] &lt; DATE(K$1+1,1,1))
)),
0)</f>
        <v>0</v>
      </c>
      <c r="L21" s="262"/>
      <c r="M21" s="362"/>
      <c r="N21" s="72" t="s">
        <v>290</v>
      </c>
      <c r="O21" s="359" cm="1">
        <f t="array" ref="O21">-IFERROR(
SUM(
_xlfn._xlws.FILTER(Table_VanDon[Phí ship],
(Table_VanDon[Bên chịu phí] = "Bên bán") *
(Table_VanDon[Ngày lập] &gt;= O$1) *
(Table_VanDon[Ngày lập] &lt; DATE(YEAR(O$1),MONTH(O$1)+1,1))
)),
0)</f>
        <v>0</v>
      </c>
      <c r="P21" s="359" cm="1">
        <f t="array" ref="P21">-IFERROR(
SUM(
_xlfn._xlws.FILTER(Table_VanDon[Phí ship],
(Table_VanDon[Bên chịu phí] = "Bên bán") *
(Table_VanDon[Ngày lập] &gt;= P$1) *
(Table_VanDon[Ngày lập] &lt; DATE(YEAR(P$1),MONTH(P$1)+1,1))
)),
0)</f>
        <v>0</v>
      </c>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row>
    <row r="22" spans="1:39" s="53" customFormat="1" ht="18" customHeight="1" outlineLevel="3" x14ac:dyDescent="0.3">
      <c r="A22" s="240">
        <f t="shared" si="0"/>
        <v>19</v>
      </c>
      <c r="B22" s="362"/>
      <c r="C22" s="72" t="s">
        <v>343</v>
      </c>
      <c r="D22" s="358"/>
      <c r="E22" s="359" cm="1">
        <f t="array" ref="E22">-IFERROR(SUM(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2" s="359" cm="1">
        <f t="array" ref="F22">-IFERROR(SUM(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2" s="359"/>
      <c r="H22" s="362"/>
      <c r="I22" s="72" t="s">
        <v>343</v>
      </c>
      <c r="J22" s="359" cm="1">
        <f t="array" ref="J22">-IFERROR(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2" s="359" cm="1">
        <f t="array" ref="K22">-IFERROR(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2" s="262"/>
      <c r="M22" s="362"/>
      <c r="N22" s="72" t="s">
        <v>343</v>
      </c>
      <c r="O22" s="359" cm="1">
        <f t="array" ref="O22">-IFERROR(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2" s="359" cm="1">
        <f t="array" ref="P22">-IFERROR(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row>
    <row r="23" spans="1:39" s="53" customFormat="1" ht="18" customHeight="1" outlineLevel="3" x14ac:dyDescent="0.3">
      <c r="A23" s="240">
        <f t="shared" si="0"/>
        <v>20</v>
      </c>
      <c r="B23" s="362"/>
      <c r="C23" s="72" t="s">
        <v>289</v>
      </c>
      <c r="D23" s="358"/>
      <c r="E23" s="359" cm="1">
        <f t="array" ref="E23">-IFERROR(SUM(
_xlfn._xlws.FILTER(Table_ThuChiKD[Phí GD],
(Table_ThuChiKD[Ngày GD] &gt;= DATE(BCTC_Nam, 1, 1))*
(Table_ThuChiKD[Ngày GD] &lt; DATE(BCTC_Nam+1, 1, 1))
)),0)</f>
        <v>0</v>
      </c>
      <c r="F23" s="359" cm="1">
        <f t="array" ref="F23">-IFERROR(SUM(
_xlfn._xlws.FILTER(Table_ThuChiKD[Phí GD],
(Table_ThuChiKD[Ngày GD] &gt;= DATE(BCTC_Nam, BCTC_Thang, 1))*
(Table_ThuChiKD[Ngày GD] &lt; DATE(BCTC_Nam, BCTC_Thang + 1, 1))
)),0)</f>
        <v>0</v>
      </c>
      <c r="G23" s="359"/>
      <c r="H23" s="362"/>
      <c r="I23" s="72" t="s">
        <v>289</v>
      </c>
      <c r="J23" s="359" cm="1">
        <f t="array" ref="J23">-IFERROR(
SUM(
_xlfn._xlws.FILTER(Table_ThuChiKD[Phí GD],
(Table_ThuChiKD[Ngày GD] &gt;= DATE(J$1, 1, 1))*
(Table_ThuChiKD[Ngày GD] &lt; DATE(J$1+1, 1, 1))
)),
0)</f>
        <v>0</v>
      </c>
      <c r="K23" s="359" cm="1">
        <f t="array" ref="K23">-IFERROR(
SUM(
_xlfn._xlws.FILTER(Table_ThuChiKD[Phí GD],
(Table_ThuChiKD[Ngày GD] &gt;= DATE(K$1, 1, 1))*
(Table_ThuChiKD[Ngày GD] &lt; DATE(K$1+1, 1, 1))
)),
0)</f>
        <v>0</v>
      </c>
      <c r="L23" s="262"/>
      <c r="M23" s="362"/>
      <c r="N23" s="72" t="s">
        <v>289</v>
      </c>
      <c r="O23" s="359" cm="1">
        <f t="array" ref="O23">-IFERROR(
SUM(
_xlfn._xlws.FILTER(Table_ThuChiKD[Phí GD],
(Table_ThuChiKD[Ngày GD] &gt;= O$1)*
(Table_ThuChiKD[Ngày GD] &lt; DATE(YEAR(O$1),MONTH(O$1)+1,1))
)),
0)</f>
        <v>0</v>
      </c>
      <c r="P23" s="359" cm="1">
        <f t="array" ref="P23">-IFERROR(
SUM(
_xlfn._xlws.FILTER(Table_ThuChiKD[Phí GD],
(Table_ThuChiKD[Ngày GD] &gt;= P$1)*
(Table_ThuChiKD[Ngày GD] &lt; DATE(YEAR(P$1),MONTH(P$1)+1,1))
)),
0)</f>
        <v>0</v>
      </c>
      <c r="Q23" s="262"/>
      <c r="R23" s="262"/>
      <c r="S23" s="262"/>
      <c r="T23" s="262"/>
      <c r="U23" s="262"/>
      <c r="V23" s="262"/>
      <c r="W23" s="262"/>
      <c r="X23" s="262"/>
      <c r="Y23" s="262"/>
      <c r="Z23" s="262"/>
      <c r="AA23" s="262"/>
      <c r="AB23" s="262"/>
      <c r="AC23" s="262"/>
      <c r="AD23" s="262"/>
      <c r="AE23" s="262"/>
      <c r="AF23" s="262"/>
      <c r="AG23" s="262"/>
      <c r="AH23" s="262"/>
      <c r="AI23" s="262"/>
      <c r="AJ23" s="262"/>
      <c r="AK23" s="262"/>
      <c r="AL23" s="262"/>
      <c r="AM23" s="262"/>
    </row>
    <row r="24" spans="1:39" s="53" customFormat="1" ht="18" customHeight="1" outlineLevel="3" x14ac:dyDescent="0.3">
      <c r="A24" s="240">
        <f t="shared" si="0"/>
        <v>21</v>
      </c>
      <c r="B24" s="362"/>
      <c r="C24" s="72" t="s">
        <v>344</v>
      </c>
      <c r="D24" s="358"/>
      <c r="E24" s="359" cm="1">
        <f t="array" ref="E24">-IFERROR(
SUM(_xlfn._xlws.FILTER(Table_ChiPhiKD[Giá trị],
(Table_ChiPhiKD[Nhóm chi phí] = Table_BCTC[[#This Row],[Gtri]]) *
(Table_ChiPhiKD[Năm] = BCTC_Nam)
)),0)</f>
        <v>0</v>
      </c>
      <c r="F24" s="359" cm="1">
        <f t="array" ref="F24">-IFERROR(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4" s="355"/>
      <c r="H24" s="362"/>
      <c r="I24" s="72" t="s">
        <v>344</v>
      </c>
      <c r="J24" s="359" cm="1">
        <f t="array" ref="J24"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4" s="359" cm="1">
        <f t="array" ref="K24"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4" s="262"/>
      <c r="M24" s="362"/>
      <c r="N24" s="72" t="s">
        <v>344</v>
      </c>
      <c r="O24" s="359" cm="1">
        <f t="array" ref="O24">-IFERROR(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4" s="359" cm="1">
        <f t="array" ref="P24">-IFERROR(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4" s="262"/>
      <c r="R24" s="262"/>
      <c r="S24" s="262"/>
      <c r="T24" s="262"/>
      <c r="U24" s="262"/>
      <c r="V24" s="262"/>
      <c r="W24" s="262"/>
      <c r="X24" s="262"/>
      <c r="Y24" s="262"/>
      <c r="Z24" s="262"/>
      <c r="AA24" s="262"/>
      <c r="AB24" s="262"/>
      <c r="AC24" s="262"/>
      <c r="AD24" s="262"/>
      <c r="AE24" s="262"/>
      <c r="AF24" s="262"/>
      <c r="AG24" s="262"/>
      <c r="AH24" s="262"/>
      <c r="AI24" s="262"/>
      <c r="AJ24" s="262"/>
      <c r="AK24" s="262"/>
      <c r="AL24" s="262"/>
      <c r="AM24" s="262"/>
    </row>
    <row r="25" spans="1:39" ht="18" customHeight="1" outlineLevel="3" x14ac:dyDescent="0.3">
      <c r="A25" s="240">
        <f t="shared" si="0"/>
        <v>22</v>
      </c>
      <c r="B25" s="362"/>
      <c r="C25" s="72" t="s">
        <v>345</v>
      </c>
      <c r="D25" s="358"/>
      <c r="E25" s="359" cm="1">
        <f t="array" ref="E25">-IFERROR(
SUM(_xlfn._xlws.FILTER(Table_ChiPhiKD[Giá trị],
(Table_ChiPhiKD[Nhóm chi phí] = Table_BCTC[[#This Row],[Gtri]]) *
(Table_ChiPhiKD[Năm] = BCTC_Nam)
)),0)</f>
        <v>0</v>
      </c>
      <c r="F25" s="359" cm="1">
        <f t="array" ref="F2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5" s="359"/>
      <c r="H25" s="362"/>
      <c r="I25" s="72" t="s">
        <v>345</v>
      </c>
      <c r="J25" s="359" cm="1">
        <f t="array" ref="J2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5" s="359" cm="1">
        <f t="array" ref="K2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5" s="242"/>
      <c r="M25" s="362"/>
      <c r="N25" s="72" t="s">
        <v>345</v>
      </c>
      <c r="O25" s="359" cm="1">
        <f t="array" ref="O2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5" s="359" cm="1">
        <f t="array" ref="P2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5" s="240"/>
      <c r="R25" s="240"/>
      <c r="S25" s="240"/>
      <c r="T25" s="240"/>
      <c r="U25" s="240"/>
      <c r="V25" s="240"/>
      <c r="W25" s="240"/>
      <c r="X25" s="240"/>
      <c r="Y25" s="240"/>
      <c r="Z25" s="240"/>
      <c r="AA25" s="240"/>
      <c r="AB25" s="240"/>
      <c r="AC25" s="240"/>
      <c r="AD25" s="240"/>
      <c r="AE25" s="240"/>
      <c r="AF25" s="240"/>
      <c r="AG25" s="240"/>
      <c r="AH25" s="240"/>
      <c r="AI25" s="240"/>
      <c r="AJ25" s="240"/>
      <c r="AK25" s="240"/>
      <c r="AL25" s="240"/>
      <c r="AM25" s="240"/>
    </row>
    <row r="26" spans="1:39" s="53" customFormat="1" ht="18" customHeight="1" outlineLevel="3" x14ac:dyDescent="0.3">
      <c r="A26" s="240">
        <f t="shared" si="0"/>
        <v>23</v>
      </c>
      <c r="B26" s="362"/>
      <c r="C26" s="72" t="s">
        <v>376</v>
      </c>
      <c r="D26" s="358"/>
      <c r="E26" s="359" cm="1">
        <f t="array" ref="E26">-IFERROR(
SUM(_xlfn._xlws.FILTER(Table_TSCD_KhauHao[Khấu hao bán hàng],
(Table_TSCD_KhauHao[Năm] = BCTC_Nam)
)),0)</f>
        <v>0</v>
      </c>
      <c r="F26" s="359" cm="1">
        <f t="array" ref="F26">-IFERROR(
SUM(_xlfn._xlws.FILTER(Table_TSCD_KhauHao[Khấu hao bán hàng],
(Table_TSCD_KhauHao[Kỳ] = DATE(BCTC_Nam,BCTC_Thang,1))
)),0)</f>
        <v>0</v>
      </c>
      <c r="G26" s="359"/>
      <c r="H26" s="362"/>
      <c r="I26" s="72" t="s">
        <v>377</v>
      </c>
      <c r="J26" s="359" cm="1">
        <f t="array" ref="J26">-IFERROR(
SUM(_xlfn._xlws.FILTER(Table_TSCD_KhauHao[Khấu hao bán hàng],
(Table_TSCD_KhauHao[Năm] = J$1)
)),0)</f>
        <v>0</v>
      </c>
      <c r="K26" s="359" cm="1">
        <f t="array" ref="K26">-IFERROR(
SUM(_xlfn._xlws.FILTER(Table_TSCD_KhauHao[Khấu hao bán hàng],
(Table_TSCD_KhauHao[Năm] = K$1)
)),0)</f>
        <v>0</v>
      </c>
      <c r="L26" s="262"/>
      <c r="M26" s="362"/>
      <c r="N26" s="72" t="s">
        <v>377</v>
      </c>
      <c r="O26" s="359" cm="1">
        <f t="array" ref="O26">-IFERROR(
SUM(_xlfn._xlws.FILTER(Table_TSCD_KhauHao[Khấu hao bán hàng],
(Table_TSCD_KhauHao[Kỳ] = O$1)
)),0)</f>
        <v>0</v>
      </c>
      <c r="P26" s="359" cm="1">
        <f t="array" ref="P26">-IFERROR(
SUM(_xlfn._xlws.FILTER(Table_TSCD_KhauHao[Khấu hao bán hàng],
(Table_TSCD_KhauHao[Kỳ] = P$1)
)),0)</f>
        <v>0</v>
      </c>
      <c r="Q26" s="262"/>
      <c r="R26" s="262"/>
      <c r="S26" s="262"/>
      <c r="T26" s="262"/>
      <c r="U26" s="262"/>
      <c r="V26" s="262"/>
      <c r="W26" s="262"/>
      <c r="X26" s="262"/>
      <c r="Y26" s="262"/>
      <c r="Z26" s="262"/>
      <c r="AA26" s="262"/>
      <c r="AB26" s="262"/>
      <c r="AC26" s="262"/>
      <c r="AD26" s="262"/>
      <c r="AE26" s="262"/>
      <c r="AF26" s="262"/>
      <c r="AG26" s="262"/>
      <c r="AH26" s="262"/>
      <c r="AI26" s="262"/>
      <c r="AJ26" s="262"/>
      <c r="AK26" s="262"/>
      <c r="AL26" s="262"/>
      <c r="AM26" s="262"/>
    </row>
    <row r="27" spans="1:39" s="53" customFormat="1" ht="18" customHeight="1" outlineLevel="3" x14ac:dyDescent="0.3">
      <c r="A27" s="240">
        <f t="shared" si="0"/>
        <v>24</v>
      </c>
      <c r="B27" s="362"/>
      <c r="C27" s="72" t="s">
        <v>378</v>
      </c>
      <c r="D27" s="358"/>
      <c r="E27" s="359" cm="1">
        <f t="array" ref="E27">-IFERROR(
SUM(_xlfn._xlws.FILTER(Table_ChiPhiKD[Giá trị],
(Table_ChiPhiKD[Nhóm chi phí] = Table_BCTC[[#This Row],[Gtri]]) *
(Table_ChiPhiKD[Năm] = BCTC_Nam)
)),0)</f>
        <v>0</v>
      </c>
      <c r="F27" s="359" cm="1">
        <f t="array" ref="F27">-IFERROR(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7" s="359"/>
      <c r="H27" s="362"/>
      <c r="I27" s="72" t="s">
        <v>378</v>
      </c>
      <c r="J27" s="359" cm="1">
        <f t="array" ref="J27"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7" s="359" cm="1">
        <f t="array" ref="K27"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7" s="262"/>
      <c r="M27" s="362"/>
      <c r="N27" s="72" t="s">
        <v>378</v>
      </c>
      <c r="O27" s="359" cm="1">
        <f t="array" ref="O27">-IFERROR(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7" s="359" cm="1">
        <f t="array" ref="P27">-IFERROR(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7" s="262"/>
      <c r="R27" s="262"/>
      <c r="S27" s="262"/>
      <c r="T27" s="262"/>
      <c r="U27" s="262"/>
      <c r="V27" s="262"/>
      <c r="W27" s="262"/>
      <c r="X27" s="262"/>
      <c r="Y27" s="262"/>
      <c r="Z27" s="262"/>
      <c r="AA27" s="262"/>
      <c r="AB27" s="262"/>
      <c r="AC27" s="262"/>
      <c r="AD27" s="262"/>
      <c r="AE27" s="262"/>
      <c r="AF27" s="262"/>
      <c r="AG27" s="262"/>
      <c r="AH27" s="262"/>
      <c r="AI27" s="262"/>
      <c r="AJ27" s="262"/>
      <c r="AK27" s="262"/>
      <c r="AL27" s="262"/>
      <c r="AM27" s="262"/>
    </row>
    <row r="28" spans="1:39" s="53" customFormat="1" ht="18" customHeight="1" outlineLevel="2" x14ac:dyDescent="0.3">
      <c r="A28" s="240">
        <f t="shared" si="0"/>
        <v>25</v>
      </c>
      <c r="B28" s="356" t="s">
        <v>379</v>
      </c>
      <c r="C28" s="73" t="s">
        <v>380</v>
      </c>
      <c r="D28" s="361"/>
      <c r="E28" s="355">
        <f>+SUM(E29:E35)</f>
        <v>0</v>
      </c>
      <c r="F28" s="355">
        <f>+SUM(F29:F35)</f>
        <v>0</v>
      </c>
      <c r="G28" s="359"/>
      <c r="H28" s="356" t="s">
        <v>379</v>
      </c>
      <c r="I28" s="73" t="s">
        <v>380</v>
      </c>
      <c r="J28" s="355">
        <f>+SUM(J29:J35)</f>
        <v>0</v>
      </c>
      <c r="K28" s="355">
        <f>+SUM(K29:K35)</f>
        <v>0</v>
      </c>
      <c r="L28" s="262"/>
      <c r="M28" s="356" t="s">
        <v>379</v>
      </c>
      <c r="N28" s="73" t="s">
        <v>380</v>
      </c>
      <c r="O28" s="355">
        <f>+SUM(O29:O35)</f>
        <v>0</v>
      </c>
      <c r="P28" s="355">
        <f>+SUM(P29:P35)</f>
        <v>0</v>
      </c>
      <c r="Q28" s="262"/>
      <c r="R28" s="262"/>
      <c r="S28" s="262"/>
      <c r="T28" s="262"/>
      <c r="U28" s="262"/>
      <c r="V28" s="262"/>
      <c r="W28" s="262"/>
      <c r="X28" s="262"/>
      <c r="Y28" s="262"/>
      <c r="Z28" s="262"/>
      <c r="AA28" s="262"/>
      <c r="AB28" s="262"/>
      <c r="AC28" s="262"/>
      <c r="AD28" s="262"/>
      <c r="AE28" s="262"/>
      <c r="AF28" s="262"/>
      <c r="AG28" s="262"/>
      <c r="AH28" s="262"/>
      <c r="AI28" s="262"/>
      <c r="AJ28" s="262"/>
      <c r="AK28" s="262"/>
      <c r="AL28" s="262"/>
      <c r="AM28" s="262"/>
    </row>
    <row r="29" spans="1:39" s="53" customFormat="1" ht="18" customHeight="1" outlineLevel="3" x14ac:dyDescent="0.3">
      <c r="A29" s="240">
        <f t="shared" si="0"/>
        <v>26</v>
      </c>
      <c r="B29" s="362"/>
      <c r="C29" s="72" t="s">
        <v>381</v>
      </c>
      <c r="D29" s="358"/>
      <c r="E29" s="359" cm="1">
        <f t="array" ref="E29">-IFERROR(
SUM(_xlfn._xlws.FILTER(Table_ChiPhiNV[Tổng chi phí],
(Table_ChiPhiNV[Chức năng] = "Văn phòng") *
(Table_ChiPhiNV[Năm] = BCTC_Nam)
)),0)</f>
        <v>0</v>
      </c>
      <c r="F29" s="359" cm="1">
        <f t="array" ref="F29">-IFERROR(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29" s="359"/>
      <c r="H29" s="362"/>
      <c r="I29" s="72" t="s">
        <v>381</v>
      </c>
      <c r="J29" s="359" cm="1">
        <f t="array" ref="J29"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29" s="359" cm="1">
        <f t="array" ref="K29"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29" s="262"/>
      <c r="M29" s="362"/>
      <c r="N29" s="72" t="s">
        <v>381</v>
      </c>
      <c r="O29" s="359" cm="1">
        <f t="array" ref="O29">-IFERROR(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29" s="359" cm="1">
        <f t="array" ref="P29">-IFERROR(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29" s="262"/>
      <c r="R29" s="262"/>
      <c r="S29" s="262"/>
      <c r="T29" s="262"/>
      <c r="U29" s="262"/>
      <c r="V29" s="262"/>
      <c r="W29" s="262"/>
      <c r="X29" s="262"/>
      <c r="Y29" s="262"/>
      <c r="Z29" s="262"/>
      <c r="AA29" s="262"/>
      <c r="AB29" s="262"/>
      <c r="AC29" s="262"/>
      <c r="AD29" s="262"/>
      <c r="AE29" s="262"/>
      <c r="AF29" s="262"/>
      <c r="AG29" s="262"/>
      <c r="AH29" s="262"/>
      <c r="AI29" s="262"/>
      <c r="AJ29" s="262"/>
      <c r="AK29" s="262"/>
      <c r="AL29" s="262"/>
      <c r="AM29" s="262"/>
    </row>
    <row r="30" spans="1:39" s="53" customFormat="1" ht="18" customHeight="1" outlineLevel="3" x14ac:dyDescent="0.3">
      <c r="A30" s="240">
        <f t="shared" si="0"/>
        <v>27</v>
      </c>
      <c r="B30" s="362"/>
      <c r="C30" s="72" t="s">
        <v>382</v>
      </c>
      <c r="D30" s="358"/>
      <c r="E30" s="359" cm="1">
        <f t="array" ref="E30">-IFERROR(
SUM(_xlfn._xlws.FILTER(Table_TonKho[Chi phí ghi nhận],
(Table_TonKho[Năm] = BCTC_Nam) *
(Table_TonKho[Chức năng] = "Văn phòng")
)),0)</f>
        <v>0</v>
      </c>
      <c r="F30" s="359" cm="1">
        <f t="array" ref="F30">-IFERROR(
SUM(_xlfn._xlws.FILTER(Table_TonKho[Chi phí ghi nhận],
(Table_TonKho[Kỳ] = DATE(BCTC_Nam,BCTC_Thang,1)) *
(Table_TonKho[Chức năng] = "Văn phòng")
)),0)</f>
        <v>0</v>
      </c>
      <c r="G30" s="359"/>
      <c r="H30" s="362"/>
      <c r="I30" s="72" t="s">
        <v>382</v>
      </c>
      <c r="J30" s="359" cm="1">
        <f t="array" ref="J30">-IFERROR(
SUM(_xlfn._xlws.FILTER(Table_TonKho[Chi phí ghi nhận],
(Table_TonKho[Năm] = J$1) *
(Table_TonKho[Chức năng] = "Văn phòng")
)),0)</f>
        <v>0</v>
      </c>
      <c r="K30" s="359" cm="1">
        <f t="array" ref="K30">-IFERROR(
SUM(_xlfn._xlws.FILTER(Table_TonKho[Chi phí ghi nhận],
(Table_TonKho[Năm] = K$1) *
(Table_TonKho[Chức năng] = "Văn phòng")
)),0)</f>
        <v>0</v>
      </c>
      <c r="L30" s="262"/>
      <c r="M30" s="362"/>
      <c r="N30" s="72" t="s">
        <v>382</v>
      </c>
      <c r="O30" s="359" cm="1">
        <f t="array" ref="O30">-IFERROR(
SUM(_xlfn._xlws.FILTER(Table_TonKho[Chi phí ghi nhận],
(Table_TonKho[Kỳ] = O$1) *
(Table_TonKho[Chức năng] = "Văn phòng")
)),0)</f>
        <v>0</v>
      </c>
      <c r="P30" s="359" cm="1">
        <f t="array" ref="P30">-IFERROR(
SUM(_xlfn._xlws.FILTER(Table_TonKho[Chi phí ghi nhận],
(Table_TonKho[Kỳ] = P$1) *
(Table_TonKho[Chức năng] = "Văn phòng")
)),0)</f>
        <v>0</v>
      </c>
      <c r="Q30" s="262"/>
      <c r="R30" s="262"/>
      <c r="S30" s="262"/>
      <c r="T30" s="262"/>
      <c r="U30" s="262"/>
      <c r="V30" s="262"/>
      <c r="W30" s="262"/>
      <c r="X30" s="262"/>
      <c r="Y30" s="262"/>
      <c r="Z30" s="262"/>
      <c r="AA30" s="262"/>
      <c r="AB30" s="262"/>
      <c r="AC30" s="262"/>
      <c r="AD30" s="262"/>
      <c r="AE30" s="262"/>
      <c r="AF30" s="262"/>
      <c r="AG30" s="262"/>
      <c r="AH30" s="262"/>
      <c r="AI30" s="262"/>
      <c r="AJ30" s="262"/>
      <c r="AK30" s="262"/>
      <c r="AL30" s="262"/>
      <c r="AM30" s="262"/>
    </row>
    <row r="31" spans="1:39" s="53" customFormat="1" ht="18" customHeight="1" outlineLevel="3" x14ac:dyDescent="0.3">
      <c r="A31" s="240">
        <f t="shared" si="0"/>
        <v>28</v>
      </c>
      <c r="B31" s="362"/>
      <c r="C31" s="72" t="s">
        <v>383</v>
      </c>
      <c r="D31" s="358"/>
      <c r="E31" s="359" cm="1">
        <f t="array" ref="E31">-
IFERROR(
SUM(
_xlfn._xlws.FILTER(Table_ChiPhiKD[Giá trị]-Table_ChiPhiKD[Phân bổ sản xuất],
(Table_ChiPhiKD[Năm] = BCTC_Nam) *
(VLOOKUP(Table_ChiPhiKD[Nhóm chi phí],Table_ChiPhiKD_PhanNhom[],Sheet_ChiPhiKD!$J$2,0) = "Chưa phân bổ" )
)),0)</f>
        <v>0</v>
      </c>
      <c r="F31" s="359" cm="1">
        <f t="array" ref="F31">-
IFERROR(
SUM(
_xlfn._xlws.FILTER(Table_ChiPhiKD[Giá trị]-Table_ChiPhiKD[Phân bổ sản xuất],
(Table_ChiPhiKD[Kỳ] = DATE(BCTC_Nam,BCTC_Thang,1)) *
(NOT(ISBLANK(Table_ChiPhiKD[Tháng])))*
(VLOOKUP(Table_ChiPhiKD[Nhóm chi phí],Table_ChiPhiKD_PhanNhom[],Sheet_ChiPhiKD!$J$2,0) = "Chưa phân bổ" )
)),0)
- IFERROR(SUMPRODUCT(
_xlfn._xlws.FILTER(Table_ChiPhiKD[Giá trị]-Table_ChiPhiKD[Phân bổ sản xuất],
(Table_ChiPhiKD[Năm] = BCTC_Nam) *
(ISBLANK(Table_ChiPhiKD[Tháng])) *
(Table_ChiPhiKD[Phân bổ từ] &lt; DATE(BCTC_Nam,BCTC_Thang+1,1))*
(Table_ChiPhiKD[Phân bổ đến] &gt; DATE(BCTC_Nam,BCTC_Thang,1))*
(VLOOKUP(Table_ChiPhiKD[Nhóm chi phí],Table_ChiPhiKD_PhanNhom[],Sheet_ChiPhiKD!$J$2,0) = "Chưa phân bổ" )),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phí],Table_ChiPhiKD_PhanNhom[],Sheet_ChiPhiKD!$J$2,0) = "Chưa phân bổ" ))
), 0)</f>
        <v>0</v>
      </c>
      <c r="G31" s="359"/>
      <c r="H31" s="362"/>
      <c r="I31" s="72" t="s">
        <v>383</v>
      </c>
      <c r="J31" s="359" cm="1">
        <f t="array" ref="J31" xml:space="preserve">
-IFERROR(
SUM(
_xlfn._xlws.FILTER(Table_ChiPhiKD[Giá trị]-Table_ChiPhiKD[Phân bổ sản xuất],
(Table_ChiPhiKD[Năm] = J$1)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1" s="359" cm="1">
        <f t="array" ref="K31" xml:space="preserve">
-IFERROR(
SUM(
_xlfn._xlws.FILTER(Table_ChiPhiKD[Giá trị]-Table_ChiPhiKD[Phân bổ sản xuất],
(Table_ChiPhiKD[Năm] = K$1) *
(NOT(ISBLANK(Table_ChiPhiKD[Tháng])))*
(VLOOKUP(
Table_ChiPhiKD[Nhóm chi phí],
Table_ChiPhiKD_PhanNhom[],
COUNTA(Table_ChiPhiKD_PhanNhom[[#Headers],[Nhóm chi phí]:[Chức năng]]),
0) = "Chưa phân bổ" )
)),
0)
- IFERROR(
SUMPRODUCT(
_xlfn._xlws.FILTER(Table_ChiPhiKD[Giá trị]-Table_ChiPhiKD[Phân bổ sản xuất],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1" s="262"/>
      <c r="M31" s="362"/>
      <c r="N31" s="72" t="s">
        <v>383</v>
      </c>
      <c r="O31" s="359" cm="1">
        <f t="array" ref="O31">-
IFERROR(
SUM(
_xlfn._xlws.FILTER(Table_ChiPhiKD[Giá trị]-Table_ChiPhiKD[Phân bổ sản xuất],
(Table_ChiPhiKD[Kỳ] = O$1)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DATE(YEAR(O$1),MONTH(O$1)+1,1))*
(Table_ChiPhiKD[Phân bổ đến] &gt; O$1)*
(VLOOKUP(Table_ChiPhiKD[Nhóm chi phí],Table_ChiPhiKD_PhanNhom[],Sheet_ChiPhiKD!$J$2,0) = "Chưa phân bổ" )),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phí],Table_ChiPhiKD_PhanNhom[],Sheet_ChiPhiKD!$J$2,0) = "Chưa phân bổ" ))
), 0)</f>
        <v>0</v>
      </c>
      <c r="P31" s="359" cm="1">
        <f t="array" ref="P31">-
IFERROR(
SUM(
_xlfn._xlws.FILTER(Table_ChiPhiKD[Giá trị]-Table_ChiPhiKD[Phân bổ sản xuất],
(Table_ChiPhiKD[Kỳ] = P$1) *
(NOT(ISBLANK(Table_ChiPhiKD[Tháng])))*
(VLOOKUP(Table_ChiPhiKD[Nhóm chi phí],Table_ChiPhiKD_PhanNhom[],Sheet_ChiPhiKD!$J$2,0) = "Chưa phân bổ" )
)),0)
- IFERROR(SUMPRODUCT(
_xlfn._xlws.FILTER(Table_ChiPhiKD[Giá trị]-Table_ChiPhiKD[Phân bổ sản xuất],
(ISBLANK(Table_ChiPhiKD[Tháng])) *
(Table_ChiPhiKD[Phân bổ từ] &lt; DATE(YEAR(P$1),MONTH(P$1)+1,1))*
(Table_ChiPhiKD[Phân bổ đến] &gt; P$1)*
(VLOOKUP(Table_ChiPhiKD[Nhóm chi phí],Table_ChiPhiKD_PhanNhom[],Sheet_ChiPhiKD!$J$2,0) = "Chưa phân bổ" )),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phí],Table_ChiPhiKD_PhanNhom[],Sheet_ChiPhiKD!$J$2,0) = "Chưa phân bổ" ))
), 0)</f>
        <v>0</v>
      </c>
      <c r="Q31" s="262"/>
      <c r="R31" s="262"/>
      <c r="S31" s="262"/>
      <c r="T31" s="262"/>
      <c r="U31" s="262"/>
      <c r="V31" s="262"/>
      <c r="W31" s="262"/>
      <c r="X31" s="262"/>
      <c r="Y31" s="262"/>
      <c r="Z31" s="262"/>
      <c r="AA31" s="262"/>
      <c r="AB31" s="262"/>
      <c r="AC31" s="262"/>
      <c r="AD31" s="262"/>
      <c r="AE31" s="262"/>
      <c r="AF31" s="262"/>
      <c r="AG31" s="262"/>
      <c r="AH31" s="262"/>
      <c r="AI31" s="262"/>
      <c r="AJ31" s="262"/>
      <c r="AK31" s="262"/>
      <c r="AL31" s="262"/>
      <c r="AM31" s="262"/>
    </row>
    <row r="32" spans="1:39" s="53" customFormat="1" ht="18" customHeight="1" outlineLevel="3" x14ac:dyDescent="0.3">
      <c r="A32" s="240">
        <f t="shared" si="0"/>
        <v>29</v>
      </c>
      <c r="B32" s="257"/>
      <c r="C32" s="72" t="s">
        <v>347</v>
      </c>
      <c r="D32" s="358"/>
      <c r="E32" s="359" cm="1">
        <f t="array" ref="E32">-IFERROR(
SUM(_xlfn._xlws.FILTER(Table_ChiPhiKD[Giá trị],
(Table_ChiPhiKD[Nhóm chi phí] = Table_BCTC[[#This Row],[Gtri]]) *
(Table_ChiPhiKD[Năm] = BCTC_Nam)
)),0)</f>
        <v>0</v>
      </c>
      <c r="F32" s="359" cm="1">
        <f t="array" ref="F32">-IFERROR(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2" s="355"/>
      <c r="H32" s="257"/>
      <c r="I32" s="72" t="s">
        <v>347</v>
      </c>
      <c r="J32" s="359" cm="1">
        <f t="array" ref="J32"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2" s="359" cm="1">
        <f t="array" ref="K32"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2" s="262"/>
      <c r="M32" s="257"/>
      <c r="N32" s="72" t="s">
        <v>347</v>
      </c>
      <c r="O32" s="359" cm="1">
        <f t="array" ref="O32">-IFERROR(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2" s="359" cm="1">
        <f t="array" ref="P32">-IFERROR(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2" s="262"/>
      <c r="R32" s="262"/>
      <c r="S32" s="262"/>
      <c r="T32" s="262"/>
      <c r="U32" s="262"/>
      <c r="V32" s="262"/>
      <c r="W32" s="262"/>
      <c r="X32" s="262"/>
      <c r="Y32" s="262"/>
      <c r="Z32" s="262"/>
      <c r="AA32" s="262"/>
      <c r="AB32" s="262"/>
      <c r="AC32" s="262"/>
      <c r="AD32" s="262"/>
      <c r="AE32" s="262"/>
      <c r="AF32" s="262"/>
      <c r="AG32" s="262"/>
      <c r="AH32" s="262"/>
      <c r="AI32" s="262"/>
      <c r="AJ32" s="262"/>
      <c r="AK32" s="262"/>
      <c r="AL32" s="262"/>
      <c r="AM32" s="262"/>
    </row>
    <row r="33" spans="1:39" ht="18" customHeight="1" outlineLevel="3" x14ac:dyDescent="0.3">
      <c r="A33" s="240">
        <f t="shared" si="0"/>
        <v>30</v>
      </c>
      <c r="B33" s="362"/>
      <c r="C33" s="72" t="s">
        <v>384</v>
      </c>
      <c r="D33" s="358"/>
      <c r="E33" s="359" cm="1">
        <f t="array" ref="E33">-IFERROR(
SUM(_xlfn._xlws.FILTER(Table_TSCD_KhauHao[Khấu hao quản lý],
(Table_TSCD_KhauHao[Năm] = BCTC_Nam)
)),0)</f>
        <v>0</v>
      </c>
      <c r="F33" s="359" cm="1">
        <f t="array" ref="F33">-IFERROR(
SUM(_xlfn._xlws.FILTER(Table_TSCD_KhauHao[Khấu hao quản lý],
(Table_TSCD_KhauHao[Kỳ] = DATE(BCTC_Nam,BCTC_Thang,1))
)),0)</f>
        <v>0</v>
      </c>
      <c r="G33" s="363"/>
      <c r="H33" s="362"/>
      <c r="I33" s="72" t="s">
        <v>384</v>
      </c>
      <c r="J33" s="359" cm="1">
        <f t="array" ref="J33">-IFERROR(
SUM(_xlfn._xlws.FILTER(Table_TSCD_KhauHao[Khấu hao quản lý],
(Table_TSCD_KhauHao[Năm] = J$1)
)),0)</f>
        <v>0</v>
      </c>
      <c r="K33" s="359" cm="1">
        <f t="array" ref="K33">-IFERROR(
SUM(_xlfn._xlws.FILTER(Table_TSCD_KhauHao[Khấu hao quản lý],
(Table_TSCD_KhauHao[Năm] = K$1)
)),0)</f>
        <v>0</v>
      </c>
      <c r="L33" s="242"/>
      <c r="M33" s="362"/>
      <c r="N33" s="72" t="s">
        <v>384</v>
      </c>
      <c r="O33" s="359" cm="1">
        <f t="array" ref="O33">-IFERROR(
SUM(_xlfn._xlws.FILTER(Table_TSCD_KhauHao[Khấu hao quản lý],
(Table_TSCD_KhauHao[Kỳ] = O$1)
)),0)</f>
        <v>0</v>
      </c>
      <c r="P33" s="359" cm="1">
        <f t="array" ref="P33">-IFERROR(
SUM(_xlfn._xlws.FILTER(Table_TSCD_KhauHao[Khấu hao quản lý],
(Table_TSCD_KhauHao[Kỳ] = P$1)
)),0)</f>
        <v>0</v>
      </c>
      <c r="Q33" s="240"/>
      <c r="R33" s="240"/>
      <c r="S33" s="240"/>
      <c r="T33" s="240"/>
      <c r="U33" s="240"/>
      <c r="V33" s="240"/>
      <c r="W33" s="240"/>
      <c r="X33" s="240"/>
      <c r="Y33" s="240"/>
      <c r="Z33" s="240"/>
      <c r="AA33" s="240"/>
      <c r="AB33" s="240"/>
      <c r="AC33" s="240"/>
      <c r="AD33" s="240"/>
      <c r="AE33" s="240"/>
      <c r="AF33" s="240"/>
      <c r="AG33" s="240"/>
      <c r="AH33" s="240"/>
      <c r="AI33" s="240"/>
      <c r="AJ33" s="240"/>
      <c r="AK33" s="240"/>
      <c r="AL33" s="240"/>
      <c r="AM33" s="240"/>
    </row>
    <row r="34" spans="1:39" s="41" customFormat="1" ht="18" customHeight="1" outlineLevel="3" x14ac:dyDescent="0.3">
      <c r="A34" s="240">
        <f t="shared" si="0"/>
        <v>31</v>
      </c>
      <c r="B34" s="257"/>
      <c r="C34" s="72" t="s">
        <v>299</v>
      </c>
      <c r="D34" s="358"/>
      <c r="E34" s="359" cm="1">
        <f t="array" ref="E34">-IFERROR(
SUM(_xlfn._xlws.FILTER(Table_ChiPhiKD[Giá trị],
(Table_ChiPhiKD[Nhóm chi phí] = Table_BCTC[[#This Row],[Gtri]]) *
(Table_ChiPhiKD[Năm] = BCTC_Nam)
)),0)</f>
        <v>0</v>
      </c>
      <c r="F34" s="359" cm="1">
        <f t="array" ref="F34">-IFERROR(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4" s="359"/>
      <c r="H34" s="257"/>
      <c r="I34" s="72" t="s">
        <v>299</v>
      </c>
      <c r="J34" s="359" cm="1">
        <f t="array" ref="J34"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4" s="359" cm="1">
        <f t="array" ref="K34"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4" s="264"/>
      <c r="M34" s="257"/>
      <c r="N34" s="72" t="s">
        <v>299</v>
      </c>
      <c r="O34" s="359" cm="1">
        <f t="array" ref="O34">-IFERROR(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4" s="359" cm="1">
        <f t="array" ref="P34">-IFERROR(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customHeight="1" outlineLevel="3" x14ac:dyDescent="0.3">
      <c r="A35" s="240">
        <f t="shared" si="0"/>
        <v>32</v>
      </c>
      <c r="B35" s="362"/>
      <c r="C35" s="72" t="s">
        <v>385</v>
      </c>
      <c r="D35" s="358"/>
      <c r="E35" s="359" cm="1">
        <f t="array" ref="E35">-IFERROR(
SUM(_xlfn._xlws.FILTER(Table_ChiPhiKD[Giá trị],
(Table_ChiPhiKD[Nhóm chi phí] = Table_BCTC[[#This Row],[Gtri]]) *
(Table_ChiPhiKD[Năm] = BCTC_Nam)
)),0)</f>
        <v>0</v>
      </c>
      <c r="F35" s="359" cm="1">
        <f t="array" ref="F35">-IFERROR(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5" s="359"/>
      <c r="H35" s="362"/>
      <c r="I35" s="72" t="s">
        <v>385</v>
      </c>
      <c r="J35" s="359" cm="1">
        <f t="array" ref="J35"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5" s="359" cm="1">
        <f t="array" ref="K35"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5" s="262"/>
      <c r="M35" s="362"/>
      <c r="N35" s="72" t="s">
        <v>385</v>
      </c>
      <c r="O35" s="359" cm="1">
        <f t="array" ref="O35">-IFERROR(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5" s="359" cm="1">
        <f t="array" ref="P35">-IFERROR(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5" s="262"/>
      <c r="R35" s="262"/>
      <c r="S35" s="262"/>
      <c r="T35" s="262"/>
      <c r="U35" s="262"/>
      <c r="V35" s="262"/>
      <c r="W35" s="262"/>
      <c r="X35" s="262"/>
      <c r="Y35" s="262"/>
      <c r="Z35" s="262"/>
      <c r="AA35" s="262"/>
      <c r="AB35" s="262"/>
      <c r="AC35" s="262"/>
      <c r="AD35" s="262"/>
      <c r="AE35" s="262"/>
      <c r="AF35" s="262"/>
      <c r="AG35" s="262"/>
      <c r="AH35" s="262"/>
      <c r="AI35" s="262"/>
      <c r="AJ35" s="262"/>
      <c r="AK35" s="262"/>
      <c r="AL35" s="262"/>
      <c r="AM35" s="262"/>
    </row>
    <row r="36" spans="1:39" s="53" customFormat="1" ht="18" customHeight="1" outlineLevel="1" x14ac:dyDescent="0.3">
      <c r="A36" s="240">
        <f t="shared" si="0"/>
        <v>33</v>
      </c>
      <c r="B36" s="353" t="s">
        <v>386</v>
      </c>
      <c r="C36" s="74" t="s">
        <v>96</v>
      </c>
      <c r="D36" s="364"/>
      <c r="E36" s="363">
        <f>+E16+E17+E28</f>
        <v>0</v>
      </c>
      <c r="F36" s="363">
        <f>+F16+F17+F28</f>
        <v>0</v>
      </c>
      <c r="G36" s="359"/>
      <c r="H36" s="353" t="s">
        <v>386</v>
      </c>
      <c r="I36" s="74" t="s">
        <v>96</v>
      </c>
      <c r="J36" s="363">
        <f>+J16+J17+J28</f>
        <v>0</v>
      </c>
      <c r="K36" s="363">
        <f>+K16+K17+K28</f>
        <v>0</v>
      </c>
      <c r="L36" s="262"/>
      <c r="M36" s="353" t="s">
        <v>386</v>
      </c>
      <c r="N36" s="74" t="s">
        <v>96</v>
      </c>
      <c r="O36" s="363">
        <f>+O16+O17+O28</f>
        <v>0</v>
      </c>
      <c r="P36" s="363">
        <f>+P16+P17+P28</f>
        <v>0</v>
      </c>
      <c r="Q36" s="262"/>
      <c r="R36" s="262"/>
      <c r="S36" s="262"/>
      <c r="T36" s="262"/>
      <c r="U36" s="262"/>
      <c r="V36" s="262"/>
      <c r="W36" s="262"/>
      <c r="X36" s="262"/>
      <c r="Y36" s="262"/>
      <c r="Z36" s="262"/>
      <c r="AA36" s="262"/>
      <c r="AB36" s="262"/>
      <c r="AC36" s="262"/>
      <c r="AD36" s="262"/>
      <c r="AE36" s="262"/>
      <c r="AF36" s="262"/>
      <c r="AG36" s="262"/>
      <c r="AH36" s="262"/>
      <c r="AI36" s="262"/>
      <c r="AJ36" s="262"/>
      <c r="AK36" s="262"/>
      <c r="AL36" s="262"/>
      <c r="AM36" s="262"/>
    </row>
    <row r="37" spans="1:39" s="53" customFormat="1" ht="18" customHeight="1" outlineLevel="2" x14ac:dyDescent="0.3">
      <c r="A37" s="240">
        <f t="shared" si="0"/>
        <v>34</v>
      </c>
      <c r="B37" s="356" t="s">
        <v>387</v>
      </c>
      <c r="C37" s="73" t="s">
        <v>388</v>
      </c>
      <c r="D37" s="361"/>
      <c r="E37" s="355">
        <f>+SUM(E38:E43)</f>
        <v>0</v>
      </c>
      <c r="F37" s="355">
        <f>+SUM(F38:F43)</f>
        <v>0</v>
      </c>
      <c r="G37" s="359"/>
      <c r="H37" s="356" t="s">
        <v>387</v>
      </c>
      <c r="I37" s="73" t="s">
        <v>388</v>
      </c>
      <c r="J37" s="355">
        <f>+SUM(J38:J43)</f>
        <v>0</v>
      </c>
      <c r="K37" s="355">
        <f>+SUM(K38:K43)</f>
        <v>0</v>
      </c>
      <c r="L37" s="262"/>
      <c r="M37" s="356" t="s">
        <v>387</v>
      </c>
      <c r="N37" s="73" t="s">
        <v>388</v>
      </c>
      <c r="O37" s="355">
        <f>+SUM(O38:O43)</f>
        <v>0</v>
      </c>
      <c r="P37" s="355">
        <f>+SUM(P38:P43)</f>
        <v>0</v>
      </c>
      <c r="Q37" s="262"/>
      <c r="R37" s="262"/>
      <c r="S37" s="262"/>
      <c r="T37" s="262"/>
      <c r="U37" s="262"/>
      <c r="V37" s="262"/>
      <c r="W37" s="262"/>
      <c r="X37" s="262"/>
      <c r="Y37" s="262"/>
      <c r="Z37" s="262"/>
      <c r="AA37" s="262"/>
      <c r="AB37" s="262"/>
      <c r="AC37" s="262"/>
      <c r="AD37" s="262"/>
      <c r="AE37" s="262"/>
      <c r="AF37" s="262"/>
      <c r="AG37" s="262"/>
      <c r="AH37" s="262"/>
      <c r="AI37" s="262"/>
      <c r="AJ37" s="262"/>
      <c r="AK37" s="262"/>
      <c r="AL37" s="262"/>
      <c r="AM37" s="262"/>
    </row>
    <row r="38" spans="1:39" s="53" customFormat="1" ht="18" customHeight="1" outlineLevel="3" x14ac:dyDescent="0.3">
      <c r="A38" s="240">
        <f t="shared" si="0"/>
        <v>35</v>
      </c>
      <c r="B38" s="362" t="s">
        <v>389</v>
      </c>
      <c r="C38" s="72" t="s">
        <v>297</v>
      </c>
      <c r="D38" s="358"/>
      <c r="E38" s="359" cm="1">
        <f t="array" ref="E38">-
IFERROR(
SUM(_xlfn._xlws.FILTER(Table_VayNo_LichTra[Lãi vay],
(Table_VayNo_LichTra[Năm] = BCTC_Nam)
)),0)</f>
        <v>0</v>
      </c>
      <c r="F38" s="359" cm="1">
        <f t="array" ref="F38">-IFERROR(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38" s="355"/>
      <c r="H38" s="362" t="s">
        <v>389</v>
      </c>
      <c r="I38" s="72" t="s">
        <v>297</v>
      </c>
      <c r="J38" s="359" cm="1">
        <f t="array" ref="J38">-
IFERROR(
SUM(_xlfn._xlws.FILTER(Table_VayNo_LichTra[Lãi vay],
(Table_VayNo_LichTra[Năm] = J$1)
)),0)</f>
        <v>0</v>
      </c>
      <c r="K38" s="359" cm="1">
        <f t="array" ref="K38">-
IFERROR(
SUM(_xlfn._xlws.FILTER(Table_VayNo_LichTra[Lãi vay],
(Table_VayNo_LichTra[Năm] = K$1)
)),0)</f>
        <v>0</v>
      </c>
      <c r="L38" s="262"/>
      <c r="M38" s="362" t="s">
        <v>389</v>
      </c>
      <c r="N38" s="72" t="s">
        <v>297</v>
      </c>
      <c r="O38" s="359" cm="1">
        <f t="array" ref="O38"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38" s="359" cm="1">
        <f t="array" ref="P38"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38" s="262"/>
      <c r="R38" s="262"/>
      <c r="S38" s="262"/>
      <c r="T38" s="262"/>
      <c r="U38" s="262"/>
      <c r="V38" s="262"/>
      <c r="W38" s="262"/>
      <c r="X38" s="262"/>
      <c r="Y38" s="262"/>
      <c r="Z38" s="262"/>
      <c r="AA38" s="262"/>
      <c r="AB38" s="262"/>
      <c r="AC38" s="262"/>
      <c r="AD38" s="262"/>
      <c r="AE38" s="262"/>
      <c r="AF38" s="262"/>
      <c r="AG38" s="262"/>
      <c r="AH38" s="262"/>
      <c r="AI38" s="262"/>
      <c r="AJ38" s="262"/>
      <c r="AK38" s="262"/>
      <c r="AL38" s="262"/>
      <c r="AM38" s="262"/>
    </row>
    <row r="39" spans="1:39" ht="18" customHeight="1" outlineLevel="3" x14ac:dyDescent="0.3">
      <c r="A39" s="240">
        <f t="shared" si="0"/>
        <v>36</v>
      </c>
      <c r="B39" s="362"/>
      <c r="C39" s="72" t="s">
        <v>390</v>
      </c>
      <c r="D39" s="358"/>
      <c r="E39" s="359" cm="1">
        <f t="array" ref="E39"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39" s="359" cm="1">
        <f t="array" ref="F39"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39" s="363"/>
      <c r="H39" s="362"/>
      <c r="I39" s="72" t="s">
        <v>390</v>
      </c>
      <c r="J39" s="359" cm="1">
        <f t="array" ref="J39">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39" s="359" cm="1">
        <f t="array" ref="K39">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39" s="242"/>
      <c r="M39" s="362"/>
      <c r="N39" s="72" t="s">
        <v>390</v>
      </c>
      <c r="O39" s="359" cm="1">
        <f t="array" ref="O39">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39" s="359" cm="1">
        <f t="array" ref="P39">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39" s="240"/>
      <c r="R39" s="240"/>
      <c r="S39" s="240"/>
      <c r="T39" s="240"/>
      <c r="U39" s="240"/>
      <c r="V39" s="240"/>
      <c r="W39" s="240"/>
      <c r="X39" s="240"/>
      <c r="Y39" s="240"/>
      <c r="Z39" s="240"/>
      <c r="AA39" s="240"/>
      <c r="AB39" s="240"/>
      <c r="AC39" s="240"/>
      <c r="AD39" s="240"/>
      <c r="AE39" s="240"/>
      <c r="AF39" s="240"/>
      <c r="AG39" s="240"/>
      <c r="AH39" s="240"/>
      <c r="AI39" s="240"/>
      <c r="AJ39" s="240"/>
      <c r="AK39" s="240"/>
      <c r="AL39" s="240"/>
      <c r="AM39" s="240"/>
    </row>
    <row r="40" spans="1:39" s="41" customFormat="1" ht="18" customHeight="1" outlineLevel="3" x14ac:dyDescent="0.3">
      <c r="A40" s="240">
        <f t="shared" si="0"/>
        <v>37</v>
      </c>
      <c r="B40" s="257"/>
      <c r="C40" s="72" t="s">
        <v>391</v>
      </c>
      <c r="D40" s="358"/>
      <c r="E40" s="359" cm="1">
        <f t="array" ref="E40"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0" s="359" cm="1">
        <f t="array" ref="F40"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0" s="355"/>
      <c r="H40" s="257"/>
      <c r="I40" s="72" t="s">
        <v>391</v>
      </c>
      <c r="J40" s="359" cm="1">
        <f t="array" ref="J40"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0" s="359" cm="1">
        <f t="array" ref="K40"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0" s="264"/>
      <c r="M40" s="257"/>
      <c r="N40" s="72" t="s">
        <v>391</v>
      </c>
      <c r="O40" s="359" cm="1">
        <f t="array" ref="O40"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0" s="359" cm="1">
        <f t="array" ref="P40"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ht="18" customHeight="1" outlineLevel="3" x14ac:dyDescent="0.3">
      <c r="A41" s="240">
        <f t="shared" si="0"/>
        <v>38</v>
      </c>
      <c r="B41" s="257"/>
      <c r="C41" s="72" t="s">
        <v>392</v>
      </c>
      <c r="D41" s="358"/>
      <c r="E41" s="359" cm="1">
        <f t="array" ref="E41">IFERROR(
SUM(_xlfn._xlws.FILTER(Table_LaiKhac[Giá trị]-Table_LaiKhac[Giá trị VAT],
(Table_LaiKhac[Phân loại] = Table_BCTC[[#This Row],[Gtri]]) *
(Table_LaiKhac[Năm] = BCTC_Nam)
)),0)</f>
        <v>0</v>
      </c>
      <c r="F41" s="359" cm="1">
        <f t="array" ref="F41">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1" s="363"/>
      <c r="H41" s="257"/>
      <c r="I41" s="72" t="s">
        <v>392</v>
      </c>
      <c r="J41" s="359" cm="1">
        <f t="array" ref="J41"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1" s="359" cm="1">
        <f t="array" ref="K41"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1" s="242"/>
      <c r="M41" s="257"/>
      <c r="N41" s="72" t="s">
        <v>392</v>
      </c>
      <c r="O41" s="359" cm="1">
        <f t="array" ref="O41"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1" s="359" cm="1">
        <f t="array" ref="P41"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1" s="240"/>
      <c r="R41" s="240"/>
      <c r="S41" s="240"/>
      <c r="T41" s="240"/>
      <c r="U41" s="240"/>
      <c r="V41" s="240"/>
      <c r="W41" s="240"/>
      <c r="X41" s="240"/>
      <c r="Y41" s="240"/>
      <c r="Z41" s="240"/>
      <c r="AA41" s="240"/>
      <c r="AB41" s="240"/>
      <c r="AC41" s="240"/>
      <c r="AD41" s="240"/>
      <c r="AE41" s="240"/>
      <c r="AF41" s="240"/>
      <c r="AG41" s="240"/>
      <c r="AH41" s="240"/>
      <c r="AI41" s="240"/>
      <c r="AJ41" s="240"/>
      <c r="AK41" s="240"/>
      <c r="AL41" s="240"/>
      <c r="AM41" s="240"/>
    </row>
    <row r="42" spans="1:39" s="41" customFormat="1" ht="18" customHeight="1" outlineLevel="3" x14ac:dyDescent="0.3">
      <c r="A42" s="240">
        <f t="shared" si="0"/>
        <v>39</v>
      </c>
      <c r="B42" s="362"/>
      <c r="C42" s="72" t="s">
        <v>393</v>
      </c>
      <c r="D42" s="358"/>
      <c r="E42" s="359" cm="1">
        <f t="array" ref="E42">IFERROR(
SUM(_xlfn._xlws.FILTER(Table_LaiKhac[Giá trị]-Table_LaiKhac[Giá trị VAT],
(Table_LaiKhac[Phân loại] = Table_BCTC[[#This Row],[Gtri]]) *
(Table_LaiKhac[Năm] = BCTC_Nam)
)),0)</f>
        <v>0</v>
      </c>
      <c r="F42" s="359" cm="1">
        <f t="array" ref="F42">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2" s="242"/>
      <c r="H42" s="362"/>
      <c r="I42" s="72" t="s">
        <v>393</v>
      </c>
      <c r="J42" s="359" cm="1">
        <f t="array" ref="J42"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2" s="359" cm="1">
        <f t="array" ref="K42"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2" s="264"/>
      <c r="M42" s="362"/>
      <c r="N42" s="72" t="s">
        <v>393</v>
      </c>
      <c r="O42" s="359" cm="1">
        <f t="array" ref="O42"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2" s="359" cm="1">
        <f t="array" ref="P42"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customHeight="1" outlineLevel="3" x14ac:dyDescent="0.3">
      <c r="A43" s="240">
        <f t="shared" si="0"/>
        <v>40</v>
      </c>
      <c r="B43" s="362"/>
      <c r="C43" s="72" t="s">
        <v>394</v>
      </c>
      <c r="D43" s="358"/>
      <c r="E43" s="359" cm="1">
        <f t="array" ref="E43">IFERROR(
SUM(_xlfn._xlws.FILTER(Table_LaiKhac[Giá trị]-Table_LaiKhac[Giá trị VAT],
(Table_LaiKhac[Phân loại] = Table_BCTC[[#This Row],[Gtri]]) *
(Table_LaiKhac[Năm] = BCTC_Nam)
)),0)</f>
        <v>0</v>
      </c>
      <c r="F43" s="359" cm="1">
        <f t="array" ref="F43">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242"/>
      <c r="H43" s="362"/>
      <c r="I43" s="72" t="s">
        <v>394</v>
      </c>
      <c r="J43" s="359" cm="1">
        <f t="array" ref="J43"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59" cm="1">
        <f t="array" ref="K43"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2"/>
      <c r="M43" s="362"/>
      <c r="N43" s="72" t="s">
        <v>394</v>
      </c>
      <c r="O43" s="359" cm="1">
        <f t="array" ref="O43"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59" cm="1">
        <f t="array" ref="P43"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0"/>
      <c r="R43" s="240"/>
      <c r="S43" s="240"/>
      <c r="T43" s="240"/>
      <c r="U43" s="240"/>
      <c r="V43" s="240"/>
      <c r="W43" s="240"/>
      <c r="X43" s="240"/>
      <c r="Y43" s="240"/>
      <c r="Z43" s="240"/>
      <c r="AA43" s="240"/>
      <c r="AB43" s="240"/>
      <c r="AC43" s="240"/>
      <c r="AD43" s="240"/>
      <c r="AE43" s="240"/>
      <c r="AF43" s="240"/>
      <c r="AG43" s="240"/>
      <c r="AH43" s="240"/>
      <c r="AI43" s="240"/>
      <c r="AJ43" s="240"/>
      <c r="AK43" s="240"/>
      <c r="AL43" s="240"/>
      <c r="AM43" s="240"/>
    </row>
    <row r="44" spans="1:39" ht="18" customHeight="1" outlineLevel="1" x14ac:dyDescent="0.3">
      <c r="A44" s="240">
        <f t="shared" si="0"/>
        <v>41</v>
      </c>
      <c r="B44" s="353" t="s">
        <v>395</v>
      </c>
      <c r="C44" s="74" t="s">
        <v>396</v>
      </c>
      <c r="D44" s="364"/>
      <c r="E44" s="363">
        <f>+E36+E37</f>
        <v>0</v>
      </c>
      <c r="F44" s="363">
        <f>+F36+F37</f>
        <v>0</v>
      </c>
      <c r="G44" s="242"/>
      <c r="H44" s="353" t="s">
        <v>395</v>
      </c>
      <c r="I44" s="74" t="s">
        <v>396</v>
      </c>
      <c r="J44" s="363">
        <f>+J36+J37</f>
        <v>0</v>
      </c>
      <c r="K44" s="363">
        <f>+K36+K37</f>
        <v>0</v>
      </c>
      <c r="L44" s="242"/>
      <c r="M44" s="353" t="s">
        <v>395</v>
      </c>
      <c r="N44" s="74" t="s">
        <v>396</v>
      </c>
      <c r="O44" s="363">
        <f>+O36+O37</f>
        <v>0</v>
      </c>
      <c r="P44" s="363">
        <f>+P36+P37</f>
        <v>0</v>
      </c>
      <c r="Q44" s="240"/>
      <c r="R44" s="240"/>
      <c r="S44" s="240"/>
      <c r="T44" s="240"/>
      <c r="U44" s="240"/>
      <c r="V44" s="240"/>
      <c r="W44" s="240"/>
      <c r="X44" s="240"/>
      <c r="Y44" s="240"/>
      <c r="Z44" s="240"/>
      <c r="AA44" s="240"/>
      <c r="AB44" s="240"/>
      <c r="AC44" s="240"/>
      <c r="AD44" s="240"/>
      <c r="AE44" s="240"/>
      <c r="AF44" s="240"/>
      <c r="AG44" s="240"/>
      <c r="AH44" s="240"/>
      <c r="AI44" s="240"/>
      <c r="AJ44" s="240"/>
      <c r="AK44" s="240"/>
      <c r="AL44" s="240"/>
      <c r="AM44" s="240"/>
    </row>
    <row r="45" spans="1:39" ht="18" customHeight="1" outlineLevel="2" x14ac:dyDescent="0.3">
      <c r="A45" s="240">
        <f t="shared" si="0"/>
        <v>42</v>
      </c>
      <c r="B45" s="356" t="s">
        <v>397</v>
      </c>
      <c r="C45" s="73" t="s">
        <v>398</v>
      </c>
      <c r="D45" s="361"/>
      <c r="E45" s="310" cm="1">
        <f t="array" ref="E45">-MAX(0,IFERROR(
SUM(_xlfn._xlws.FILTER(Table_NopNS[Giá trị phải nộp],
(Table_NopNS[Ngân sách] = "Thuế TNDN")*
(Table_NopNS[Kỳ]&gt;=DATE(BCTC_Nam,1,1))*
(Table_NopNS[Kỳ]&lt;DATE(BCTC_Nam+1,1,1))
)),0))</f>
        <v>0</v>
      </c>
      <c r="F45" s="355" cm="1">
        <f t="array" ref="F45">-MAX(0,IFERROR(
SUM(_xlfn._xlws.FILTER(Table_NopNS[Giá trị phải nộp],
(Table_NopNS[Ngân sách] = "Thuế TNDN")*
(Table_NopNS[Kỳ]&gt;=DATE(BCTC_Nam,BCTC_Thang,1))*
(Table_NopNS[Kỳ]&lt;DATE(BCTC_Nam,BCTC_Thang+1,1))
)),0))</f>
        <v>0</v>
      </c>
      <c r="G45" s="242"/>
      <c r="H45" s="356" t="s">
        <v>397</v>
      </c>
      <c r="I45" s="73" t="s">
        <v>398</v>
      </c>
      <c r="J45" s="310" cm="1">
        <f t="array" ref="J45">-MAX(0,IFERROR(
SUM(_xlfn._xlws.FILTER(Table_NopNS[Giá trị phải nộp],
(Table_NopNS[Ngân sách] = "Thuế TNDN")*
(Table_NopNS[Kỳ]&gt;=DATE(J$1,1,1))*
(Table_NopNS[Kỳ]&lt;DATE(J$1+1,1,1))
)),0))</f>
        <v>0</v>
      </c>
      <c r="K45" s="310" cm="1">
        <f t="array" ref="K45">-MAX(0,IFERROR(
SUM(_xlfn._xlws.FILTER(Table_NopNS[Giá trị phải nộp],
(Table_NopNS[Ngân sách] = "Thuế TNDN")*
(Table_NopNS[Kỳ]&gt;=DATE(K$1,1,1))*
(Table_NopNS[Kỳ]&lt;DATE(K$1+1,1,1))
)),0))</f>
        <v>0</v>
      </c>
      <c r="L45" s="242"/>
      <c r="M45" s="356" t="s">
        <v>397</v>
      </c>
      <c r="N45" s="73" t="s">
        <v>398</v>
      </c>
      <c r="O45" s="355" cm="1">
        <f t="array" ref="O45">-MAX(0,IFERROR(
SUM(_xlfn._xlws.FILTER(Table_NopNS[Giá trị phải nộp],
(Table_NopNS[Ngân sách] = "Thuế TNDN")*
(Table_NopNS[Kỳ]&gt;=O$1)*
(Table_NopNS[Kỳ]&lt;DATE(YEAR(O$1),MONTH(O$1)+1,1))
)),0))</f>
        <v>0</v>
      </c>
      <c r="P45" s="355" cm="1">
        <f t="array" ref="P45">-MAX(0,IFERROR(
SUM(_xlfn._xlws.FILTER(Table_NopNS[Giá trị phải nộp],
(Table_NopNS[Ngân sách] = "Thuế TNDN")*
(Table_NopNS[Kỳ]&gt;=P$1)*
(Table_NopNS[Kỳ]&lt;DATE(YEAR(P$1),MONTH(P$1)+1,1))
)),0))</f>
        <v>0</v>
      </c>
      <c r="Q45" s="240"/>
      <c r="R45" s="240"/>
      <c r="S45" s="240"/>
      <c r="T45" s="240"/>
      <c r="U45" s="240"/>
      <c r="V45" s="240"/>
      <c r="W45" s="240"/>
      <c r="X45" s="240"/>
      <c r="Y45" s="240"/>
      <c r="Z45" s="240"/>
      <c r="AA45" s="240"/>
      <c r="AB45" s="240"/>
      <c r="AC45" s="240"/>
      <c r="AD45" s="240"/>
      <c r="AE45" s="240"/>
      <c r="AF45" s="240"/>
      <c r="AG45" s="240"/>
      <c r="AH45" s="240"/>
      <c r="AI45" s="240"/>
      <c r="AJ45" s="240"/>
      <c r="AK45" s="240"/>
      <c r="AL45" s="240"/>
      <c r="AM45" s="240"/>
    </row>
    <row r="46" spans="1:39" ht="18" customHeight="1" outlineLevel="1" x14ac:dyDescent="0.15">
      <c r="A46" s="240">
        <f t="shared" si="0"/>
        <v>43</v>
      </c>
      <c r="B46" s="353" t="s">
        <v>399</v>
      </c>
      <c r="C46" s="74" t="s">
        <v>400</v>
      </c>
      <c r="D46" s="364"/>
      <c r="E46" s="363">
        <f>SUM(E44:E45)</f>
        <v>0</v>
      </c>
      <c r="F46" s="363">
        <f>SUM(F44:F45)</f>
        <v>0</v>
      </c>
      <c r="G46" s="240"/>
      <c r="H46" s="353" t="s">
        <v>399</v>
      </c>
      <c r="I46" s="74" t="s">
        <v>400</v>
      </c>
      <c r="J46" s="363">
        <f>SUM(J44:J45)</f>
        <v>0</v>
      </c>
      <c r="K46" s="363">
        <f>SUM(K44:K45)</f>
        <v>0</v>
      </c>
      <c r="L46" s="240"/>
      <c r="M46" s="353" t="s">
        <v>399</v>
      </c>
      <c r="N46" s="74" t="s">
        <v>400</v>
      </c>
      <c r="O46" s="363">
        <f>SUM(O44:O45)</f>
        <v>0</v>
      </c>
      <c r="P46" s="363">
        <f>SUM(P44:P45)</f>
        <v>0</v>
      </c>
      <c r="Q46" s="263"/>
      <c r="R46" s="263"/>
      <c r="S46" s="263"/>
      <c r="T46" s="263"/>
      <c r="U46" s="263"/>
      <c r="V46" s="263"/>
      <c r="W46" s="263"/>
      <c r="X46" s="263"/>
      <c r="Y46" s="263"/>
      <c r="Z46" s="263"/>
      <c r="AA46" s="263"/>
      <c r="AB46" s="263"/>
      <c r="AC46" s="263"/>
      <c r="AD46" s="263"/>
      <c r="AE46" s="263"/>
      <c r="AF46" s="263"/>
      <c r="AG46" s="263"/>
      <c r="AH46" s="263"/>
      <c r="AI46" s="263"/>
      <c r="AJ46" s="263"/>
      <c r="AK46" s="263"/>
      <c r="AL46" s="263"/>
      <c r="AM46" s="242"/>
    </row>
    <row r="47" spans="1:39" ht="18" customHeight="1" x14ac:dyDescent="0.15">
      <c r="A47" s="240">
        <f t="shared" si="0"/>
        <v>44</v>
      </c>
      <c r="B47" s="356"/>
      <c r="C47" s="365"/>
      <c r="D47" s="364"/>
      <c r="E47" s="355"/>
      <c r="F47" s="355"/>
      <c r="G47" s="240"/>
      <c r="H47" s="356"/>
      <c r="I47" s="365"/>
      <c r="J47" s="355"/>
      <c r="K47" s="355"/>
      <c r="L47" s="240"/>
      <c r="M47" s="366"/>
      <c r="N47" s="358"/>
      <c r="O47" s="355"/>
      <c r="P47" s="355"/>
      <c r="Q47" s="263"/>
      <c r="R47" s="263"/>
      <c r="S47" s="263"/>
      <c r="T47" s="263"/>
      <c r="U47" s="263"/>
      <c r="V47" s="263"/>
      <c r="W47" s="263"/>
      <c r="X47" s="263"/>
      <c r="Y47" s="263"/>
      <c r="Z47" s="263"/>
      <c r="AA47" s="263"/>
      <c r="AB47" s="263"/>
      <c r="AC47" s="263"/>
      <c r="AD47" s="263"/>
      <c r="AE47" s="263"/>
      <c r="AF47" s="263"/>
      <c r="AG47" s="263"/>
      <c r="AH47" s="263"/>
      <c r="AI47" s="263"/>
      <c r="AJ47" s="263"/>
      <c r="AK47" s="263"/>
      <c r="AL47" s="263"/>
      <c r="AM47" s="242"/>
    </row>
    <row r="48" spans="1:39" ht="18" customHeight="1" x14ac:dyDescent="0.15">
      <c r="A48" s="240">
        <f t="shared" si="0"/>
        <v>45</v>
      </c>
      <c r="B48" s="356"/>
      <c r="C48" s="74" t="s">
        <v>401</v>
      </c>
      <c r="D48" s="263"/>
      <c r="E48" s="355"/>
      <c r="F48" s="355"/>
      <c r="G48" s="240"/>
      <c r="H48" s="356"/>
      <c r="I48" s="74" t="s">
        <v>401</v>
      </c>
      <c r="J48" s="355"/>
      <c r="K48" s="355"/>
      <c r="L48" s="240"/>
      <c r="M48" s="356"/>
      <c r="N48" s="74" t="s">
        <v>401</v>
      </c>
      <c r="O48" s="355"/>
      <c r="P48" s="355"/>
      <c r="Q48" s="263"/>
      <c r="R48" s="263"/>
      <c r="S48" s="263"/>
      <c r="T48" s="263"/>
      <c r="U48" s="263"/>
      <c r="V48" s="263"/>
      <c r="W48" s="263"/>
      <c r="X48" s="263"/>
      <c r="Y48" s="263"/>
      <c r="Z48" s="263"/>
      <c r="AA48" s="263"/>
      <c r="AB48" s="263"/>
      <c r="AC48" s="263"/>
      <c r="AD48" s="263"/>
      <c r="AE48" s="263"/>
      <c r="AF48" s="263"/>
      <c r="AG48" s="263"/>
      <c r="AH48" s="263"/>
      <c r="AI48" s="263"/>
      <c r="AJ48" s="263"/>
      <c r="AK48" s="263"/>
      <c r="AL48" s="263"/>
      <c r="AM48" s="242"/>
    </row>
    <row r="49" spans="1:39" ht="18" customHeight="1" outlineLevel="1" x14ac:dyDescent="0.15">
      <c r="A49" s="240">
        <f t="shared" si="0"/>
        <v>46</v>
      </c>
      <c r="B49" s="350" t="s">
        <v>370</v>
      </c>
      <c r="C49" s="41" t="s">
        <v>402</v>
      </c>
      <c r="D49" s="264"/>
      <c r="E49" s="363">
        <f>SUM(E57:E59)+E50+E51</f>
        <v>0</v>
      </c>
      <c r="F49" s="363">
        <f>SUM(F57:F59)+F50+F51</f>
        <v>0</v>
      </c>
      <c r="G49" s="240"/>
      <c r="H49" s="350" t="s">
        <v>370</v>
      </c>
      <c r="I49" s="41" t="s">
        <v>402</v>
      </c>
      <c r="J49" s="363">
        <f>SUM(J57:J59)+J50+J51</f>
        <v>0</v>
      </c>
      <c r="K49" s="363">
        <f>SUM(K57:K59)+K50+K51</f>
        <v>0</v>
      </c>
      <c r="L49" s="240"/>
      <c r="M49" s="350" t="s">
        <v>370</v>
      </c>
      <c r="N49" s="41" t="s">
        <v>402</v>
      </c>
      <c r="O49" s="363">
        <f>SUM(O57:O59)+O50+O51</f>
        <v>0</v>
      </c>
      <c r="P49" s="363">
        <f>SUM(P57:P59)+P50+P51</f>
        <v>0</v>
      </c>
      <c r="Q49" s="263"/>
      <c r="R49" s="263"/>
      <c r="S49" s="263"/>
      <c r="T49" s="263"/>
      <c r="U49" s="263"/>
      <c r="V49" s="263"/>
      <c r="W49" s="263"/>
      <c r="X49" s="263"/>
      <c r="Y49" s="263"/>
      <c r="Z49" s="263"/>
      <c r="AA49" s="263"/>
      <c r="AB49" s="263"/>
      <c r="AC49" s="263"/>
      <c r="AD49" s="263"/>
      <c r="AE49" s="263"/>
      <c r="AF49" s="263"/>
      <c r="AG49" s="263"/>
      <c r="AH49" s="263"/>
      <c r="AI49" s="263"/>
      <c r="AJ49" s="263"/>
      <c r="AK49" s="263"/>
      <c r="AL49" s="263"/>
      <c r="AM49" s="242"/>
    </row>
    <row r="50" spans="1:39" ht="18" customHeight="1" outlineLevel="2" x14ac:dyDescent="0.15">
      <c r="A50" s="240">
        <f t="shared" si="0"/>
        <v>47</v>
      </c>
      <c r="B50" s="257" t="s">
        <v>361</v>
      </c>
      <c r="C50" s="73" t="s">
        <v>403</v>
      </c>
      <c r="D50" s="361"/>
      <c r="E50" s="310" cm="1">
        <f t="array" ref="E5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0" s="310" cm="1">
        <f t="array" ref="F5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0" s="240"/>
      <c r="H50" s="257" t="s">
        <v>361</v>
      </c>
      <c r="I50" s="73" t="s">
        <v>403</v>
      </c>
      <c r="J50" s="310" cm="1">
        <f t="array" ref="J5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0" s="310" cm="1">
        <f t="array" ref="K5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0" s="240"/>
      <c r="M50" s="257" t="s">
        <v>361</v>
      </c>
      <c r="N50" s="73" t="s">
        <v>403</v>
      </c>
      <c r="O50" s="310" cm="1">
        <f t="array" ref="O5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0" s="310" cm="1">
        <f t="array" ref="P5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0" s="263"/>
      <c r="R50" s="263"/>
      <c r="S50" s="263"/>
      <c r="T50" s="263"/>
      <c r="U50" s="263"/>
      <c r="V50" s="263"/>
      <c r="W50" s="263"/>
      <c r="X50" s="263"/>
      <c r="Y50" s="263"/>
      <c r="Z50" s="263"/>
      <c r="AA50" s="263"/>
      <c r="AB50" s="263"/>
      <c r="AC50" s="263"/>
      <c r="AD50" s="263"/>
      <c r="AE50" s="263"/>
      <c r="AF50" s="263"/>
      <c r="AG50" s="263"/>
      <c r="AH50" s="263"/>
      <c r="AI50" s="263"/>
      <c r="AJ50" s="263"/>
      <c r="AK50" s="263"/>
      <c r="AL50" s="263"/>
      <c r="AM50" s="242"/>
    </row>
    <row r="51" spans="1:39" ht="18" customHeight="1" outlineLevel="2" x14ac:dyDescent="0.15">
      <c r="A51" s="240">
        <f t="shared" si="0"/>
        <v>48</v>
      </c>
      <c r="B51" s="257" t="s">
        <v>362</v>
      </c>
      <c r="C51" s="73" t="s">
        <v>404</v>
      </c>
      <c r="D51" s="361"/>
      <c r="E51" s="310">
        <f>SUM(E52:E56)</f>
        <v>0</v>
      </c>
      <c r="F51" s="310">
        <f>SUM(F52:F56)</f>
        <v>0</v>
      </c>
      <c r="G51" s="240"/>
      <c r="H51" s="257" t="s">
        <v>362</v>
      </c>
      <c r="I51" s="73" t="s">
        <v>404</v>
      </c>
      <c r="J51" s="310">
        <f>SUM(J52:J56)</f>
        <v>0</v>
      </c>
      <c r="K51" s="310">
        <f>SUM(K52:K56)</f>
        <v>0</v>
      </c>
      <c r="L51" s="240"/>
      <c r="M51" s="257" t="s">
        <v>362</v>
      </c>
      <c r="N51" s="73" t="s">
        <v>404</v>
      </c>
      <c r="O51" s="310">
        <f>SUM(O52:O56)</f>
        <v>0</v>
      </c>
      <c r="P51" s="310">
        <f>SUM(P52:P56)</f>
        <v>0</v>
      </c>
      <c r="Q51" s="263"/>
      <c r="R51" s="263"/>
      <c r="S51" s="263"/>
      <c r="T51" s="263"/>
      <c r="U51" s="263"/>
      <c r="V51" s="263"/>
      <c r="W51" s="263"/>
      <c r="X51" s="263"/>
      <c r="Y51" s="263"/>
      <c r="Z51" s="263"/>
      <c r="AA51" s="263"/>
      <c r="AB51" s="263"/>
      <c r="AC51" s="263"/>
      <c r="AD51" s="263"/>
      <c r="AE51" s="263"/>
      <c r="AF51" s="263"/>
      <c r="AG51" s="263"/>
      <c r="AH51" s="263"/>
      <c r="AI51" s="263"/>
      <c r="AJ51" s="263"/>
      <c r="AK51" s="263"/>
      <c r="AL51" s="263"/>
      <c r="AM51" s="242"/>
    </row>
    <row r="52" spans="1:39" s="53" customFormat="1" ht="18" customHeight="1" outlineLevel="3" x14ac:dyDescent="0.15">
      <c r="A52" s="240">
        <f t="shared" si="0"/>
        <v>49</v>
      </c>
      <c r="B52" s="362"/>
      <c r="C52" s="72" t="s">
        <v>405</v>
      </c>
      <c r="D52" s="358"/>
      <c r="E52" s="359" cm="1">
        <f t="array" ref="E5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2" s="359" cm="1">
        <f t="array" ref="F5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2" s="262"/>
      <c r="H52" s="362"/>
      <c r="I52" s="72" t="s">
        <v>405</v>
      </c>
      <c r="J52" s="359" cm="1">
        <f t="array" ref="J5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2" s="359" cm="1">
        <f t="array" ref="K5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2" s="262"/>
      <c r="M52" s="362"/>
      <c r="N52" s="72" t="s">
        <v>405</v>
      </c>
      <c r="O52" s="359" cm="1">
        <f t="array" ref="O5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2" s="359" cm="1">
        <f t="array" ref="P5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2" s="367"/>
      <c r="R52" s="367"/>
      <c r="S52" s="367"/>
      <c r="T52" s="367"/>
      <c r="U52" s="367"/>
      <c r="V52" s="367"/>
      <c r="W52" s="367"/>
      <c r="X52" s="367"/>
      <c r="Y52" s="367"/>
      <c r="Z52" s="367"/>
      <c r="AA52" s="367"/>
      <c r="AB52" s="367"/>
      <c r="AC52" s="367"/>
      <c r="AD52" s="367"/>
      <c r="AE52" s="367"/>
      <c r="AF52" s="367"/>
      <c r="AG52" s="367"/>
      <c r="AH52" s="367"/>
      <c r="AI52" s="367"/>
      <c r="AJ52" s="367"/>
      <c r="AK52" s="367"/>
      <c r="AL52" s="367"/>
      <c r="AM52" s="368"/>
    </row>
    <row r="53" spans="1:39" s="53" customFormat="1" ht="18" customHeight="1" outlineLevel="3" x14ac:dyDescent="0.15">
      <c r="A53" s="240">
        <f t="shared" si="0"/>
        <v>50</v>
      </c>
      <c r="B53" s="362"/>
      <c r="C53" s="72" t="s">
        <v>406</v>
      </c>
      <c r="D53" s="358"/>
      <c r="E53" s="359" cm="1">
        <f t="array" ref="E53">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3" s="359" cm="1">
        <f t="array" ref="F53">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3" s="262"/>
      <c r="H53" s="362"/>
      <c r="I53" s="72" t="s">
        <v>406</v>
      </c>
      <c r="J53" s="359" cm="1">
        <f t="array" ref="J53">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3" s="359" cm="1">
        <f t="array" ref="K53">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3" s="262"/>
      <c r="M53" s="362"/>
      <c r="N53" s="72" t="s">
        <v>406</v>
      </c>
      <c r="O53" s="359" cm="1">
        <f t="array" ref="O53">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3" s="359" cm="1">
        <f t="array" ref="P53">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3" s="367"/>
      <c r="R53" s="367"/>
      <c r="S53" s="367"/>
      <c r="T53" s="367"/>
      <c r="U53" s="367"/>
      <c r="V53" s="367"/>
      <c r="W53" s="367"/>
      <c r="X53" s="367"/>
      <c r="Y53" s="367"/>
      <c r="Z53" s="367"/>
      <c r="AA53" s="367"/>
      <c r="AB53" s="367"/>
      <c r="AC53" s="367"/>
      <c r="AD53" s="367"/>
      <c r="AE53" s="367"/>
      <c r="AF53" s="367"/>
      <c r="AG53" s="367"/>
      <c r="AH53" s="367"/>
      <c r="AI53" s="367"/>
      <c r="AJ53" s="367"/>
      <c r="AK53" s="367"/>
      <c r="AL53" s="367"/>
      <c r="AM53" s="368"/>
    </row>
    <row r="54" spans="1:39" s="53" customFormat="1" ht="18" customHeight="1" outlineLevel="3" x14ac:dyDescent="0.15">
      <c r="A54" s="240">
        <f t="shared" si="0"/>
        <v>51</v>
      </c>
      <c r="B54" s="362"/>
      <c r="C54" s="72" t="s">
        <v>407</v>
      </c>
      <c r="D54" s="358"/>
      <c r="E54" s="359"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59"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62"/>
      <c r="H54" s="362"/>
      <c r="I54" s="72" t="s">
        <v>407</v>
      </c>
      <c r="J54" s="359"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59"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62"/>
      <c r="M54" s="362"/>
      <c r="N54" s="72" t="s">
        <v>407</v>
      </c>
      <c r="O54" s="359"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59"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367"/>
      <c r="R54" s="367"/>
      <c r="S54" s="367"/>
      <c r="T54" s="367"/>
      <c r="U54" s="367"/>
      <c r="V54" s="367"/>
      <c r="W54" s="367"/>
      <c r="X54" s="367"/>
      <c r="Y54" s="367"/>
      <c r="Z54" s="367"/>
      <c r="AA54" s="367"/>
      <c r="AB54" s="367"/>
      <c r="AC54" s="367"/>
      <c r="AD54" s="367"/>
      <c r="AE54" s="367"/>
      <c r="AF54" s="367"/>
      <c r="AG54" s="367"/>
      <c r="AH54" s="367"/>
      <c r="AI54" s="367"/>
      <c r="AJ54" s="367"/>
      <c r="AK54" s="367"/>
      <c r="AL54" s="367"/>
      <c r="AM54" s="368"/>
    </row>
    <row r="55" spans="1:39" s="53" customFormat="1" ht="18" customHeight="1" outlineLevel="3" x14ac:dyDescent="0.15">
      <c r="A55" s="240">
        <f t="shared" si="0"/>
        <v>52</v>
      </c>
      <c r="B55" s="362"/>
      <c r="C55" s="72" t="s">
        <v>408</v>
      </c>
      <c r="D55" s="358"/>
      <c r="E55" s="359" cm="1">
        <f t="array" ref="E55">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5" s="359" cm="1">
        <f t="array" ref="F55">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5" s="262"/>
      <c r="H55" s="362"/>
      <c r="I55" s="72" t="s">
        <v>408</v>
      </c>
      <c r="J55" s="359" cm="1">
        <f t="array" ref="J55">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5" s="359" cm="1">
        <f t="array" ref="K55">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5" s="262"/>
      <c r="M55" s="362"/>
      <c r="N55" s="72" t="s">
        <v>408</v>
      </c>
      <c r="O55" s="359" cm="1">
        <f t="array" ref="O55">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5" s="359" cm="1">
        <f t="array" ref="P55">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5" s="367"/>
      <c r="R55" s="367"/>
      <c r="S55" s="367"/>
      <c r="T55" s="367"/>
      <c r="U55" s="367"/>
      <c r="V55" s="367"/>
      <c r="W55" s="367"/>
      <c r="X55" s="367"/>
      <c r="Y55" s="367"/>
      <c r="Z55" s="367"/>
      <c r="AA55" s="367"/>
      <c r="AB55" s="367"/>
      <c r="AC55" s="367"/>
      <c r="AD55" s="367"/>
      <c r="AE55" s="367"/>
      <c r="AF55" s="367"/>
      <c r="AG55" s="367"/>
      <c r="AH55" s="367"/>
      <c r="AI55" s="367"/>
      <c r="AJ55" s="367"/>
      <c r="AK55" s="367"/>
      <c r="AL55" s="367"/>
      <c r="AM55" s="368"/>
    </row>
    <row r="56" spans="1:39" s="53" customFormat="1" ht="18" customHeight="1" outlineLevel="3" x14ac:dyDescent="0.15">
      <c r="A56" s="240">
        <f t="shared" si="0"/>
        <v>53</v>
      </c>
      <c r="B56" s="362"/>
      <c r="C56" s="72" t="s">
        <v>409</v>
      </c>
      <c r="D56" s="358"/>
      <c r="E56" s="359"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59"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2"/>
      <c r="H56" s="362"/>
      <c r="I56" s="72" t="s">
        <v>409</v>
      </c>
      <c r="J56" s="359"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59"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2"/>
      <c r="M56" s="362"/>
      <c r="N56" s="72" t="s">
        <v>409</v>
      </c>
      <c r="O56" s="359"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59"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67"/>
      <c r="R56" s="367"/>
      <c r="S56" s="367"/>
      <c r="T56" s="367"/>
      <c r="U56" s="367"/>
      <c r="V56" s="367"/>
      <c r="W56" s="367"/>
      <c r="X56" s="367"/>
      <c r="Y56" s="367"/>
      <c r="Z56" s="367"/>
      <c r="AA56" s="367"/>
      <c r="AB56" s="367"/>
      <c r="AC56" s="367"/>
      <c r="AD56" s="367"/>
      <c r="AE56" s="367"/>
      <c r="AF56" s="367"/>
      <c r="AG56" s="367"/>
      <c r="AH56" s="367"/>
      <c r="AI56" s="367"/>
      <c r="AJ56" s="367"/>
      <c r="AK56" s="367"/>
      <c r="AL56" s="367"/>
      <c r="AM56" s="368"/>
    </row>
    <row r="57" spans="1:39" ht="18" customHeight="1" outlineLevel="2" x14ac:dyDescent="0.15">
      <c r="A57" s="240">
        <f t="shared" si="0"/>
        <v>54</v>
      </c>
      <c r="B57" s="257" t="s">
        <v>410</v>
      </c>
      <c r="C57" s="73" t="s">
        <v>307</v>
      </c>
      <c r="D57" s="361"/>
      <c r="E57" s="310"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10"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40"/>
      <c r="H57" s="257" t="s">
        <v>410</v>
      </c>
      <c r="I57" s="73" t="s">
        <v>307</v>
      </c>
      <c r="J57" s="310"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10"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40"/>
      <c r="M57" s="257" t="s">
        <v>410</v>
      </c>
      <c r="N57" s="73" t="s">
        <v>307</v>
      </c>
      <c r="O57" s="310"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10"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263"/>
      <c r="R57" s="263"/>
      <c r="S57" s="263"/>
      <c r="T57" s="263"/>
      <c r="U57" s="263"/>
      <c r="V57" s="263"/>
      <c r="W57" s="263"/>
      <c r="X57" s="263"/>
      <c r="Y57" s="263"/>
      <c r="Z57" s="263"/>
      <c r="AA57" s="263"/>
      <c r="AB57" s="263"/>
      <c r="AC57" s="263"/>
      <c r="AD57" s="263"/>
      <c r="AE57" s="263"/>
      <c r="AF57" s="263"/>
      <c r="AG57" s="263"/>
      <c r="AH57" s="263"/>
      <c r="AI57" s="263"/>
      <c r="AJ57" s="263"/>
      <c r="AK57" s="263"/>
      <c r="AL57" s="263"/>
      <c r="AM57" s="242"/>
    </row>
    <row r="58" spans="1:39" ht="18" customHeight="1" outlineLevel="2" x14ac:dyDescent="0.15">
      <c r="A58" s="240">
        <f t="shared" si="0"/>
        <v>55</v>
      </c>
      <c r="B58" s="257" t="s">
        <v>411</v>
      </c>
      <c r="C58" s="73" t="s">
        <v>412</v>
      </c>
      <c r="D58" s="361"/>
      <c r="E58" s="310"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10"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40"/>
      <c r="H58" s="257" t="s">
        <v>411</v>
      </c>
      <c r="I58" s="73" t="s">
        <v>412</v>
      </c>
      <c r="J58" s="310"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10"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40"/>
      <c r="M58" s="257" t="s">
        <v>411</v>
      </c>
      <c r="N58" s="73" t="s">
        <v>412</v>
      </c>
      <c r="O58" s="310"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10"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263"/>
      <c r="R58" s="263"/>
      <c r="S58" s="263"/>
      <c r="T58" s="263"/>
      <c r="U58" s="263"/>
      <c r="V58" s="263"/>
      <c r="W58" s="263"/>
      <c r="X58" s="263"/>
      <c r="Y58" s="263"/>
      <c r="Z58" s="263"/>
      <c r="AA58" s="263"/>
      <c r="AB58" s="263"/>
      <c r="AC58" s="263"/>
      <c r="AD58" s="263"/>
      <c r="AE58" s="263"/>
      <c r="AF58" s="263"/>
      <c r="AG58" s="263"/>
      <c r="AH58" s="263"/>
      <c r="AI58" s="263"/>
      <c r="AJ58" s="263"/>
      <c r="AK58" s="263"/>
      <c r="AL58" s="263"/>
      <c r="AM58" s="242"/>
    </row>
    <row r="59" spans="1:39" ht="18" customHeight="1" outlineLevel="2" x14ac:dyDescent="0.15">
      <c r="A59" s="240">
        <f t="shared" si="0"/>
        <v>56</v>
      </c>
      <c r="B59" s="257" t="s">
        <v>413</v>
      </c>
      <c r="C59" s="73" t="s">
        <v>414</v>
      </c>
      <c r="D59" s="361"/>
      <c r="E59" s="355" cm="1">
        <f t="array" ref="E59">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59" s="355" cm="1">
        <f t="array" ref="F59">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59" s="240"/>
      <c r="H59" s="257" t="s">
        <v>413</v>
      </c>
      <c r="I59" s="73" t="s">
        <v>414</v>
      </c>
      <c r="J59" s="355" cm="1">
        <f t="array" ref="J59">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59" s="355" cm="1">
        <f t="array" ref="K59">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59" s="240"/>
      <c r="M59" s="257" t="s">
        <v>413</v>
      </c>
      <c r="N59" s="73" t="s">
        <v>414</v>
      </c>
      <c r="O59" s="355" cm="1">
        <f t="array" ref="O59">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59" s="355" cm="1">
        <f t="array" ref="P59">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42"/>
    </row>
    <row r="60" spans="1:39" ht="18" customHeight="1" outlineLevel="1" x14ac:dyDescent="0.15">
      <c r="A60" s="240">
        <f t="shared" si="0"/>
        <v>57</v>
      </c>
      <c r="B60" s="350" t="s">
        <v>386</v>
      </c>
      <c r="C60" s="41" t="s">
        <v>415</v>
      </c>
      <c r="D60" s="264"/>
      <c r="E60" s="363">
        <f>SUM(E61:E64)</f>
        <v>0</v>
      </c>
      <c r="F60" s="363">
        <f>SUM(F61:F64)</f>
        <v>0</v>
      </c>
      <c r="G60" s="240"/>
      <c r="H60" s="350" t="s">
        <v>386</v>
      </c>
      <c r="I60" s="41" t="s">
        <v>415</v>
      </c>
      <c r="J60" s="363">
        <f>SUM(J61:J64)</f>
        <v>0</v>
      </c>
      <c r="K60" s="363">
        <f>SUM(K61:K64)</f>
        <v>0</v>
      </c>
      <c r="L60" s="240"/>
      <c r="M60" s="350" t="s">
        <v>386</v>
      </c>
      <c r="N60" s="41" t="s">
        <v>415</v>
      </c>
      <c r="O60" s="363">
        <f>SUM(O61:O64)</f>
        <v>0</v>
      </c>
      <c r="P60" s="363">
        <f>SUM(P61:P64)</f>
        <v>0</v>
      </c>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42"/>
    </row>
    <row r="61" spans="1:39" ht="18" customHeight="1" outlineLevel="2" x14ac:dyDescent="0.15">
      <c r="A61" s="240">
        <f t="shared" si="0"/>
        <v>58</v>
      </c>
      <c r="B61" s="356" t="s">
        <v>416</v>
      </c>
      <c r="C61" s="73" t="s">
        <v>417</v>
      </c>
      <c r="D61" s="361"/>
      <c r="E61" s="355" cm="1">
        <f t="array" ref="E6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1" s="355" cm="1">
        <f t="array" ref="F6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1" s="240"/>
      <c r="H61" s="356" t="s">
        <v>416</v>
      </c>
      <c r="I61" s="73" t="s">
        <v>417</v>
      </c>
      <c r="J61" s="355" cm="1">
        <f t="array" ref="J6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1" s="355" cm="1">
        <f t="array" ref="K6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1" s="240"/>
      <c r="M61" s="356" t="s">
        <v>416</v>
      </c>
      <c r="N61" s="73" t="s">
        <v>417</v>
      </c>
      <c r="O61" s="355" cm="1">
        <f t="array" ref="O6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1" s="355" cm="1">
        <f t="array" ref="P6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42"/>
    </row>
    <row r="62" spans="1:39" ht="18" customHeight="1" outlineLevel="2" x14ac:dyDescent="0.15">
      <c r="A62" s="240">
        <f t="shared" si="0"/>
        <v>59</v>
      </c>
      <c r="B62" s="356" t="s">
        <v>389</v>
      </c>
      <c r="C62" s="73" t="s">
        <v>418</v>
      </c>
      <c r="D62" s="361"/>
      <c r="E62" s="355" cm="1">
        <f t="array" ref="E6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2" s="355" cm="1">
        <f t="array" ref="F6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2" s="240"/>
      <c r="H62" s="356" t="s">
        <v>389</v>
      </c>
      <c r="I62" s="73" t="s">
        <v>418</v>
      </c>
      <c r="J62" s="355" cm="1">
        <f t="array" ref="J6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2" s="355" cm="1">
        <f t="array" ref="K6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2" s="240"/>
      <c r="M62" s="356" t="s">
        <v>389</v>
      </c>
      <c r="N62" s="73" t="s">
        <v>418</v>
      </c>
      <c r="O62" s="355" cm="1">
        <f t="array" ref="O6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2" s="355" cm="1">
        <f t="array" ref="P6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42"/>
    </row>
    <row r="63" spans="1:39" ht="18" customHeight="1" outlineLevel="2" x14ac:dyDescent="0.15">
      <c r="A63" s="240">
        <f t="shared" si="0"/>
        <v>60</v>
      </c>
      <c r="B63" s="356" t="s">
        <v>372</v>
      </c>
      <c r="C63" s="73" t="s">
        <v>419</v>
      </c>
      <c r="D63" s="361"/>
      <c r="E63" s="355"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5"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0"/>
      <c r="H63" s="356" t="s">
        <v>372</v>
      </c>
      <c r="I63" s="73" t="s">
        <v>419</v>
      </c>
      <c r="J63" s="355"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5"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0"/>
      <c r="M63" s="356" t="s">
        <v>372</v>
      </c>
      <c r="N63" s="73" t="s">
        <v>419</v>
      </c>
      <c r="O63" s="355"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5"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42"/>
    </row>
    <row r="64" spans="1:39" ht="18" customHeight="1" outlineLevel="2" x14ac:dyDescent="0.15">
      <c r="A64" s="240">
        <f t="shared" si="0"/>
        <v>61</v>
      </c>
      <c r="B64" s="356" t="s">
        <v>420</v>
      </c>
      <c r="C64" s="73" t="s">
        <v>421</v>
      </c>
      <c r="D64" s="361"/>
      <c r="E64" s="355" cm="1">
        <f t="array" ref="E64">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4" s="355" cm="1">
        <f t="array" ref="F64">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4" s="240"/>
      <c r="H64" s="356" t="s">
        <v>420</v>
      </c>
      <c r="I64" s="73" t="s">
        <v>421</v>
      </c>
      <c r="J64" s="355" cm="1">
        <f t="array" ref="J64">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4" s="355" cm="1">
        <f t="array" ref="K64">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4" s="240"/>
      <c r="M64" s="356" t="s">
        <v>420</v>
      </c>
      <c r="N64" s="73" t="s">
        <v>421</v>
      </c>
      <c r="O64" s="355" cm="1">
        <f t="array" ref="O64">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4" s="355" cm="1">
        <f t="array" ref="P64">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42"/>
    </row>
    <row r="65" spans="1:39" ht="18" customHeight="1" outlineLevel="1" x14ac:dyDescent="0.15">
      <c r="A65" s="240">
        <f t="shared" si="0"/>
        <v>62</v>
      </c>
      <c r="B65" s="350" t="s">
        <v>387</v>
      </c>
      <c r="C65" s="41" t="s">
        <v>422</v>
      </c>
      <c r="D65" s="264"/>
      <c r="E65" s="363">
        <f>SUM(E66:E69)</f>
        <v>0</v>
      </c>
      <c r="F65" s="363">
        <f>SUM(F66:F69)</f>
        <v>0</v>
      </c>
      <c r="G65" s="240"/>
      <c r="H65" s="350" t="s">
        <v>387</v>
      </c>
      <c r="I65" s="41" t="s">
        <v>422</v>
      </c>
      <c r="J65" s="363">
        <f>SUM(J66:J69)</f>
        <v>0</v>
      </c>
      <c r="K65" s="363">
        <f>SUM(K66:K69)</f>
        <v>0</v>
      </c>
      <c r="L65" s="240"/>
      <c r="M65" s="350" t="s">
        <v>387</v>
      </c>
      <c r="N65" s="41" t="s">
        <v>422</v>
      </c>
      <c r="O65" s="363">
        <f>SUM(O66:O69)</f>
        <v>0</v>
      </c>
      <c r="P65" s="363">
        <f>SUM(P66:P69)</f>
        <v>0</v>
      </c>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42"/>
    </row>
    <row r="66" spans="1:39" ht="18" customHeight="1" outlineLevel="2" x14ac:dyDescent="0.15">
      <c r="A66" s="240">
        <f t="shared" si="0"/>
        <v>63</v>
      </c>
      <c r="B66" s="257" t="s">
        <v>423</v>
      </c>
      <c r="C66" s="73" t="s">
        <v>424</v>
      </c>
      <c r="D66" s="361"/>
      <c r="E66" s="355"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5"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0"/>
      <c r="H66" s="257" t="s">
        <v>423</v>
      </c>
      <c r="I66" s="73" t="s">
        <v>424</v>
      </c>
      <c r="J66" s="355"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5"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0"/>
      <c r="M66" s="257" t="s">
        <v>423</v>
      </c>
      <c r="N66" s="73" t="s">
        <v>424</v>
      </c>
      <c r="O66" s="355"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5"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42"/>
    </row>
    <row r="67" spans="1:39" ht="18" customHeight="1" outlineLevel="2" x14ac:dyDescent="0.15">
      <c r="A67" s="240">
        <f t="shared" si="0"/>
        <v>64</v>
      </c>
      <c r="B67" s="257" t="s">
        <v>425</v>
      </c>
      <c r="C67" s="73" t="s">
        <v>426</v>
      </c>
      <c r="D67" s="361"/>
      <c r="E67" s="355"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5"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0"/>
      <c r="H67" s="257" t="s">
        <v>425</v>
      </c>
      <c r="I67" s="73" t="s">
        <v>426</v>
      </c>
      <c r="J67" s="355"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5"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0"/>
      <c r="M67" s="257" t="s">
        <v>425</v>
      </c>
      <c r="N67" s="73" t="s">
        <v>426</v>
      </c>
      <c r="O67" s="355"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5"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42"/>
    </row>
    <row r="68" spans="1:39" ht="18" customHeight="1" outlineLevel="2" x14ac:dyDescent="0.15">
      <c r="A68" s="240">
        <f t="shared" si="0"/>
        <v>65</v>
      </c>
      <c r="B68" s="257" t="s">
        <v>427</v>
      </c>
      <c r="C68" s="73" t="s">
        <v>428</v>
      </c>
      <c r="D68" s="361"/>
      <c r="E68" s="355"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5"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0"/>
      <c r="H68" s="257" t="s">
        <v>427</v>
      </c>
      <c r="I68" s="73" t="s">
        <v>428</v>
      </c>
      <c r="J68" s="355"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5"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0"/>
      <c r="M68" s="257" t="s">
        <v>427</v>
      </c>
      <c r="N68" s="73" t="s">
        <v>428</v>
      </c>
      <c r="O68" s="355"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5"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42"/>
    </row>
    <row r="69" spans="1:39" ht="18" customHeight="1" outlineLevel="2" x14ac:dyDescent="0.15">
      <c r="A69" s="240">
        <f t="shared" ref="A69:A132" si="1">+A68+1</f>
        <v>66</v>
      </c>
      <c r="B69" s="257" t="s">
        <v>429</v>
      </c>
      <c r="C69" s="73" t="s">
        <v>430</v>
      </c>
      <c r="D69" s="361"/>
      <c r="E69" s="355" cm="1">
        <f t="array" ref="E69">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9" s="355" cm="1">
        <f t="array" ref="F69">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9" s="240"/>
      <c r="H69" s="257" t="s">
        <v>429</v>
      </c>
      <c r="I69" s="73" t="s">
        <v>430</v>
      </c>
      <c r="J69" s="355" cm="1">
        <f t="array" ref="J69">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9" s="355" cm="1">
        <f t="array" ref="K69">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9" s="240"/>
      <c r="M69" s="257" t="s">
        <v>429</v>
      </c>
      <c r="N69" s="73" t="s">
        <v>430</v>
      </c>
      <c r="O69" s="355" cm="1">
        <f t="array" ref="O69">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9" s="355" cm="1">
        <f t="array" ref="P69">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42"/>
    </row>
    <row r="70" spans="1:39" ht="18" customHeight="1" outlineLevel="1" x14ac:dyDescent="0.15">
      <c r="A70" s="240">
        <f t="shared" si="1"/>
        <v>67</v>
      </c>
      <c r="B70" s="350" t="s">
        <v>395</v>
      </c>
      <c r="C70" s="41" t="s">
        <v>431</v>
      </c>
      <c r="D70" s="264"/>
      <c r="E70" s="363">
        <f>+E49+E60+E65</f>
        <v>0</v>
      </c>
      <c r="F70" s="363">
        <f>+F49+F60+F65</f>
        <v>0</v>
      </c>
      <c r="G70" s="240"/>
      <c r="H70" s="350" t="s">
        <v>395</v>
      </c>
      <c r="I70" s="41" t="s">
        <v>431</v>
      </c>
      <c r="J70" s="363">
        <f>+J49+J60+J65</f>
        <v>0</v>
      </c>
      <c r="K70" s="363">
        <f>+K49+K60+K65</f>
        <v>0</v>
      </c>
      <c r="L70" s="240"/>
      <c r="M70" s="350" t="s">
        <v>395</v>
      </c>
      <c r="N70" s="41" t="s">
        <v>431</v>
      </c>
      <c r="O70" s="363">
        <f>+O49+O60+O65</f>
        <v>0</v>
      </c>
      <c r="P70" s="363">
        <f>+P49+P60+P65</f>
        <v>0</v>
      </c>
      <c r="Q70" s="263"/>
      <c r="R70" s="263"/>
      <c r="S70" s="263"/>
      <c r="T70" s="263"/>
      <c r="U70" s="263"/>
      <c r="V70" s="263"/>
      <c r="W70" s="263"/>
      <c r="X70" s="263"/>
      <c r="Y70" s="263"/>
      <c r="Z70" s="263"/>
      <c r="AA70" s="263"/>
      <c r="AB70" s="263"/>
      <c r="AC70" s="263"/>
      <c r="AD70" s="263"/>
      <c r="AE70" s="263"/>
      <c r="AF70" s="263"/>
      <c r="AG70" s="263"/>
      <c r="AH70" s="263"/>
      <c r="AI70" s="263"/>
      <c r="AJ70" s="263"/>
      <c r="AK70" s="263"/>
      <c r="AL70" s="263"/>
      <c r="AM70" s="242"/>
    </row>
    <row r="71" spans="1:39" ht="18" customHeight="1" x14ac:dyDescent="0.15">
      <c r="A71" s="240">
        <f t="shared" si="1"/>
        <v>68</v>
      </c>
      <c r="B71" s="257"/>
      <c r="C71" s="365"/>
      <c r="D71" s="240"/>
      <c r="E71" s="355"/>
      <c r="F71" s="355"/>
      <c r="G71" s="240"/>
      <c r="H71" s="356"/>
      <c r="I71" s="365"/>
      <c r="J71" s="355"/>
      <c r="K71" s="355"/>
      <c r="L71" s="240"/>
      <c r="M71" s="362"/>
      <c r="N71" s="358"/>
      <c r="O71" s="355"/>
      <c r="P71" s="355"/>
      <c r="Q71" s="263"/>
      <c r="R71" s="263"/>
      <c r="S71" s="263"/>
      <c r="T71" s="263"/>
      <c r="U71" s="263"/>
      <c r="V71" s="263"/>
      <c r="W71" s="263"/>
      <c r="X71" s="263"/>
      <c r="Y71" s="263"/>
      <c r="Z71" s="263"/>
      <c r="AA71" s="263"/>
      <c r="AB71" s="263"/>
      <c r="AC71" s="263"/>
      <c r="AD71" s="263"/>
      <c r="AE71" s="263"/>
      <c r="AF71" s="263"/>
      <c r="AG71" s="263"/>
      <c r="AH71" s="263"/>
      <c r="AI71" s="263"/>
      <c r="AJ71" s="263"/>
      <c r="AK71" s="263"/>
      <c r="AL71" s="263"/>
      <c r="AM71" s="242"/>
    </row>
    <row r="72" spans="1:39" ht="18" customHeight="1" x14ac:dyDescent="0.15">
      <c r="A72" s="240">
        <f t="shared" si="1"/>
        <v>69</v>
      </c>
      <c r="B72" s="356"/>
      <c r="C72" s="74" t="s">
        <v>432</v>
      </c>
      <c r="D72" s="263"/>
      <c r="E72" s="355"/>
      <c r="F72" s="355"/>
      <c r="G72" s="240"/>
      <c r="H72" s="356"/>
      <c r="I72" s="74" t="s">
        <v>432</v>
      </c>
      <c r="J72" s="355"/>
      <c r="K72" s="355"/>
      <c r="L72" s="240"/>
      <c r="M72" s="356"/>
      <c r="N72" s="74" t="s">
        <v>432</v>
      </c>
      <c r="O72" s="355"/>
      <c r="P72" s="355"/>
      <c r="Q72" s="263"/>
      <c r="R72" s="263"/>
      <c r="S72" s="263"/>
      <c r="T72" s="263"/>
      <c r="U72" s="263"/>
      <c r="V72" s="263"/>
      <c r="W72" s="263"/>
      <c r="X72" s="263"/>
      <c r="Y72" s="263"/>
      <c r="Z72" s="263"/>
      <c r="AA72" s="263"/>
      <c r="AB72" s="263"/>
      <c r="AC72" s="263"/>
      <c r="AD72" s="263"/>
      <c r="AE72" s="263"/>
      <c r="AF72" s="263"/>
      <c r="AG72" s="263"/>
      <c r="AH72" s="263"/>
      <c r="AI72" s="263"/>
      <c r="AJ72" s="263"/>
      <c r="AK72" s="263"/>
      <c r="AL72" s="263"/>
      <c r="AM72" s="242"/>
    </row>
    <row r="73" spans="1:39" ht="18" customHeight="1" outlineLevel="1" x14ac:dyDescent="0.15">
      <c r="A73" s="240">
        <f t="shared" si="1"/>
        <v>70</v>
      </c>
      <c r="B73" s="369">
        <v>100</v>
      </c>
      <c r="C73" s="77" t="s">
        <v>433</v>
      </c>
      <c r="D73" s="370">
        <f>+D85+D82+D76+D75+D74</f>
        <v>0</v>
      </c>
      <c r="E73" s="370">
        <f>+E85+E82+E76+E75+E74</f>
        <v>0</v>
      </c>
      <c r="F73" s="370">
        <f>+F85+F82+F76+F75+F74</f>
        <v>0</v>
      </c>
      <c r="G73" s="240"/>
      <c r="H73" s="369">
        <v>100</v>
      </c>
      <c r="I73" s="77" t="s">
        <v>433</v>
      </c>
      <c r="J73" s="370">
        <f>+J85+J82+J76+J75+J74</f>
        <v>53607353.321573563</v>
      </c>
      <c r="K73" s="370">
        <f>+K85+K82+K76+K75+K74</f>
        <v>53607353.321573563</v>
      </c>
      <c r="L73" s="240"/>
      <c r="M73" s="369">
        <v>100</v>
      </c>
      <c r="N73" s="77" t="s">
        <v>433</v>
      </c>
      <c r="O73" s="370">
        <f ca="1">+O85+O82+O76+O75+O74</f>
        <v>0</v>
      </c>
      <c r="P73" s="370">
        <f ca="1">+P85+P82+P76+P75+P74</f>
        <v>0</v>
      </c>
      <c r="Q73" s="263"/>
      <c r="R73" s="263"/>
      <c r="S73" s="263"/>
      <c r="T73" s="263"/>
      <c r="U73" s="263"/>
      <c r="V73" s="263"/>
      <c r="W73" s="263"/>
      <c r="X73" s="263"/>
      <c r="Y73" s="263"/>
      <c r="Z73" s="263"/>
      <c r="AA73" s="263"/>
      <c r="AB73" s="263"/>
      <c r="AC73" s="263"/>
      <c r="AD73" s="263"/>
      <c r="AE73" s="263"/>
      <c r="AF73" s="263"/>
      <c r="AG73" s="263"/>
      <c r="AH73" s="263"/>
      <c r="AI73" s="263"/>
      <c r="AJ73" s="263"/>
      <c r="AK73" s="263"/>
      <c r="AL73" s="263"/>
      <c r="AM73" s="242"/>
    </row>
    <row r="74" spans="1:39" ht="18" customHeight="1" outlineLevel="2" x14ac:dyDescent="0.15">
      <c r="A74" s="240">
        <f t="shared" si="1"/>
        <v>71</v>
      </c>
      <c r="B74" s="257">
        <v>110</v>
      </c>
      <c r="C74" s="73" t="s">
        <v>434</v>
      </c>
      <c r="D74" s="242">
        <f>SUM(Table_TaiKhoan[Số dư ban đầu])</f>
        <v>0</v>
      </c>
      <c r="E74" s="310" cm="1">
        <f t="array" ref="E74">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4" s="242" cm="1">
        <f t="array" ref="F74">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4" s="240"/>
      <c r="H74" s="257">
        <v>110</v>
      </c>
      <c r="I74" s="73" t="s">
        <v>434</v>
      </c>
      <c r="J74" s="310" cm="1">
        <f t="array" ref="J74">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4" s="310" cm="1">
        <f t="array" ref="K74">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4" s="240"/>
      <c r="M74" s="257">
        <v>110</v>
      </c>
      <c r="N74" s="73" t="s">
        <v>434</v>
      </c>
      <c r="O74" s="242" cm="1">
        <f t="array" ref="O74">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4" s="242" cm="1">
        <f t="array" ref="P74">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4" s="263"/>
      <c r="R74" s="263"/>
      <c r="S74" s="263"/>
      <c r="T74" s="263"/>
      <c r="U74" s="263"/>
      <c r="V74" s="263"/>
      <c r="W74" s="263"/>
      <c r="X74" s="263"/>
      <c r="Y74" s="263"/>
      <c r="Z74" s="263"/>
      <c r="AA74" s="263"/>
      <c r="AB74" s="263"/>
      <c r="AC74" s="263"/>
      <c r="AD74" s="263"/>
      <c r="AE74" s="263"/>
      <c r="AF74" s="263"/>
      <c r="AG74" s="263"/>
      <c r="AH74" s="263"/>
      <c r="AI74" s="263"/>
      <c r="AJ74" s="263"/>
      <c r="AK74" s="263"/>
      <c r="AL74" s="263"/>
      <c r="AM74" s="242"/>
    </row>
    <row r="75" spans="1:39" ht="18" customHeight="1" outlineLevel="2" x14ac:dyDescent="0.15">
      <c r="A75" s="240">
        <f t="shared" si="1"/>
        <v>72</v>
      </c>
      <c r="B75" s="257">
        <v>120</v>
      </c>
      <c r="C75" s="73" t="s">
        <v>435</v>
      </c>
      <c r="D75" s="242" cm="1">
        <f t="array" ref="D75">IFERROR(
SUM(_xlfn._xlws.FILTER(Table_DauTu[Giá trị đầu tư],
(NOT(ISBLANK(Table_DauTu[Thời hạn (tháng)])))*
(Table_DauTu[Kỳ đầu tư] &lt; BCTC_BatDau) *
(Table_DauTu[Kỳ đáo hạn] &lt;= DATE(YEAR(BCTC_BatDau) + 1, MONTH(BCTC_BatDau), DAY(BCTC_BatDau)))
)),0)</f>
        <v>0</v>
      </c>
      <c r="E75" s="310" cm="1">
        <f t="array" ref="E75">IFERROR(
SUM(_xlfn._xlws.FILTER(Table_DauTu[Giá trị đầu tư],
(NOT(ISBLANK(Table_DauTu[Kỳ đáo hạn])))*
(Table_DauTu[Kỳ đầu tư] &lt; DATE(BCTC_Nam, BCTC_Thang, 1)) *
(Table_DauTu[Kỳ đáo hạn] &lt;=  DATE(BCTC_Nam+1, BCTC_Thang, 1))
)),0)</f>
        <v>0</v>
      </c>
      <c r="F75" s="242" cm="1">
        <f t="array" ref="F75">IFERROR(
SUM(_xlfn._xlws.FILTER(Table_DauTu[Giá trị đầu tư],
(NOT(ISBLANK(Table_DauTu[Kỳ đáo hạn])))*
(Table_DauTu[Kỳ đầu tư] &lt; DATE(BCTC_Nam, BCTC_Thang+1, 1)) *
(Table_DauTu[Kỳ đáo hạn] &lt;=  DATE(BCTC_Nam+1, BCTC_Thang+1, 1))
)),0)</f>
        <v>0</v>
      </c>
      <c r="G75" s="240"/>
      <c r="H75" s="257">
        <v>120</v>
      </c>
      <c r="I75" s="73" t="s">
        <v>435</v>
      </c>
      <c r="J75" s="310" cm="1">
        <f t="array" ref="J75">IFERROR(
SUM(_xlfn._xlws.FILTER(Table_DauTu[Giá trị đầu tư],
(NOT(ISBLANK(Table_DauTu[Kỳ đáo hạn])))*
(Table_DauTu[Kỳ đầu tư] &lt; DATE(J$1+1, 1, 1)) *
(Table_DauTu[Kỳ đáo hạn] &lt;=  DATE(J$1+2, 1, 1))
)),0)</f>
        <v>0</v>
      </c>
      <c r="K75" s="310" cm="1">
        <f t="array" ref="K75">IFERROR(
SUM(_xlfn._xlws.FILTER(Table_DauTu[Giá trị đầu tư],
(NOT(ISBLANK(Table_DauTu[Kỳ đáo hạn])))*
(Table_DauTu[Kỳ đầu tư] &lt; DATE(K$1+1, 1, 1)) *
(Table_DauTu[Kỳ đáo hạn] &lt;=  DATE(K$1+2, 1, 1))
)),0)</f>
        <v>0</v>
      </c>
      <c r="L75" s="240"/>
      <c r="M75" s="257">
        <v>120</v>
      </c>
      <c r="N75" s="73" t="s">
        <v>435</v>
      </c>
      <c r="O75" s="242" cm="1">
        <f t="array" ref="O75">IFERROR(
SUM(_xlfn._xlws.FILTER(Table_DauTu[Giá trị đầu tư],
(NOT(ISBLANK(Table_DauTu[Kỳ đáo hạn])))*
(Table_DauTu[Kỳ đầu tư] &lt; DATE(YEAR(O$1), MONTH(O$1)+1, 1)) *
(Table_DauTu[Kỳ đáo hạn] &lt;=  DATE(YEAR(O$1)+1, MONTH(O$1)+1, 1))
)),0)</f>
        <v>0</v>
      </c>
      <c r="P75" s="242" cm="1">
        <f t="array" ref="P75">IFERROR(
SUM(_xlfn._xlws.FILTER(Table_DauTu[Giá trị đầu tư],
(NOT(ISBLANK(Table_DauTu[Kỳ đáo hạn])))*
(Table_DauTu[Kỳ đầu tư] &lt; DATE(YEAR(P$1), MONTH(P$1)+1, 1)) *
(Table_DauTu[Kỳ đáo hạn] &lt;=  DATE(YEAR(P$1)+1, MONTH(P$1)+1, 1))
)),0)</f>
        <v>0</v>
      </c>
      <c r="Q75" s="263"/>
      <c r="R75" s="263"/>
      <c r="S75" s="263"/>
      <c r="T75" s="263"/>
      <c r="U75" s="263"/>
      <c r="V75" s="263"/>
      <c r="W75" s="263"/>
      <c r="X75" s="263"/>
      <c r="Y75" s="263"/>
      <c r="Z75" s="263"/>
      <c r="AA75" s="263"/>
      <c r="AB75" s="263"/>
      <c r="AC75" s="263"/>
      <c r="AD75" s="263"/>
      <c r="AE75" s="263"/>
      <c r="AF75" s="263"/>
      <c r="AG75" s="263"/>
      <c r="AH75" s="263"/>
      <c r="AI75" s="263"/>
      <c r="AJ75" s="263"/>
      <c r="AK75" s="263"/>
      <c r="AL75" s="263"/>
      <c r="AM75" s="242"/>
    </row>
    <row r="76" spans="1:39" ht="18" customHeight="1" outlineLevel="2" x14ac:dyDescent="0.15">
      <c r="A76" s="240">
        <f t="shared" si="1"/>
        <v>73</v>
      </c>
      <c r="B76" s="257">
        <v>130</v>
      </c>
      <c r="C76" s="73" t="s">
        <v>436</v>
      </c>
      <c r="D76" s="242">
        <f>+SUM(D77:D80)</f>
        <v>0</v>
      </c>
      <c r="E76" s="242">
        <f>+SUM(E77:E81)</f>
        <v>0</v>
      </c>
      <c r="F76" s="242">
        <f>+SUM(F77:F81)</f>
        <v>0</v>
      </c>
      <c r="G76" s="240"/>
      <c r="H76" s="257">
        <v>130</v>
      </c>
      <c r="I76" s="73" t="s">
        <v>436</v>
      </c>
      <c r="J76" s="242">
        <f>+SUM(J77:J81)</f>
        <v>1629803</v>
      </c>
      <c r="K76" s="242">
        <f>+SUM(K77:K81)</f>
        <v>1629803</v>
      </c>
      <c r="L76" s="240"/>
      <c r="M76" s="257">
        <v>130</v>
      </c>
      <c r="N76" s="73" t="s">
        <v>436</v>
      </c>
      <c r="O76" s="242">
        <f ca="1">+SUM(O77:O81)</f>
        <v>0</v>
      </c>
      <c r="P76" s="242">
        <f ca="1">+SUM(P77:P81)</f>
        <v>0</v>
      </c>
      <c r="Q76" s="263"/>
      <c r="R76" s="263"/>
      <c r="S76" s="263"/>
      <c r="T76" s="263"/>
      <c r="U76" s="263"/>
      <c r="V76" s="263"/>
      <c r="W76" s="263"/>
      <c r="X76" s="263"/>
      <c r="Y76" s="263"/>
      <c r="Z76" s="263"/>
      <c r="AA76" s="263"/>
      <c r="AB76" s="263"/>
      <c r="AC76" s="263"/>
      <c r="AD76" s="263"/>
      <c r="AE76" s="263"/>
      <c r="AF76" s="263"/>
      <c r="AG76" s="263"/>
      <c r="AH76" s="263"/>
      <c r="AI76" s="263"/>
      <c r="AJ76" s="263"/>
      <c r="AK76" s="263"/>
      <c r="AL76" s="263"/>
      <c r="AM76" s="242"/>
    </row>
    <row r="77" spans="1:39" ht="18" customHeight="1" outlineLevel="3" x14ac:dyDescent="0.15">
      <c r="A77" s="240">
        <f t="shared" si="1"/>
        <v>74</v>
      </c>
      <c r="B77" s="362">
        <v>131</v>
      </c>
      <c r="C77" s="72" t="s">
        <v>437</v>
      </c>
      <c r="D77" s="359">
        <f>Sheet_PhaiThu!D2-D88</f>
        <v>0</v>
      </c>
      <c r="E77" s="359">
        <f>IFERROR(
IF(BCTC_Thang = 1,
HLOOKUP(
DATE(BCTC_Nam-1,12,1),Sheet_PhaiThu!$C$1:$XFD$5,Sheet_PhaiThu!$B$2,0
),
HLOOKUP(
DATE(BCTC_Nam,BCTC_Thang-1,1),Sheet_PhaiThu!$C$1:$XFD$5,Sheet_PhaiThu!$B$2,0
)),0)
-E88</f>
        <v>0</v>
      </c>
      <c r="F77" s="368">
        <f>IFERROR(
HLOOKUP(
DATE(BCTC_Nam,BCTC_Thang,1),Sheet_PhaiThu!$C$1:$XFD$5,Sheet_PhaiThu!$B$2,0
),0)
-F88</f>
        <v>0</v>
      </c>
      <c r="G77" s="240"/>
      <c r="H77" s="362">
        <v>131</v>
      </c>
      <c r="I77" s="72" t="s">
        <v>437</v>
      </c>
      <c r="J77" s="359">
        <f>IFERROR(
HLOOKUP(
DATE(J$1,12,1),
Sheet_PhaiThu!$C$1:$XFD$5,Sheet_PhaiThu!$B$2,0
),
IFERROR(
HLOOKUP(
MAX(Sheet_PhaiThu!$D$1:$XFD$1),
Sheet_PhaiThu!$C$1:$XFD$5,Sheet_PhaiThu!$B$2,0
),
0))
-J88</f>
        <v>700000</v>
      </c>
      <c r="K77" s="359">
        <f>IFERROR(
HLOOKUP(
DATE(K$1,12,1),
Sheet_PhaiThu!$C$1:$XFD$5,Sheet_PhaiThu!$B$2,0
),
IFERROR(
HLOOKUP(
MAX(Sheet_PhaiThu!$D$1:$XFD$1),
Sheet_PhaiThu!$C$1:$XFD$5,Sheet_PhaiThu!$B$2,0
),
0))
-K88</f>
        <v>700000</v>
      </c>
      <c r="L77" s="240"/>
      <c r="M77" s="362">
        <v>131</v>
      </c>
      <c r="N77" s="72" t="s">
        <v>437</v>
      </c>
      <c r="O77" s="368">
        <f>IFERROR(
HLOOKUP(
O$1,Sheet_PhaiThu!$C$1:$XFD$5,Sheet_PhaiThu!$B$2,0
),0)
-O88</f>
        <v>0</v>
      </c>
      <c r="P77" s="368">
        <f>IFERROR(
HLOOKUP(
P$1,Sheet_PhaiThu!$C$1:$XFD$5,Sheet_PhaiThu!$B$2,0
),0)
-P88</f>
        <v>0</v>
      </c>
      <c r="Q77" s="263"/>
      <c r="R77" s="263"/>
      <c r="S77" s="263"/>
      <c r="T77" s="263"/>
      <c r="U77" s="263"/>
      <c r="V77" s="263"/>
      <c r="W77" s="263"/>
      <c r="X77" s="263"/>
      <c r="Y77" s="263"/>
      <c r="Z77" s="263"/>
      <c r="AA77" s="263"/>
      <c r="AB77" s="263"/>
      <c r="AC77" s="263"/>
      <c r="AD77" s="263"/>
      <c r="AE77" s="263"/>
      <c r="AF77" s="263"/>
      <c r="AG77" s="263"/>
      <c r="AH77" s="263"/>
      <c r="AI77" s="263"/>
      <c r="AJ77" s="263"/>
      <c r="AK77" s="263"/>
      <c r="AL77" s="263"/>
      <c r="AM77" s="242"/>
    </row>
    <row r="78" spans="1:39" ht="18" customHeight="1" outlineLevel="3" x14ac:dyDescent="0.15">
      <c r="A78" s="240">
        <f t="shared" si="1"/>
        <v>75</v>
      </c>
      <c r="B78" s="362">
        <v>132</v>
      </c>
      <c r="C78" s="72" t="s">
        <v>438</v>
      </c>
      <c r="D78" s="359">
        <f>Sheet_PhaiTra!D4-D89</f>
        <v>0</v>
      </c>
      <c r="E78" s="359">
        <f xml:space="preserve">
IFERROR(
IF(BCTC_Thang = 1,
HLOOKUP(
DATE(BCTC_Nam-1,12,1),Sheet_PhaiTra!$B$1:$XFD$9,Sheet_PhaiTra!$A$4,0
),
HLOOKUP(
DATE(BCTC_Nam,BCTC_Thang-1,1),Sheet_PhaiTra!$B$1:$XFD$9,Sheet_PhaiTra!$A$4,0
)),0)
-E89</f>
        <v>0</v>
      </c>
      <c r="F78" s="368">
        <f xml:space="preserve">
IFERROR(
HLOOKUP(
DATE(BCTC_Nam,BCTC_Thang,1),Sheet_PhaiTra!$B$1:$XFD$9,Sheet_PhaiTra!$A$4,0
),0)
-F89</f>
        <v>0</v>
      </c>
      <c r="G78" s="240"/>
      <c r="H78" s="362">
        <v>132</v>
      </c>
      <c r="I78" s="72" t="s">
        <v>438</v>
      </c>
      <c r="J78" s="359">
        <f>IFERROR(
HLOOKUP(
DATE(J$1,12,1),
Sheet_PhaiTra!$B$1:$XFD$9,Sheet_PhaiTra!$A$4,0
),
IFERROR(
HLOOKUP(
MAX(Sheet_PhaiTra!$D$1:$XFD$1),
Sheet_PhaiTra!$B$1:$XFD$9,Sheet_PhaiTra!$A$4,0
),
0))
-J89</f>
        <v>629803</v>
      </c>
      <c r="K78" s="359">
        <f>IFERROR(
HLOOKUP(
DATE(K$1,12,1),
Sheet_PhaiTra!$B$1:$XFD$9,Sheet_PhaiTra!$A$4,0
),
IFERROR(
HLOOKUP(
MAX(Sheet_PhaiTra!$D$1:$XFD$1),
Sheet_PhaiTra!$B$1:$XFD$9,Sheet_PhaiTra!$A$4,0
),
0))
-K89</f>
        <v>629803</v>
      </c>
      <c r="L78" s="240"/>
      <c r="M78" s="362">
        <v>132</v>
      </c>
      <c r="N78" s="72" t="s">
        <v>438</v>
      </c>
      <c r="O78" s="368">
        <f xml:space="preserve">
IFERROR(
HLOOKUP(
O$1,Sheet_PhaiTra!$B$1:$XFD$9,Sheet_PhaiTra!$A$4,0
),0)
-O89</f>
        <v>0</v>
      </c>
      <c r="P78" s="368">
        <f xml:space="preserve">
IFERROR(
HLOOKUP(
P$1,Sheet_PhaiTra!$B$1:$XFD$9,Sheet_PhaiTra!$A$4,0
),0)
-P89</f>
        <v>0</v>
      </c>
      <c r="Q78" s="263"/>
      <c r="R78" s="263"/>
      <c r="S78" s="263"/>
      <c r="T78" s="263"/>
      <c r="U78" s="263"/>
      <c r="V78" s="263"/>
      <c r="W78" s="263"/>
      <c r="X78" s="263"/>
      <c r="Y78" s="263"/>
      <c r="Z78" s="263"/>
      <c r="AA78" s="263"/>
      <c r="AB78" s="263"/>
      <c r="AC78" s="263"/>
      <c r="AD78" s="263"/>
      <c r="AE78" s="263"/>
      <c r="AF78" s="263"/>
      <c r="AG78" s="263"/>
      <c r="AH78" s="263"/>
      <c r="AI78" s="263"/>
      <c r="AJ78" s="263"/>
      <c r="AK78" s="263"/>
      <c r="AL78" s="263"/>
      <c r="AM78" s="242"/>
    </row>
    <row r="79" spans="1:39" ht="18" customHeight="1" outlineLevel="3" x14ac:dyDescent="0.15">
      <c r="A79" s="240">
        <f t="shared" si="1"/>
        <v>76</v>
      </c>
      <c r="B79" s="362">
        <v>133</v>
      </c>
      <c r="C79" s="72" t="s">
        <v>439</v>
      </c>
      <c r="D79" s="359">
        <f>Sheet_PhaiTra!D8-D90</f>
        <v>0</v>
      </c>
      <c r="E79" s="359">
        <f>IFERROR(
IF(BCTC_Thang = 1,
HLOOKUP(
DATE(BCTC_Nam-1,12,1),Sheet_PhaiTra!$B$1:$XFD$9,Sheet_PhaiTra!$A$8,0
),
HLOOKUP(
DATE(BCTC_Nam,BCTC_Thang-1,1),Sheet_PhaiTra!$B$1:$XFD$9,Sheet_PhaiTra!$A$8,0
)),0)
-E90</f>
        <v>0</v>
      </c>
      <c r="F79" s="368">
        <f>IFERROR(
HLOOKUP(
DATE(BCTC_Nam,BCTC_Thang,1),Sheet_PhaiTra!$B$1:$XFD$9,Sheet_PhaiTra!$A$8,0
),0)
-F90</f>
        <v>0</v>
      </c>
      <c r="G79" s="240"/>
      <c r="H79" s="362">
        <v>133</v>
      </c>
      <c r="I79" s="72" t="s">
        <v>439</v>
      </c>
      <c r="J79" s="359">
        <f>IFERROR(
HLOOKUP(
DATE(J$1,12,1),
Sheet_PhaiTra!$B$1:$XFD$9,Sheet_PhaiTra!$A$8,0
),
IFERROR(
HLOOKUP(
MAX(Sheet_PhaiTra!$D$1:$XFD$1),
Sheet_PhaiTra!$B$1:$XFD$9,Sheet_PhaiTra!$A$8,0
),
0))
-J90</f>
        <v>0</v>
      </c>
      <c r="K79" s="359">
        <f>IFERROR(
HLOOKUP(
DATE(K$1,12,1),
Sheet_PhaiTra!$B$1:$XFD$9,Sheet_PhaiTra!$A$8,0
),
IFERROR(
HLOOKUP(
MAX(Sheet_PhaiTra!$D$1:$XFD$1),
Sheet_PhaiTra!$B$1:$XFD$9,Sheet_PhaiTra!$A$8,0
),
0))
-K90</f>
        <v>0</v>
      </c>
      <c r="L79" s="240"/>
      <c r="M79" s="362">
        <v>133</v>
      </c>
      <c r="N79" s="72" t="s">
        <v>439</v>
      </c>
      <c r="O79" s="368">
        <f xml:space="preserve">
IFERROR(
HLOOKUP(
O$1,Sheet_PhaiTra!$B$1:$XFD$9,Sheet_PhaiTra!$A$8,0
),0)
-O90</f>
        <v>0</v>
      </c>
      <c r="P79" s="368">
        <f xml:space="preserve">
IFERROR(
HLOOKUP(
P$1,Sheet_PhaiTra!$B$1:$XFD$9,Sheet_PhaiTra!$A$8,0
),0)
-P90</f>
        <v>0</v>
      </c>
      <c r="Q79" s="263"/>
      <c r="R79" s="263"/>
      <c r="S79" s="263"/>
      <c r="T79" s="263"/>
      <c r="U79" s="263"/>
      <c r="V79" s="263"/>
      <c r="W79" s="263"/>
      <c r="X79" s="263"/>
      <c r="Y79" s="263"/>
      <c r="Z79" s="263"/>
      <c r="AA79" s="263"/>
      <c r="AB79" s="263"/>
      <c r="AC79" s="263"/>
      <c r="AD79" s="263"/>
      <c r="AE79" s="263"/>
      <c r="AF79" s="263"/>
      <c r="AG79" s="263"/>
      <c r="AH79" s="263"/>
      <c r="AI79" s="263"/>
      <c r="AJ79" s="263"/>
      <c r="AK79" s="263"/>
      <c r="AL79" s="263"/>
      <c r="AM79" s="242"/>
    </row>
    <row r="80" spans="1:39" ht="18" customHeight="1" outlineLevel="3" x14ac:dyDescent="0.15">
      <c r="A80" s="240">
        <f t="shared" si="1"/>
        <v>77</v>
      </c>
      <c r="B80" s="362">
        <v>135</v>
      </c>
      <c r="C80" s="72" t="s">
        <v>440</v>
      </c>
      <c r="D80" s="359">
        <v>0</v>
      </c>
      <c r="E80" s="359" cm="1">
        <f t="array" ref="E80">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0" s="368" cm="1">
        <f t="array" ref="F80">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0" s="240"/>
      <c r="H80" s="362">
        <v>135</v>
      </c>
      <c r="I80" s="72" t="s">
        <v>440</v>
      </c>
      <c r="J80" s="359" cm="1">
        <f t="array" ref="J80"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0" s="359" cm="1">
        <f t="array" ref="K80"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0" s="240"/>
      <c r="M80" s="362">
        <v>135</v>
      </c>
      <c r="N80" s="72" t="s">
        <v>440</v>
      </c>
      <c r="O80" s="371" cm="1">
        <f t="array" aca="1" ref="O80"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0" s="371" cm="1">
        <f t="array" aca="1" ref="P80"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0" s="263"/>
      <c r="R80" s="263"/>
      <c r="S80" s="263"/>
      <c r="T80" s="263"/>
      <c r="U80" s="263"/>
      <c r="V80" s="263"/>
      <c r="W80" s="263"/>
      <c r="X80" s="263"/>
      <c r="Y80" s="263"/>
      <c r="Z80" s="263"/>
      <c r="AA80" s="263"/>
      <c r="AB80" s="263"/>
      <c r="AC80" s="263"/>
      <c r="AD80" s="263"/>
      <c r="AE80" s="263"/>
      <c r="AF80" s="263"/>
      <c r="AG80" s="263"/>
      <c r="AH80" s="263"/>
      <c r="AI80" s="263"/>
      <c r="AJ80" s="263"/>
      <c r="AK80" s="263"/>
      <c r="AL80" s="263"/>
      <c r="AM80" s="242"/>
    </row>
    <row r="81" spans="1:39" ht="18" customHeight="1" outlineLevel="3" x14ac:dyDescent="0.15">
      <c r="A81" s="240">
        <f t="shared" si="1"/>
        <v>78</v>
      </c>
      <c r="B81" s="362" t="s">
        <v>441</v>
      </c>
      <c r="C81" s="72" t="s">
        <v>442</v>
      </c>
      <c r="D81" s="359">
        <v>0</v>
      </c>
      <c r="E81" s="359" cm="1">
        <f t="array" ref="E81" xml:space="preserve">
-IF(BCTC_Thang = 1,
IFERROR(
SUM(_xlfn._xlws.FILTER(Table_DuPhong[Dự phòng lũy kế],
(Table_DuPhong[Kỳ]= DATE(BCTC_Nam-1, 12, 1))
)),0),
IFERROR(
SUM(_xlfn._xlws.FILTER(Table_DuPhong[Dự phòng lũy kế],
(Table_DuPhong[Kỳ]= DATE(BCTC_Nam, BCTC_Thang -1, 1))
)),0))</f>
        <v>0</v>
      </c>
      <c r="F81" s="360" cm="1">
        <f t="array" ref="F81" xml:space="preserve">
-IFERROR(
SUM(_xlfn._xlws.FILTER(Table_DuPhong[Dự phòng lũy kế],
(Table_DuPhong[Kỳ]= DATE(BCTC_Nam, BCTC_Thang, 1))
)),0)</f>
        <v>0</v>
      </c>
      <c r="G81" s="240"/>
      <c r="H81" s="362" t="s">
        <v>441</v>
      </c>
      <c r="I81" s="72" t="s">
        <v>442</v>
      </c>
      <c r="J81" s="359" cm="1">
        <f t="array" ref="J81" xml:space="preserve">
IFERROR(
SUM(
_xlfn._xlws.FILTER(Table_DuPhong[Dự phòng lũy kế],
(Table_DuPhong[Kỳ]= DATE(J$1,12,1))
)),
IFERROR(
SUM(
_xlfn._xlws.FILTER(Table_DuPhong[Dự phòng lũy kế],
(Table_DuPhong[Kỳ]= MAX(Table_DuPhong[Kỳ]))
)),
0)
)</f>
        <v>300000</v>
      </c>
      <c r="K81" s="359" cm="1">
        <f t="array" ref="K81" xml:space="preserve">
IFERROR(
SUM(
_xlfn._xlws.FILTER(Table_DuPhong[Dự phòng lũy kế],
(Table_DuPhong[Kỳ]= DATE(K$1,12,1))
)),
IFERROR(
SUM(
_xlfn._xlws.FILTER(Table_DuPhong[Dự phòng lũy kế],
(Table_DuPhong[Kỳ]= MAX(Table_DuPhong[Kỳ]))
)),
0)
)</f>
        <v>300000</v>
      </c>
      <c r="L81" s="240"/>
      <c r="M81" s="362" t="s">
        <v>441</v>
      </c>
      <c r="N81" s="72" t="s">
        <v>442</v>
      </c>
      <c r="O81" s="360" cm="1">
        <f t="array" ref="O81" xml:space="preserve">
-IFERROR(
SUM(_xlfn._xlws.FILTER(Table_DuPhong[Dự phòng lũy kế],
(Table_DuPhong[Kỳ]= O$1)
)),0)</f>
        <v>0</v>
      </c>
      <c r="P81" s="360" cm="1">
        <f t="array" ref="P81" xml:space="preserve">
-IFERROR(
SUM(_xlfn._xlws.FILTER(Table_DuPhong[Dự phòng lũy kế],
(Table_DuPhong[Kỳ]= P$1)
)),0)</f>
        <v>0</v>
      </c>
      <c r="Q81" s="263"/>
      <c r="R81" s="263"/>
      <c r="S81" s="263"/>
      <c r="T81" s="263"/>
      <c r="U81" s="263"/>
      <c r="V81" s="263"/>
      <c r="W81" s="263"/>
      <c r="X81" s="263"/>
      <c r="Y81" s="263"/>
      <c r="Z81" s="263"/>
      <c r="AA81" s="263"/>
      <c r="AB81" s="263"/>
      <c r="AC81" s="263"/>
      <c r="AD81" s="263"/>
      <c r="AE81" s="263"/>
      <c r="AF81" s="263"/>
      <c r="AG81" s="263"/>
      <c r="AH81" s="263"/>
      <c r="AI81" s="263"/>
      <c r="AJ81" s="263"/>
      <c r="AK81" s="263"/>
      <c r="AL81" s="263"/>
      <c r="AM81" s="242"/>
    </row>
    <row r="82" spans="1:39" ht="18" customHeight="1" outlineLevel="2" x14ac:dyDescent="0.15">
      <c r="A82" s="240">
        <f t="shared" si="1"/>
        <v>79</v>
      </c>
      <c r="B82" s="257">
        <v>140</v>
      </c>
      <c r="C82" s="73" t="s">
        <v>443</v>
      </c>
      <c r="D82" s="242">
        <f>+SUM(D83:D84)</f>
        <v>0</v>
      </c>
      <c r="E82" s="242">
        <f>+SUM(E83:E84)</f>
        <v>0</v>
      </c>
      <c r="F82" s="242">
        <f>+SUM(F83:F84)</f>
        <v>0</v>
      </c>
      <c r="G82" s="240"/>
      <c r="H82" s="257">
        <v>140</v>
      </c>
      <c r="I82" s="73" t="s">
        <v>443</v>
      </c>
      <c r="J82" s="242">
        <f>+SUM(J83:J84)</f>
        <v>51977550.321573563</v>
      </c>
      <c r="K82" s="242">
        <f>+SUM(K83:K84)</f>
        <v>51977550.321573563</v>
      </c>
      <c r="L82" s="240"/>
      <c r="M82" s="257">
        <v>140</v>
      </c>
      <c r="N82" s="73" t="s">
        <v>443</v>
      </c>
      <c r="O82" s="242">
        <f>+SUM(O83:O84)</f>
        <v>0</v>
      </c>
      <c r="P82" s="242">
        <f>+SUM(P83:P84)</f>
        <v>0</v>
      </c>
      <c r="Q82" s="263"/>
      <c r="R82" s="263"/>
      <c r="S82" s="263"/>
      <c r="T82" s="263"/>
      <c r="U82" s="263"/>
      <c r="V82" s="263"/>
      <c r="W82" s="263"/>
      <c r="X82" s="263"/>
      <c r="Y82" s="263"/>
      <c r="Z82" s="263"/>
      <c r="AA82" s="263"/>
      <c r="AB82" s="263"/>
      <c r="AC82" s="263"/>
      <c r="AD82" s="263"/>
      <c r="AE82" s="263"/>
      <c r="AF82" s="263"/>
      <c r="AG82" s="263"/>
      <c r="AH82" s="263"/>
      <c r="AI82" s="263"/>
      <c r="AJ82" s="263"/>
      <c r="AK82" s="263"/>
      <c r="AL82" s="263"/>
      <c r="AM82" s="242"/>
    </row>
    <row r="83" spans="1:39" ht="18" customHeight="1" outlineLevel="3" x14ac:dyDescent="0.15">
      <c r="A83" s="240">
        <f t="shared" si="1"/>
        <v>80</v>
      </c>
      <c r="B83" s="362" t="s">
        <v>444</v>
      </c>
      <c r="C83" s="72" t="s">
        <v>445</v>
      </c>
      <c r="D83" s="368" cm="1">
        <f t="array" ref="D83" xml:space="preserve">
IFERROR(
SUM(_xlfn._xlws.FILTER(Table_Main[Giá trị hàng nhập],
(Table_Main[Đơn Mua] = "TONKHODAU")
)), 0)</f>
        <v>0</v>
      </c>
      <c r="E83" s="360" cm="1">
        <f t="array" ref="E83" xml:space="preserve">
IF(BCTC_Thang = 1,
IFERROR(
SUM(_xlfn._xlws.FILTER(Table_TonKho[Giá trị cuối kỳ],
Table_TonKho[Kỳ] = DATE(BCTC_Nam-1,12,1)
)), 0),
IFERROR(
SUM(_xlfn._xlws.FILTER(Table_TonKho[Giá trị cuối kỳ],
Table_TonKho[Kỳ] = DATE(BCTC_Nam,BCTC_Thang-1,1)
)), 0))</f>
        <v>0</v>
      </c>
      <c r="F83" s="360" cm="1">
        <f t="array" ref="F83" xml:space="preserve">
IFERROR(
SUM(_xlfn._xlws.FILTER(Table_TonKho[Giá trị cuối kỳ],
Table_TonKho[Kỳ] = DATE(BCTC_Nam,BCTC_Thang,1)
)), 0)</f>
        <v>0</v>
      </c>
      <c r="G83" s="240"/>
      <c r="H83" s="362" t="s">
        <v>444</v>
      </c>
      <c r="I83" s="72" t="s">
        <v>445</v>
      </c>
      <c r="J83" s="360" cm="1">
        <f t="array" ref="J83">IFERROR(
SUM(
_xlfn._xlws.FILTER(Table_TonKho[Giá trị cuối kỳ],
Table_TonKho[Kỳ] = DATE(J$1,12,1)
)),
IFERROR(
SUM(
_xlfn._xlws.FILTER(Table_TonKho[Giá trị cuối kỳ],
Table_TonKho[Kỳ] = MAX(Table_TonKho[Kỳ])
)),
0)
)</f>
        <v>48256476.901479587</v>
      </c>
      <c r="K83" s="360" cm="1">
        <f t="array" ref="K83">IFERROR(
SUM(
_xlfn._xlws.FILTER(Table_TonKho[Giá trị cuối kỳ],
Table_TonKho[Kỳ] = DATE(K$1,12,1)
)),
IFERROR(
SUM(
_xlfn._xlws.FILTER(Table_TonKho[Giá trị cuối kỳ],
Table_TonKho[Kỳ] = MAX(Table_TonKho[Kỳ])
)),
0)
)</f>
        <v>48256476.901479587</v>
      </c>
      <c r="L83" s="240"/>
      <c r="M83" s="362" t="s">
        <v>444</v>
      </c>
      <c r="N83" s="72" t="s">
        <v>445</v>
      </c>
      <c r="O83" s="360" cm="1">
        <f t="array" ref="O83" xml:space="preserve">
IFERROR(
SUM(_xlfn._xlws.FILTER(Table_TonKho[Giá trị cuối kỳ],
Table_TonKho[Kỳ] = O$1)), 0)</f>
        <v>0</v>
      </c>
      <c r="P83" s="360" cm="1">
        <f t="array" ref="P83" xml:space="preserve">
IFERROR(
SUM(_xlfn._xlws.FILTER(Table_TonKho[Giá trị cuối kỳ],
Table_TonKho[Kỳ] = P$1)), 0)</f>
        <v>0</v>
      </c>
      <c r="Q83" s="263"/>
      <c r="R83" s="263"/>
      <c r="S83" s="263"/>
      <c r="T83" s="263"/>
      <c r="U83" s="263"/>
      <c r="V83" s="263"/>
      <c r="W83" s="263"/>
      <c r="X83" s="263"/>
      <c r="Y83" s="263"/>
      <c r="Z83" s="263"/>
      <c r="AA83" s="263"/>
      <c r="AB83" s="263"/>
      <c r="AC83" s="263"/>
      <c r="AD83" s="263"/>
      <c r="AE83" s="263"/>
      <c r="AF83" s="263"/>
      <c r="AG83" s="263"/>
      <c r="AH83" s="263"/>
      <c r="AI83" s="263"/>
      <c r="AJ83" s="263"/>
      <c r="AK83" s="263"/>
      <c r="AL83" s="263"/>
      <c r="AM83" s="242"/>
    </row>
    <row r="84" spans="1:39" ht="18" customHeight="1" outlineLevel="3" x14ac:dyDescent="0.15">
      <c r="A84" s="240">
        <f t="shared" si="1"/>
        <v>81</v>
      </c>
      <c r="B84" s="362" t="s">
        <v>446</v>
      </c>
      <c r="C84" s="72" t="s">
        <v>447</v>
      </c>
      <c r="D84" s="368">
        <v>0</v>
      </c>
      <c r="E84" s="360" cm="1">
        <f t="array" ref="E84" xml:space="preserve">
-IF(BCTC_Thang = 1,
IFERROR(
SUM(_xlfn._xlws.FILTER(Table_TonKho[Dự phòng lũy kế],
(Table_TonKho[Kỳ]= DATE(BCTC_Nam-1, 12, 1))
)),0),
IFERROR(
SUM(_xlfn._xlws.FILTER(Table_TonKho[Dự phòng lũy kế],
(Table_TonKho[Kỳ]= DATE(BCTC_Nam, BCTC_Thang -1, 1))
)),0))</f>
        <v>0</v>
      </c>
      <c r="F84" s="360" cm="1">
        <f t="array" ref="F84" xml:space="preserve">
-IFERROR(
SUM(_xlfn._xlws.FILTER(Table_TonKho[Dự phòng lũy kế],
(Table_TonKho[Kỳ]= DATE(BCTC_Nam, BCTC_Thang, 1))
)),0)</f>
        <v>0</v>
      </c>
      <c r="G84" s="240"/>
      <c r="H84" s="362" t="s">
        <v>446</v>
      </c>
      <c r="I84" s="72" t="s">
        <v>447</v>
      </c>
      <c r="J84" s="360" cm="1">
        <f t="array" ref="J84">-IFERROR(
SUM(
_xlfn._xlws.FILTER(Table_TonKho[Dự phòng lũy kế],
(Table_TonKho[Kỳ]= DATE(J$1,12,1))
)),
-IFERROR(
SUM(
_xlfn._xlws.FILTER(Table_TonKho[Dự phòng lũy kế],
(Table_TonKho[Kỳ]= MAX(Table_TonKho[Kỳ]))
)),
0)
)</f>
        <v>3721073.420093975</v>
      </c>
      <c r="K84" s="360" cm="1">
        <f t="array" ref="K84">-IFERROR(
SUM(
_xlfn._xlws.FILTER(Table_TonKho[Dự phòng lũy kế],
(Table_TonKho[Kỳ]= DATE(K$1,12,1))
)),
-IFERROR(
SUM(
_xlfn._xlws.FILTER(Table_TonKho[Dự phòng lũy kế],
(Table_TonKho[Kỳ]= MAX(Table_TonKho[Kỳ]))
)),
0)
)</f>
        <v>3721073.420093975</v>
      </c>
      <c r="L84" s="240"/>
      <c r="M84" s="362" t="s">
        <v>446</v>
      </c>
      <c r="N84" s="72" t="s">
        <v>447</v>
      </c>
      <c r="O84" s="360" cm="1">
        <f t="array" ref="O84" xml:space="preserve">
-IFERROR(
SUM(_xlfn._xlws.FILTER(Table_TonKho[Dự phòng lũy kế],
(Table_TonKho[Kỳ]= O$1)
)),0)</f>
        <v>0</v>
      </c>
      <c r="P84" s="360" cm="1">
        <f t="array" ref="P84" xml:space="preserve">
-IFERROR(
SUM(_xlfn._xlws.FILTER(Table_TonKho[Dự phòng lũy kế],
(Table_TonKho[Kỳ]= P$1)
)),0)</f>
        <v>0</v>
      </c>
      <c r="Q84" s="263"/>
      <c r="R84" s="263"/>
      <c r="S84" s="263"/>
      <c r="T84" s="263"/>
      <c r="U84" s="263"/>
      <c r="V84" s="263"/>
      <c r="W84" s="263"/>
      <c r="X84" s="263"/>
      <c r="Y84" s="263"/>
      <c r="Z84" s="263"/>
      <c r="AA84" s="263"/>
      <c r="AB84" s="263"/>
      <c r="AC84" s="263"/>
      <c r="AD84" s="263"/>
      <c r="AE84" s="263"/>
      <c r="AF84" s="263"/>
      <c r="AG84" s="263"/>
      <c r="AH84" s="263"/>
      <c r="AI84" s="263"/>
      <c r="AJ84" s="263"/>
      <c r="AK84" s="263"/>
      <c r="AL84" s="263"/>
      <c r="AM84" s="242"/>
    </row>
    <row r="85" spans="1:39" ht="18" customHeight="1" outlineLevel="2" x14ac:dyDescent="0.15">
      <c r="A85" s="240">
        <f t="shared" si="1"/>
        <v>82</v>
      </c>
      <c r="B85" s="257">
        <v>150</v>
      </c>
      <c r="C85" s="73" t="s">
        <v>448</v>
      </c>
      <c r="D85" s="242">
        <v>0</v>
      </c>
      <c r="E85" s="242"/>
      <c r="F85" s="242"/>
      <c r="G85" s="240"/>
      <c r="H85" s="257">
        <v>150</v>
      </c>
      <c r="I85" s="73" t="s">
        <v>448</v>
      </c>
      <c r="J85" s="242"/>
      <c r="K85" s="242"/>
      <c r="L85" s="240"/>
      <c r="M85" s="257">
        <v>150</v>
      </c>
      <c r="N85" s="73" t="s">
        <v>448</v>
      </c>
      <c r="O85" s="242"/>
      <c r="P85" s="242"/>
      <c r="Q85" s="263"/>
      <c r="R85" s="263"/>
      <c r="S85" s="263"/>
      <c r="T85" s="263"/>
      <c r="U85" s="263"/>
      <c r="V85" s="263"/>
      <c r="W85" s="263"/>
      <c r="X85" s="263"/>
      <c r="Y85" s="263"/>
      <c r="Z85" s="263"/>
      <c r="AA85" s="263"/>
      <c r="AB85" s="263"/>
      <c r="AC85" s="263"/>
      <c r="AD85" s="263"/>
      <c r="AE85" s="263"/>
      <c r="AF85" s="263"/>
      <c r="AG85" s="263"/>
      <c r="AH85" s="263"/>
      <c r="AI85" s="263"/>
      <c r="AJ85" s="263"/>
      <c r="AK85" s="263"/>
      <c r="AL85" s="263"/>
      <c r="AM85" s="242"/>
    </row>
    <row r="86" spans="1:39" ht="18" customHeight="1" outlineLevel="1" x14ac:dyDescent="0.15">
      <c r="A86" s="240">
        <f t="shared" si="1"/>
        <v>83</v>
      </c>
      <c r="B86" s="369">
        <v>200</v>
      </c>
      <c r="C86" s="77" t="s">
        <v>449</v>
      </c>
      <c r="D86" s="370">
        <f>+D96+D95+D94+D91+D87</f>
        <v>8658472222.2222214</v>
      </c>
      <c r="E86" s="370">
        <f>+E96+E95+E94+E91+E87</f>
        <v>0</v>
      </c>
      <c r="F86" s="370">
        <f>+F96+F95+F94+F91+F87</f>
        <v>0</v>
      </c>
      <c r="G86" s="240"/>
      <c r="H86" s="369">
        <v>200</v>
      </c>
      <c r="I86" s="77" t="s">
        <v>449</v>
      </c>
      <c r="J86" s="370">
        <f>+J96+J95+J94+J91+J87</f>
        <v>0</v>
      </c>
      <c r="K86" s="370">
        <f>+K96+K95+K94+K91+K87</f>
        <v>0</v>
      </c>
      <c r="L86" s="240"/>
      <c r="M86" s="369">
        <v>200</v>
      </c>
      <c r="N86" s="77" t="s">
        <v>449</v>
      </c>
      <c r="O86" s="370">
        <f>+O96+O95+O94+O91+O87</f>
        <v>0</v>
      </c>
      <c r="P86" s="370">
        <f>+P96+P95+P94+P91+P87</f>
        <v>0</v>
      </c>
      <c r="Q86" s="263"/>
      <c r="R86" s="263"/>
      <c r="S86" s="263"/>
      <c r="T86" s="263"/>
      <c r="U86" s="263"/>
      <c r="V86" s="263"/>
      <c r="W86" s="263"/>
      <c r="X86" s="263"/>
      <c r="Y86" s="263"/>
      <c r="Z86" s="263"/>
      <c r="AA86" s="263"/>
      <c r="AB86" s="263"/>
      <c r="AC86" s="263"/>
      <c r="AD86" s="263"/>
      <c r="AE86" s="263"/>
      <c r="AF86" s="263"/>
      <c r="AG86" s="263"/>
      <c r="AH86" s="263"/>
      <c r="AI86" s="263"/>
      <c r="AJ86" s="263"/>
      <c r="AK86" s="263"/>
      <c r="AL86" s="263"/>
      <c r="AM86" s="242"/>
    </row>
    <row r="87" spans="1:39" ht="18" customHeight="1" outlineLevel="2" x14ac:dyDescent="0.15">
      <c r="A87" s="240">
        <f t="shared" si="1"/>
        <v>84</v>
      </c>
      <c r="B87" s="257">
        <v>210</v>
      </c>
      <c r="C87" s="73" t="s">
        <v>450</v>
      </c>
      <c r="D87" s="242">
        <f>+SUM(D88:D90)</f>
        <v>0</v>
      </c>
      <c r="E87" s="242">
        <f>+SUM(E88:E90)</f>
        <v>0</v>
      </c>
      <c r="F87" s="242">
        <f>+SUM(F88:F90)</f>
        <v>0</v>
      </c>
      <c r="G87" s="240"/>
      <c r="H87" s="257">
        <v>210</v>
      </c>
      <c r="I87" s="73" t="s">
        <v>450</v>
      </c>
      <c r="J87" s="242">
        <f>+SUM(J88:J90)</f>
        <v>0</v>
      </c>
      <c r="K87" s="242">
        <f>+SUM(K88:K90)</f>
        <v>0</v>
      </c>
      <c r="L87" s="240"/>
      <c r="M87" s="257">
        <v>210</v>
      </c>
      <c r="N87" s="73" t="s">
        <v>450</v>
      </c>
      <c r="O87" s="242">
        <f>+SUM(O88:O90)</f>
        <v>0</v>
      </c>
      <c r="P87" s="242">
        <f>+SUM(P88:P90)</f>
        <v>0</v>
      </c>
      <c r="Q87" s="263"/>
      <c r="R87" s="263"/>
      <c r="S87" s="263"/>
      <c r="T87" s="263"/>
      <c r="U87" s="263"/>
      <c r="V87" s="263"/>
      <c r="W87" s="263"/>
      <c r="X87" s="263"/>
      <c r="Y87" s="263"/>
      <c r="Z87" s="263"/>
      <c r="AA87" s="263"/>
      <c r="AB87" s="263"/>
      <c r="AC87" s="263"/>
      <c r="AD87" s="263"/>
      <c r="AE87" s="263"/>
      <c r="AF87" s="263"/>
      <c r="AG87" s="263"/>
      <c r="AH87" s="263"/>
      <c r="AI87" s="263"/>
      <c r="AJ87" s="263"/>
      <c r="AK87" s="263"/>
      <c r="AL87" s="263"/>
      <c r="AM87" s="242"/>
    </row>
    <row r="88" spans="1:39" ht="18" customHeight="1" outlineLevel="3" x14ac:dyDescent="0.15">
      <c r="A88" s="240">
        <f t="shared" si="1"/>
        <v>85</v>
      </c>
      <c r="B88" s="362">
        <v>211</v>
      </c>
      <c r="C88" s="72" t="s">
        <v>451</v>
      </c>
      <c r="D88" s="359">
        <f>Sheet_PhaiThu!D3</f>
        <v>0</v>
      </c>
      <c r="E88" s="359">
        <f xml:space="preserve">
IFERROR(
IF(BCTC_Thang = 1,
HLOOKUP(
DATE(BCTC_Nam-1,12,1),Sheet_PhaiThu!$C$1:$XFD$5,Sheet_PhaiThu!$B$3,0
),
HLOOKUP(
DATE(BCTC_Nam,BCTC_Thang-1,1),Sheet_PhaiThu!$C$1:$XFD$5,Sheet_PhaiThu!$B$3,0
)),0)</f>
        <v>0</v>
      </c>
      <c r="F88" s="368">
        <f xml:space="preserve">
IFERROR(
HLOOKUP(
DATE(BCTC_Nam,BCTC_Thang,1),Sheet_PhaiThu!$C$1:$XFD$5,Sheet_PhaiThu!$B$3,0
),0)</f>
        <v>0</v>
      </c>
      <c r="G88" s="240"/>
      <c r="H88" s="362">
        <v>211</v>
      </c>
      <c r="I88" s="72" t="s">
        <v>451</v>
      </c>
      <c r="J88" s="359">
        <f>IFERROR(
HLOOKUP(
DATE(J$1,12,1),
Sheet_PhaiThu!$C$1:$XFD$5,Sheet_PhaiThu!$B$3,0
),
IFERROR(
HLOOKUP(
MAX(Sheet_PhaiThu!$D$1:$XFD$1),
Sheet_PhaiThu!$C$1:$XFD$5,Sheet_PhaiThu!$B$3,0
),
0))</f>
        <v>0</v>
      </c>
      <c r="K88" s="359">
        <f>IFERROR(
HLOOKUP(
DATE(K$1,12,1),
Sheet_PhaiThu!$C$1:$XFD$5,Sheet_PhaiThu!$B$3,0
),
IFERROR(
HLOOKUP(
MAX(Sheet_PhaiThu!$D$1:$XFD$1),
Sheet_PhaiThu!$C$1:$XFD$5,Sheet_PhaiThu!$B$3,0
),
0))</f>
        <v>0</v>
      </c>
      <c r="L88" s="240"/>
      <c r="M88" s="362">
        <v>211</v>
      </c>
      <c r="N88" s="72" t="s">
        <v>451</v>
      </c>
      <c r="O88" s="368">
        <f>IFERROR(
HLOOKUP(
O$1,Sheet_PhaiThu!$C$1:$XFD$5,Sheet_PhaiThu!$B$3,0
),0)</f>
        <v>0</v>
      </c>
      <c r="P88" s="368">
        <f>IFERROR(
HLOOKUP(
P$1,Sheet_PhaiThu!$C$1:$XFD$5,Sheet_PhaiThu!$B$3,0
),0)</f>
        <v>0</v>
      </c>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42"/>
    </row>
    <row r="89" spans="1:39" ht="18" customHeight="1" outlineLevel="3" x14ac:dyDescent="0.15">
      <c r="A89" s="240">
        <f t="shared" si="1"/>
        <v>86</v>
      </c>
      <c r="B89" s="362">
        <v>212</v>
      </c>
      <c r="C89" s="72" t="s">
        <v>452</v>
      </c>
      <c r="D89" s="359">
        <f>Sheet_PhaiTra!D5</f>
        <v>0</v>
      </c>
      <c r="E89" s="359">
        <f xml:space="preserve">
IFERROR(
IF(BCTC_Thang = 1,
HLOOKUP(
DATE(BCTC_Nam-1,12,1),Sheet_PhaiTra!$B$1:$XFD$9,Sheet_PhaiTra!$A$5,0
),
HLOOKUP(
DATE(BCTC_Nam,BCTC_Thang-1,1),Sheet_PhaiTra!$B$1:$XFD$9,Sheet_PhaiTra!$A$5,0
)),0)</f>
        <v>0</v>
      </c>
      <c r="F89" s="368">
        <f>IFERROR(
HLOOKUP(
DATE(BCTC_Nam,BCTC_Thang,1),Sheet_PhaiTra!$B$1:$XFD$9,Sheet_PhaiTra!$A$5,0
),0)</f>
        <v>0</v>
      </c>
      <c r="G89" s="240"/>
      <c r="H89" s="362">
        <v>212</v>
      </c>
      <c r="I89" s="72" t="s">
        <v>452</v>
      </c>
      <c r="J89" s="359">
        <f>IFERROR(
HLOOKUP(
DATE(J$1,12,1),
Sheet_PhaiTra!$B$1:$XFD$9,Sheet_PhaiTra!$A$5,0
),
IFERROR(
HLOOKUP(
MAX(Sheet_PhaiTra!$D$1:$XFD$1),
Sheet_PhaiTra!$B$1:$XFD$9,Sheet_PhaiTra!$A$5,0
),
0))</f>
        <v>0</v>
      </c>
      <c r="K89" s="359">
        <f>IFERROR(
HLOOKUP(
DATE(K$1,12,1),
Sheet_PhaiTra!$B$1:$XFD$9,Sheet_PhaiTra!$A$5,0
),
IFERROR(
HLOOKUP(
MAX(Sheet_PhaiTra!$D$1:$XFD$1),
Sheet_PhaiTra!$B$1:$XFD$9,Sheet_PhaiTra!$A$5,0
),
0))</f>
        <v>0</v>
      </c>
      <c r="L89" s="240"/>
      <c r="M89" s="362">
        <v>212</v>
      </c>
      <c r="N89" s="72" t="s">
        <v>452</v>
      </c>
      <c r="O89" s="368">
        <f xml:space="preserve">
IFERROR(
HLOOKUP(
O$1,Sheet_PhaiTra!$B$1:$XFD$9,Sheet_PhaiTra!$A$5,0
),0)</f>
        <v>0</v>
      </c>
      <c r="P89" s="368">
        <f xml:space="preserve">
IFERROR(
HLOOKUP(
P$1,Sheet_PhaiTra!$B$1:$XFD$9,Sheet_PhaiTra!$A$5,0
),0)</f>
        <v>0</v>
      </c>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42"/>
    </row>
    <row r="90" spans="1:39" ht="18" customHeight="1" outlineLevel="3" x14ac:dyDescent="0.15">
      <c r="A90" s="240">
        <f t="shared" si="1"/>
        <v>87</v>
      </c>
      <c r="B90" s="362">
        <v>214</v>
      </c>
      <c r="C90" s="72" t="s">
        <v>453</v>
      </c>
      <c r="D90" s="359">
        <f>Sheet_PhaiTra!D9</f>
        <v>0</v>
      </c>
      <c r="E90" s="359">
        <f xml:space="preserve">
IFERROR(
IF(BCTC_Thang = 1,
HLOOKUP(
DATE(BCTC_Nam-1,12,1),Sheet_PhaiTra!$B$1:$XFD$9,Sheet_PhaiTra!$A$9,0
),
HLOOKUP(
DATE(BCTC_Nam,BCTC_Thang-1,1),Sheet_PhaiTra!$B$1:$XFD$9,Sheet_PhaiTra!$A$9,0
)),0)</f>
        <v>0</v>
      </c>
      <c r="F90" s="368">
        <f>IFERROR(HLOOKUP(
DATE(BCTC_Nam,BCTC_Thang,1),Sheet_PhaiTra!$B$1:$XFD$9,Sheet_PhaiTra!$A$9,0
),0)</f>
        <v>0</v>
      </c>
      <c r="G90" s="240"/>
      <c r="H90" s="362">
        <v>214</v>
      </c>
      <c r="I90" s="72" t="s">
        <v>453</v>
      </c>
      <c r="J90" s="359">
        <f>IFERROR(
HLOOKUP(
DATE(J$1,12,1),
Sheet_PhaiTra!$B$1:$XFD$9,Sheet_PhaiTra!$A$9,0
),
IFERROR(
HLOOKUP(
MAX(Sheet_PhaiTra!$D$1:$XFD$1),
Sheet_PhaiTra!$B$1:$XFD$9,Sheet_PhaiTra!$A$9,0
),
0))</f>
        <v>0</v>
      </c>
      <c r="K90" s="359">
        <f>IFERROR(
HLOOKUP(
DATE(K$1,12,1),
Sheet_PhaiTra!$B$1:$XFD$9,Sheet_PhaiTra!$A$9,0
),
IFERROR(
HLOOKUP(
MAX(Sheet_PhaiTra!$D$1:$XFD$1),
Sheet_PhaiTra!$B$1:$XFD$9,Sheet_PhaiTra!$A$9,0
),
0))</f>
        <v>0</v>
      </c>
      <c r="L90" s="240"/>
      <c r="M90" s="362">
        <v>214</v>
      </c>
      <c r="N90" s="72" t="s">
        <v>453</v>
      </c>
      <c r="O90" s="368">
        <f xml:space="preserve">
IFERROR(
HLOOKUP(
O$1,Sheet_PhaiTra!$B$1:$XFD$9,Sheet_PhaiTra!$A$9,0
),0)</f>
        <v>0</v>
      </c>
      <c r="P90" s="368">
        <f xml:space="preserve">
IFERROR(
HLOOKUP(
P$1,Sheet_PhaiTra!$B$1:$XFD$9,Sheet_PhaiTra!$A$9,0
),0)</f>
        <v>0</v>
      </c>
      <c r="Q90" s="263"/>
      <c r="R90" s="263"/>
      <c r="S90" s="263"/>
      <c r="T90" s="263"/>
      <c r="U90" s="263"/>
      <c r="V90" s="263"/>
      <c r="W90" s="263"/>
      <c r="X90" s="263"/>
      <c r="Y90" s="263"/>
      <c r="Z90" s="263"/>
      <c r="AA90" s="263"/>
      <c r="AB90" s="263"/>
      <c r="AC90" s="263"/>
      <c r="AD90" s="263"/>
      <c r="AE90" s="263"/>
      <c r="AF90" s="263"/>
      <c r="AG90" s="263"/>
      <c r="AH90" s="263"/>
      <c r="AI90" s="263"/>
      <c r="AJ90" s="263"/>
      <c r="AK90" s="263"/>
      <c r="AL90" s="263"/>
      <c r="AM90" s="242"/>
    </row>
    <row r="91" spans="1:39" ht="18" customHeight="1" outlineLevel="2" x14ac:dyDescent="0.15">
      <c r="A91" s="240">
        <f t="shared" si="1"/>
        <v>88</v>
      </c>
      <c r="B91" s="257">
        <v>220</v>
      </c>
      <c r="C91" s="73" t="s">
        <v>454</v>
      </c>
      <c r="D91" s="242">
        <f>+SUM(D92:D93)</f>
        <v>8658472222.2222214</v>
      </c>
      <c r="E91" s="242">
        <f>+SUM(E92:E93)</f>
        <v>0</v>
      </c>
      <c r="F91" s="242">
        <f>+SUM(F92:F93)</f>
        <v>0</v>
      </c>
      <c r="G91" s="240"/>
      <c r="H91" s="257">
        <v>220</v>
      </c>
      <c r="I91" s="73" t="s">
        <v>454</v>
      </c>
      <c r="J91" s="242">
        <f>+SUM(J92:J93)</f>
        <v>0</v>
      </c>
      <c r="K91" s="242">
        <f>+SUM(K92:K93)</f>
        <v>0</v>
      </c>
      <c r="L91" s="240"/>
      <c r="M91" s="257">
        <v>220</v>
      </c>
      <c r="N91" s="73" t="s">
        <v>454</v>
      </c>
      <c r="O91" s="242">
        <f>+SUM(O92:O93)</f>
        <v>0</v>
      </c>
      <c r="P91" s="242">
        <f>+SUM(P92:P93)</f>
        <v>0</v>
      </c>
      <c r="Q91" s="263"/>
      <c r="R91" s="263"/>
      <c r="S91" s="263"/>
      <c r="T91" s="263"/>
      <c r="U91" s="263"/>
      <c r="V91" s="263"/>
      <c r="W91" s="263"/>
      <c r="X91" s="263"/>
      <c r="Y91" s="263"/>
      <c r="Z91" s="263"/>
      <c r="AA91" s="263"/>
      <c r="AB91" s="263"/>
      <c r="AC91" s="263"/>
      <c r="AD91" s="263"/>
      <c r="AE91" s="263"/>
      <c r="AF91" s="263"/>
      <c r="AG91" s="263"/>
      <c r="AH91" s="263"/>
      <c r="AI91" s="263"/>
      <c r="AJ91" s="263"/>
      <c r="AK91" s="263"/>
      <c r="AL91" s="263"/>
      <c r="AM91" s="242"/>
    </row>
    <row r="92" spans="1:39" ht="18" customHeight="1" outlineLevel="3" x14ac:dyDescent="0.15">
      <c r="A92" s="240">
        <f t="shared" si="1"/>
        <v>89</v>
      </c>
      <c r="B92" s="362">
        <v>222</v>
      </c>
      <c r="C92" s="72" t="s">
        <v>890</v>
      </c>
      <c r="D92" s="359" cm="1">
        <f t="array" ref="D92"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2" s="359" cm="1">
        <f t="array" ref="E92"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2" s="368" cm="1">
        <f t="array" ref="F92"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2" s="240"/>
      <c r="H92" s="362">
        <v>222</v>
      </c>
      <c r="I92" s="72" t="s">
        <v>890</v>
      </c>
      <c r="J92" s="359" cm="1">
        <f t="array" ref="J92"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2" s="359" cm="1">
        <f t="array" ref="K92"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2" s="240"/>
      <c r="M92" s="362">
        <v>222</v>
      </c>
      <c r="N92" s="72" t="s">
        <v>890</v>
      </c>
      <c r="O92" s="368" cm="1">
        <f t="array" ref="O92"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2" s="368" cm="1">
        <f t="array" ref="P92"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2" s="263"/>
      <c r="R92" s="263"/>
      <c r="S92" s="263"/>
      <c r="T92" s="263"/>
      <c r="U92" s="263"/>
      <c r="V92" s="263"/>
      <c r="W92" s="263"/>
      <c r="X92" s="263"/>
      <c r="Y92" s="263"/>
      <c r="Z92" s="263"/>
      <c r="AA92" s="263"/>
      <c r="AB92" s="263"/>
      <c r="AC92" s="263"/>
      <c r="AD92" s="263"/>
      <c r="AE92" s="263"/>
      <c r="AF92" s="263"/>
      <c r="AG92" s="263"/>
      <c r="AH92" s="263"/>
      <c r="AI92" s="263"/>
      <c r="AJ92" s="263"/>
      <c r="AK92" s="263"/>
      <c r="AL92" s="263"/>
      <c r="AM92" s="242"/>
    </row>
    <row r="93" spans="1:39" ht="18" customHeight="1" outlineLevel="3" x14ac:dyDescent="0.15">
      <c r="A93" s="240">
        <f t="shared" si="1"/>
        <v>90</v>
      </c>
      <c r="B93" s="362">
        <v>223</v>
      </c>
      <c r="C93" s="72" t="s">
        <v>455</v>
      </c>
      <c r="D93" s="359" cm="1">
        <f t="array" ref="D93"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3" s="359" cm="1">
        <f t="array" ref="E93"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3" s="368" cm="1">
        <f t="array" ref="F93"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3" s="240"/>
      <c r="H93" s="362">
        <v>223</v>
      </c>
      <c r="I93" s="72" t="s">
        <v>455</v>
      </c>
      <c r="J93" s="359" cm="1">
        <f t="array" ref="J93"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3" s="359" cm="1">
        <f t="array" ref="K93"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3" s="240"/>
      <c r="M93" s="362">
        <v>223</v>
      </c>
      <c r="N93" s="72" t="s">
        <v>455</v>
      </c>
      <c r="O93" s="368" cm="1">
        <f t="array" ref="O93"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3" s="368" cm="1">
        <f t="array" ref="P93"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3" s="263"/>
      <c r="R93" s="263"/>
      <c r="S93" s="263"/>
      <c r="T93" s="263"/>
      <c r="U93" s="263"/>
      <c r="V93" s="263"/>
      <c r="W93" s="263"/>
      <c r="X93" s="263"/>
      <c r="Y93" s="263"/>
      <c r="Z93" s="263"/>
      <c r="AA93" s="263"/>
      <c r="AB93" s="263"/>
      <c r="AC93" s="263"/>
      <c r="AD93" s="263"/>
      <c r="AE93" s="263"/>
      <c r="AF93" s="263"/>
      <c r="AG93" s="263"/>
      <c r="AH93" s="263"/>
      <c r="AI93" s="263"/>
      <c r="AJ93" s="263"/>
      <c r="AK93" s="263"/>
      <c r="AL93" s="263"/>
      <c r="AM93" s="242"/>
    </row>
    <row r="94" spans="1:39" ht="18" customHeight="1" outlineLevel="2" x14ac:dyDescent="0.15">
      <c r="A94" s="240">
        <f t="shared" si="1"/>
        <v>91</v>
      </c>
      <c r="B94" s="257">
        <v>240</v>
      </c>
      <c r="C94" s="73" t="s">
        <v>456</v>
      </c>
      <c r="D94" s="242" cm="1">
        <f t="array" ref="D94">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4" s="310" cm="1">
        <f t="array" ref="E94"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4" s="242" cm="1">
        <f t="array" ref="F94">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4" s="240"/>
      <c r="H94" s="257">
        <v>240</v>
      </c>
      <c r="I94" s="73" t="s">
        <v>456</v>
      </c>
      <c r="J94" s="310" cm="1">
        <f t="array" ref="J94">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4" s="310" cm="1">
        <f t="array" ref="K94">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4" s="240"/>
      <c r="M94" s="257">
        <v>240</v>
      </c>
      <c r="N94" s="73" t="s">
        <v>456</v>
      </c>
      <c r="O94" s="242" cm="1">
        <f t="array" ref="O94">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4" s="242" cm="1">
        <f t="array" ref="P94">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4" s="263"/>
      <c r="R94" s="263"/>
      <c r="S94" s="263"/>
      <c r="T94" s="263"/>
      <c r="U94" s="263"/>
      <c r="V94" s="263"/>
      <c r="W94" s="263"/>
      <c r="X94" s="263"/>
      <c r="Y94" s="263"/>
      <c r="Z94" s="263"/>
      <c r="AA94" s="263"/>
      <c r="AB94" s="263"/>
      <c r="AC94" s="263"/>
      <c r="AD94" s="263"/>
      <c r="AE94" s="263"/>
      <c r="AF94" s="263"/>
      <c r="AG94" s="263"/>
      <c r="AH94" s="263"/>
      <c r="AI94" s="263"/>
      <c r="AJ94" s="263"/>
      <c r="AK94" s="263"/>
      <c r="AL94" s="263"/>
      <c r="AM94" s="242"/>
    </row>
    <row r="95" spans="1:39" ht="18" customHeight="1" outlineLevel="2" x14ac:dyDescent="0.15">
      <c r="A95" s="240">
        <f t="shared" si="1"/>
        <v>92</v>
      </c>
      <c r="B95" s="257">
        <v>250</v>
      </c>
      <c r="C95" s="78" t="s">
        <v>457</v>
      </c>
      <c r="D95" s="242" cm="1">
        <f t="array" ref="D95">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5" s="310" cm="1">
        <f t="array" ref="E95">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5" s="355" cm="1">
        <f t="array" ref="F95">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5" s="240"/>
      <c r="H95" s="356">
        <v>250</v>
      </c>
      <c r="I95" s="78" t="s">
        <v>457</v>
      </c>
      <c r="J95" s="310" cm="1">
        <f t="array" ref="J95">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5" s="310" cm="1">
        <f t="array" ref="K95">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5" s="240"/>
      <c r="M95" s="257">
        <v>250</v>
      </c>
      <c r="N95" s="73" t="s">
        <v>457</v>
      </c>
      <c r="O95" s="355" cm="1">
        <f t="array" ref="O95">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5" s="355" cm="1">
        <f t="array" ref="P95">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5" s="263"/>
      <c r="R95" s="378"/>
      <c r="S95" s="263"/>
      <c r="T95" s="263"/>
      <c r="U95" s="263"/>
      <c r="V95" s="263"/>
      <c r="W95" s="263"/>
      <c r="X95" s="263"/>
      <c r="Y95" s="263"/>
      <c r="Z95" s="263"/>
      <c r="AA95" s="263"/>
      <c r="AB95" s="263"/>
      <c r="AC95" s="263"/>
      <c r="AD95" s="263"/>
      <c r="AE95" s="263"/>
      <c r="AF95" s="263"/>
      <c r="AG95" s="263"/>
      <c r="AH95" s="263"/>
      <c r="AI95" s="263"/>
      <c r="AJ95" s="263"/>
      <c r="AK95" s="263"/>
      <c r="AL95" s="263"/>
      <c r="AM95" s="242"/>
    </row>
    <row r="96" spans="1:39" ht="18" customHeight="1" outlineLevel="2" x14ac:dyDescent="0.15">
      <c r="A96" s="240">
        <f t="shared" si="1"/>
        <v>93</v>
      </c>
      <c r="B96" s="257">
        <v>260</v>
      </c>
      <c r="C96" s="78" t="s">
        <v>458</v>
      </c>
      <c r="D96" s="242">
        <v>0</v>
      </c>
      <c r="E96" s="355">
        <f>+Table_BCTC[[#This Row],[Đầu kỳ]]</f>
        <v>0</v>
      </c>
      <c r="F96" s="355">
        <f>+Table_BCTC[[#This Row],[Đầu kỳ]]</f>
        <v>0</v>
      </c>
      <c r="G96" s="240"/>
      <c r="H96" s="356">
        <v>260</v>
      </c>
      <c r="I96" s="78" t="s">
        <v>458</v>
      </c>
      <c r="J96" s="355"/>
      <c r="K96" s="355"/>
      <c r="L96" s="240"/>
      <c r="M96" s="257">
        <v>260</v>
      </c>
      <c r="N96" s="73" t="s">
        <v>458</v>
      </c>
      <c r="O96" s="355"/>
      <c r="P96" s="355"/>
      <c r="Q96" s="263"/>
      <c r="R96" s="263"/>
      <c r="S96" s="263"/>
      <c r="T96" s="263"/>
      <c r="U96" s="263"/>
      <c r="V96" s="263"/>
      <c r="W96" s="263"/>
      <c r="X96" s="263"/>
      <c r="Y96" s="263"/>
      <c r="Z96" s="263"/>
      <c r="AA96" s="263"/>
      <c r="AB96" s="263"/>
      <c r="AC96" s="263"/>
      <c r="AD96" s="263"/>
      <c r="AE96" s="263"/>
      <c r="AF96" s="263"/>
      <c r="AG96" s="263"/>
      <c r="AH96" s="263"/>
      <c r="AI96" s="263"/>
      <c r="AJ96" s="263"/>
      <c r="AK96" s="263"/>
      <c r="AL96" s="263"/>
      <c r="AM96" s="242"/>
    </row>
    <row r="97" spans="1:39" ht="18" customHeight="1" outlineLevel="1" x14ac:dyDescent="0.15">
      <c r="A97" s="240">
        <f t="shared" si="1"/>
        <v>94</v>
      </c>
      <c r="B97" s="369">
        <v>300</v>
      </c>
      <c r="C97" s="77" t="s">
        <v>459</v>
      </c>
      <c r="D97" s="370">
        <f>+D105+D98</f>
        <v>4050000000</v>
      </c>
      <c r="E97" s="370">
        <f>+E105+E98</f>
        <v>4050000000</v>
      </c>
      <c r="F97" s="370">
        <f>+F105+F98</f>
        <v>4050000000</v>
      </c>
      <c r="G97" s="240"/>
      <c r="H97" s="369">
        <v>300</v>
      </c>
      <c r="I97" s="77" t="s">
        <v>459</v>
      </c>
      <c r="J97" s="370">
        <f>+J105+J98</f>
        <v>717896812.66666663</v>
      </c>
      <c r="K97" s="370">
        <f>+K105+K98</f>
        <v>717896812.66666663</v>
      </c>
      <c r="L97" s="240"/>
      <c r="M97" s="369">
        <v>300</v>
      </c>
      <c r="N97" s="77" t="s">
        <v>459</v>
      </c>
      <c r="O97" s="370">
        <f>+O105+O98</f>
        <v>716666666.66666663</v>
      </c>
      <c r="P97" s="370">
        <f>+P105+P98</f>
        <v>716666666.66666663</v>
      </c>
      <c r="Q97" s="263"/>
      <c r="R97" s="263"/>
      <c r="S97" s="263"/>
      <c r="T97" s="263"/>
      <c r="U97" s="263"/>
      <c r="V97" s="263"/>
      <c r="W97" s="263"/>
      <c r="X97" s="263"/>
      <c r="Y97" s="263"/>
      <c r="Z97" s="263"/>
      <c r="AA97" s="263"/>
      <c r="AB97" s="263"/>
      <c r="AC97" s="263"/>
      <c r="AD97" s="263"/>
      <c r="AE97" s="263"/>
      <c r="AF97" s="263"/>
      <c r="AG97" s="263"/>
      <c r="AH97" s="263"/>
      <c r="AI97" s="263"/>
      <c r="AJ97" s="263"/>
      <c r="AK97" s="263"/>
      <c r="AL97" s="263"/>
      <c r="AM97" s="242"/>
    </row>
    <row r="98" spans="1:39" ht="18" customHeight="1" outlineLevel="2" x14ac:dyDescent="0.15">
      <c r="A98" s="240">
        <f t="shared" si="1"/>
        <v>95</v>
      </c>
      <c r="B98" s="257">
        <v>310</v>
      </c>
      <c r="C98" s="73" t="s">
        <v>460</v>
      </c>
      <c r="D98" s="242">
        <f>+SUM(D99:D104)</f>
        <v>716666666.66666663</v>
      </c>
      <c r="E98" s="242">
        <f>+SUM(E99:E104)</f>
        <v>716666666.66666663</v>
      </c>
      <c r="F98" s="242">
        <f>+SUM(F99:F104)</f>
        <v>716666666.66666663</v>
      </c>
      <c r="G98" s="240"/>
      <c r="H98" s="257">
        <v>310</v>
      </c>
      <c r="I98" s="73" t="s">
        <v>460</v>
      </c>
      <c r="J98" s="242">
        <f>+SUM(J99:J104)</f>
        <v>717896812.66666663</v>
      </c>
      <c r="K98" s="242">
        <f>+SUM(K99:K104)</f>
        <v>717896812.66666663</v>
      </c>
      <c r="L98" s="240"/>
      <c r="M98" s="257">
        <v>310</v>
      </c>
      <c r="N98" s="73" t="s">
        <v>460</v>
      </c>
      <c r="O98" s="242">
        <f>+SUM(O99:O104)</f>
        <v>716666666.66666663</v>
      </c>
      <c r="P98" s="242">
        <f>+SUM(P99:P104)</f>
        <v>716666666.66666663</v>
      </c>
      <c r="Q98" s="263"/>
      <c r="R98" s="263"/>
      <c r="S98" s="263"/>
      <c r="T98" s="263"/>
      <c r="U98" s="263"/>
      <c r="V98" s="263"/>
      <c r="W98" s="263"/>
      <c r="X98" s="263"/>
      <c r="Y98" s="263"/>
      <c r="Z98" s="263"/>
      <c r="AA98" s="263"/>
      <c r="AB98" s="263"/>
      <c r="AC98" s="263"/>
      <c r="AD98" s="263"/>
      <c r="AE98" s="263"/>
      <c r="AF98" s="263"/>
      <c r="AG98" s="263"/>
      <c r="AH98" s="263"/>
      <c r="AI98" s="263"/>
      <c r="AJ98" s="263"/>
      <c r="AK98" s="263"/>
      <c r="AL98" s="263"/>
      <c r="AM98" s="242"/>
    </row>
    <row r="99" spans="1:39" ht="18" customHeight="1" outlineLevel="3" x14ac:dyDescent="0.15">
      <c r="A99" s="240">
        <f t="shared" si="1"/>
        <v>96</v>
      </c>
      <c r="B99" s="362">
        <v>311</v>
      </c>
      <c r="C99" s="72" t="s">
        <v>461</v>
      </c>
      <c r="D99" s="359">
        <f>Sheet_PhaiTra!D2-D106</f>
        <v>0</v>
      </c>
      <c r="E99" s="359">
        <f>Table_BCTC[[#This Row],[Đầu kỳ]]+
IFERROR(
IF(BCTC_Thang = 1,
HLOOKUP(
DATE(BCTC_Nam-1,12,1),Sheet_PhaiTra!$B$1:$XFD$9,Sheet_PhaiTra!$A$2,0
),
HLOOKUP(
DATE(BCTC_Nam,BCTC_Thang-1,1),Sheet_PhaiTra!$B$1:$XFD$9,Sheet_PhaiTra!$A$2,0
)),0)
-E106</f>
        <v>0</v>
      </c>
      <c r="F99" s="368">
        <f>Table_BCTC[[#This Row],[Đầu kỳ]]+
IFERROR(
HLOOKUP(
DATE(BCTC_Nam,BCTC_Thang,1),Sheet_PhaiTra!$B$1:$XFD$9,Sheet_PhaiTra!$A$2,0
),0)
-F106</f>
        <v>0</v>
      </c>
      <c r="G99" s="240"/>
      <c r="H99" s="362">
        <v>311</v>
      </c>
      <c r="I99" s="72" t="s">
        <v>461</v>
      </c>
      <c r="J99" s="359">
        <f>IFERROR(
HLOOKUP(
DATE(J$1,12,1),
Sheet_PhaiTra!$B$1:$XFD$9,Sheet_PhaiTra!$A$2,0
),
IFERROR(
HLOOKUP(
MAX(Sheet_PhaiTra!$D$1:$XFD$1),
Sheet_PhaiTra!$B$1:$XFD$9,Sheet_PhaiTra!$A$2,0
),
0))
-J106</f>
        <v>430146</v>
      </c>
      <c r="K99" s="359">
        <f>IFERROR(
HLOOKUP(
DATE(K$1,12,1),
Sheet_PhaiTra!$B$1:$XFD$9,Sheet_PhaiTra!$A$2,0
),
IFERROR(
HLOOKUP(
MAX(Sheet_PhaiTra!$D$1:$XFD$1),
Sheet_PhaiTra!$B$1:$XFD$9,Sheet_PhaiTra!$A$2,0
),
0))
-K106</f>
        <v>430146</v>
      </c>
      <c r="L99" s="240"/>
      <c r="M99" s="362">
        <v>311</v>
      </c>
      <c r="N99" s="72" t="s">
        <v>461</v>
      </c>
      <c r="O99" s="368">
        <f xml:space="preserve">
IFERROR(
HLOOKUP(
O$1,Sheet_PhaiTra!$B$1:$XFD$9,Sheet_PhaiTra!$A$2,0
),0)
-O106</f>
        <v>0</v>
      </c>
      <c r="P99" s="368">
        <f xml:space="preserve">
IFERROR(
HLOOKUP(
P$1,Sheet_PhaiTra!$B$1:$XFD$9,Sheet_PhaiTra!$A$2,0
),0)
-P106</f>
        <v>0</v>
      </c>
      <c r="Q99" s="263"/>
      <c r="R99" s="263"/>
      <c r="S99" s="263"/>
      <c r="T99" s="263"/>
      <c r="U99" s="263"/>
      <c r="V99" s="263"/>
      <c r="W99" s="263"/>
      <c r="X99" s="263"/>
      <c r="Y99" s="263"/>
      <c r="Z99" s="263"/>
      <c r="AA99" s="263"/>
      <c r="AB99" s="263"/>
      <c r="AC99" s="263"/>
      <c r="AD99" s="263"/>
      <c r="AE99" s="263"/>
      <c r="AF99" s="263"/>
      <c r="AG99" s="263"/>
      <c r="AH99" s="263"/>
      <c r="AI99" s="263"/>
      <c r="AJ99" s="263"/>
      <c r="AK99" s="263"/>
      <c r="AL99" s="263"/>
      <c r="AM99" s="242"/>
    </row>
    <row r="100" spans="1:39" ht="18" customHeight="1" outlineLevel="3" x14ac:dyDescent="0.15">
      <c r="A100" s="240">
        <f t="shared" si="1"/>
        <v>97</v>
      </c>
      <c r="B100" s="362">
        <v>312</v>
      </c>
      <c r="C100" s="72" t="s">
        <v>462</v>
      </c>
      <c r="D100" s="359">
        <f>Sheet_PhaiThu!D4-D107</f>
        <v>0</v>
      </c>
      <c r="E100" s="359">
        <f>Table_BCTC[[#This Row],[Đầu kỳ]]+
IFERROR(
IF(BCTC_Thang = 1,
HLOOKUP(
DATE(BCTC_Nam-1,12,1),Sheet_PhaiThu!$C$1:$XFD$5,Sheet_PhaiThu!$B$4,0
),
HLOOKUP(
DATE(BCTC_Nam,BCTC_Thang-1,1),Sheet_PhaiThu!$C$1:$XFD$5,Sheet_PhaiThu!$B$4,0
)),0)
-E107</f>
        <v>0</v>
      </c>
      <c r="F100" s="368">
        <f>Table_BCTC[[#This Row],[Đầu kỳ]]+
IFERROR(
HLOOKUP(
DATE(BCTC_Nam,BCTC_Thang,1),Sheet_PhaiThu!$C$1:$XFD$5,Sheet_PhaiThu!$B$4,0
),0)
-F107</f>
        <v>0</v>
      </c>
      <c r="G100" s="240"/>
      <c r="H100" s="362">
        <v>312</v>
      </c>
      <c r="I100" s="72" t="s">
        <v>462</v>
      </c>
      <c r="J100" s="359">
        <f>IFERROR(
HLOOKUP(
DATE(J$1,12,1),
Sheet_PhaiThu!$C$1:$XFD$5,Sheet_PhaiThu!$B$4,0
),
IFERROR(
HLOOKUP(
MAX(Sheet_PhaiThu!$D$1:$XFD$1),
Sheet_PhaiThu!$C$1:$XFD$5,Sheet_PhaiThu!$B$4,0
),
0))
-J107</f>
        <v>800000</v>
      </c>
      <c r="K100" s="359">
        <f>IFERROR(
HLOOKUP(
DATE(K$1,12,1),
Sheet_PhaiThu!$C$1:$XFD$5,Sheet_PhaiThu!$B$4,0
),
IFERROR(
HLOOKUP(
MAX(Sheet_PhaiThu!$D$1:$XFD$1),
Sheet_PhaiThu!$C$1:$XFD$5,Sheet_PhaiThu!$B$4,0
),
0))
-K107</f>
        <v>800000</v>
      </c>
      <c r="L100" s="240"/>
      <c r="M100" s="362">
        <v>312</v>
      </c>
      <c r="N100" s="72" t="s">
        <v>462</v>
      </c>
      <c r="O100" s="368">
        <f>IFERROR(
HLOOKUP(
O$1,Sheet_PhaiThu!$C$1:$XFD$5,Sheet_PhaiThu!$B$4,0
),0)
-O107</f>
        <v>0</v>
      </c>
      <c r="P100" s="368">
        <f>IFERROR(
HLOOKUP(
P$1,Sheet_PhaiThu!$C$1:$XFD$5,Sheet_PhaiThu!$B$4,0
),0)
-P107</f>
        <v>0</v>
      </c>
      <c r="Q100" s="263"/>
      <c r="R100" s="263"/>
      <c r="S100" s="263"/>
      <c r="T100" s="263"/>
      <c r="U100" s="263"/>
      <c r="V100" s="263"/>
      <c r="W100" s="263"/>
      <c r="X100" s="263"/>
      <c r="Y100" s="263"/>
      <c r="Z100" s="263"/>
      <c r="AA100" s="263"/>
      <c r="AB100" s="263"/>
      <c r="AC100" s="263"/>
      <c r="AD100" s="263"/>
      <c r="AE100" s="263"/>
      <c r="AF100" s="263"/>
      <c r="AG100" s="263"/>
      <c r="AH100" s="263"/>
      <c r="AI100" s="263"/>
      <c r="AJ100" s="263"/>
      <c r="AK100" s="263"/>
      <c r="AL100" s="263"/>
      <c r="AM100" s="242"/>
    </row>
    <row r="101" spans="1:39" ht="18" customHeight="1" outlineLevel="3" x14ac:dyDescent="0.15">
      <c r="A101" s="240">
        <f t="shared" si="1"/>
        <v>98</v>
      </c>
      <c r="B101" s="362">
        <v>313</v>
      </c>
      <c r="C101" s="72" t="s">
        <v>463</v>
      </c>
      <c r="D101" s="359">
        <v>0</v>
      </c>
      <c r="E101" s="359" cm="1">
        <f t="array" ref="E101">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1" s="368" cm="1">
        <f t="array" ref="F101">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1" s="240"/>
      <c r="H101" s="362">
        <v>313</v>
      </c>
      <c r="I101" s="72" t="s">
        <v>463</v>
      </c>
      <c r="J101" s="372" cm="1">
        <f t="array" ref="J101">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1" s="372" cm="1">
        <f t="array" ref="K101">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1" s="240"/>
      <c r="M101" s="362">
        <v>313</v>
      </c>
      <c r="N101" s="72" t="s">
        <v>463</v>
      </c>
      <c r="O101" s="368" cm="1">
        <f t="array" ref="O101">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1" s="368" cm="1">
        <f t="array" ref="P101">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1" s="263"/>
      <c r="R101" s="263"/>
      <c r="S101" s="263"/>
      <c r="T101" s="263"/>
      <c r="U101" s="263"/>
      <c r="V101" s="263"/>
      <c r="W101" s="263"/>
      <c r="X101" s="263"/>
      <c r="Y101" s="263"/>
      <c r="Z101" s="263"/>
      <c r="AA101" s="263"/>
      <c r="AB101" s="263"/>
      <c r="AC101" s="263"/>
      <c r="AD101" s="263"/>
      <c r="AE101" s="263"/>
      <c r="AF101" s="263"/>
      <c r="AG101" s="263"/>
      <c r="AH101" s="263"/>
      <c r="AI101" s="263"/>
      <c r="AJ101" s="263"/>
      <c r="AK101" s="263"/>
      <c r="AL101" s="263"/>
      <c r="AM101" s="242"/>
    </row>
    <row r="102" spans="1:39" ht="18" customHeight="1" outlineLevel="3" x14ac:dyDescent="0.15">
      <c r="A102" s="240">
        <f t="shared" si="1"/>
        <v>99</v>
      </c>
      <c r="B102" s="362">
        <v>316</v>
      </c>
      <c r="C102" s="72" t="s">
        <v>464</v>
      </c>
      <c r="D102" s="359">
        <f>Sheet_PhaiTra!D6-D108</f>
        <v>0</v>
      </c>
      <c r="E102" s="359">
        <f xml:space="preserve">
IFERROR(
IF(BCTC_Thang = 1,
HLOOKUP(
DATE(BCTC_Nam-1,12,1),Sheet_PhaiTra!$B$1:$XFD$9,Sheet_PhaiTra!$A$6,0
),
HLOOKUP(
DATE(BCTC_Nam,BCTC_Thang-1,1),Sheet_PhaiTra!$B$1:$XFD$9,Sheet_PhaiTra!$A$6,0
)),0)
-E108</f>
        <v>0</v>
      </c>
      <c r="F102" s="368">
        <f xml:space="preserve">
IFERROR(
HLOOKUP(
DATE(BCTC_Nam,BCTC_Thang,1),Sheet_PhaiTra!$B$1:$XFD$9,Sheet_PhaiTra!$A$6,0
),0)
-F108</f>
        <v>0</v>
      </c>
      <c r="G102" s="240"/>
      <c r="H102" s="362">
        <v>316</v>
      </c>
      <c r="I102" s="72" t="s">
        <v>464</v>
      </c>
      <c r="J102" s="359">
        <f>IFERROR(
HLOOKUP(
DATE(J$1,12,1),
Sheet_PhaiTra!$B$1:$XFD$9,Sheet_PhaiTra!$A$6,0
),
IFERROR(
HLOOKUP(
MAX(Sheet_PhaiTra!$D$1:$XFD$1),
Sheet_PhaiTra!$B$1:$XFD$9,Sheet_PhaiTra!$A$6,0
),
0))
-J108</f>
        <v>0</v>
      </c>
      <c r="K102" s="359">
        <f>IFERROR(
HLOOKUP(
DATE(K$1,12,1),
Sheet_PhaiTra!$B$1:$XFD$9,Sheet_PhaiTra!$A$6,0
),
IFERROR(
HLOOKUP(
MAX(Sheet_PhaiTra!$D$1:$XFD$1),
Sheet_PhaiTra!$B$1:$XFD$9,Sheet_PhaiTra!$A$6,0
),
0))
-K108</f>
        <v>0</v>
      </c>
      <c r="L102" s="240"/>
      <c r="M102" s="362">
        <v>316</v>
      </c>
      <c r="N102" s="72" t="s">
        <v>464</v>
      </c>
      <c r="O102" s="368">
        <f xml:space="preserve">
IFERROR(
HLOOKUP(
O$1,Sheet_PhaiTra!$B$1:$XFD$9,Sheet_PhaiTra!$A$6,0
),0)
-O108</f>
        <v>0</v>
      </c>
      <c r="P102" s="368">
        <f xml:space="preserve">
IFERROR(
HLOOKUP(
P$1,Sheet_PhaiTra!$B$1:$XFD$9,Sheet_PhaiTra!$A$6,0
),0)
-P108</f>
        <v>0</v>
      </c>
      <c r="Q102" s="263"/>
      <c r="R102" s="263"/>
      <c r="S102" s="263"/>
      <c r="T102" s="263"/>
      <c r="U102" s="263"/>
      <c r="V102" s="263"/>
      <c r="W102" s="263"/>
      <c r="X102" s="263"/>
      <c r="Y102" s="263"/>
      <c r="Z102" s="263"/>
      <c r="AA102" s="263"/>
      <c r="AB102" s="263"/>
      <c r="AC102" s="263"/>
      <c r="AD102" s="263"/>
      <c r="AE102" s="263"/>
      <c r="AF102" s="263"/>
      <c r="AG102" s="263"/>
      <c r="AH102" s="263"/>
      <c r="AI102" s="263"/>
      <c r="AJ102" s="263"/>
      <c r="AK102" s="263"/>
      <c r="AL102" s="263"/>
      <c r="AM102" s="242"/>
    </row>
    <row r="103" spans="1:39" ht="18" customHeight="1" outlineLevel="3" x14ac:dyDescent="0.15">
      <c r="A103" s="240">
        <f t="shared" si="1"/>
        <v>100</v>
      </c>
      <c r="B103" s="362">
        <v>319</v>
      </c>
      <c r="C103" s="72" t="s">
        <v>465</v>
      </c>
      <c r="D103" s="359">
        <v>0</v>
      </c>
      <c r="E103" s="359">
        <f>+Table_BCTC[[#This Row],[Đầu kỳ]]</f>
        <v>0</v>
      </c>
      <c r="F103" s="368">
        <f>+Table_BCTC[[#This Row],[Đầu kỳ]]</f>
        <v>0</v>
      </c>
      <c r="G103" s="240"/>
      <c r="H103" s="362">
        <v>319</v>
      </c>
      <c r="I103" s="72" t="s">
        <v>465</v>
      </c>
      <c r="J103" s="359"/>
      <c r="K103" s="359"/>
      <c r="L103" s="240"/>
      <c r="M103" s="362">
        <v>319</v>
      </c>
      <c r="N103" s="72" t="s">
        <v>465</v>
      </c>
      <c r="O103" s="368"/>
      <c r="P103" s="368"/>
      <c r="Q103" s="263"/>
      <c r="R103" s="263"/>
      <c r="S103" s="263"/>
      <c r="T103" s="263"/>
      <c r="U103" s="263"/>
      <c r="V103" s="263"/>
      <c r="W103" s="263"/>
      <c r="X103" s="263"/>
      <c r="Y103" s="263"/>
      <c r="Z103" s="263"/>
      <c r="AA103" s="263"/>
      <c r="AB103" s="263"/>
      <c r="AC103" s="263"/>
      <c r="AD103" s="263"/>
      <c r="AE103" s="263"/>
      <c r="AF103" s="263"/>
      <c r="AG103" s="263"/>
      <c r="AH103" s="263"/>
      <c r="AI103" s="263"/>
      <c r="AJ103" s="263"/>
      <c r="AK103" s="263"/>
      <c r="AL103" s="263"/>
      <c r="AM103" s="242"/>
    </row>
    <row r="104" spans="1:39" ht="18" customHeight="1" outlineLevel="3" x14ac:dyDescent="0.15">
      <c r="A104" s="240">
        <f t="shared" si="1"/>
        <v>101</v>
      </c>
      <c r="B104" s="362">
        <v>320</v>
      </c>
      <c r="C104" s="72" t="s">
        <v>466</v>
      </c>
      <c r="D104" s="359" cm="1">
        <f t="array" ref="D104">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4" s="359" cm="1">
        <f t="array" ref="E104">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4" s="368" cm="1">
        <f t="array" ref="F104">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4" s="240"/>
      <c r="H104" s="362">
        <v>320</v>
      </c>
      <c r="I104" s="72" t="s">
        <v>466</v>
      </c>
      <c r="J104" s="359" cm="1">
        <f t="array" ref="J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4" s="359" cm="1">
        <f t="array" ref="K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4" s="240"/>
      <c r="M104" s="362">
        <v>320</v>
      </c>
      <c r="N104" s="72" t="s">
        <v>466</v>
      </c>
      <c r="O104" s="368" cm="1">
        <f t="array" ref="O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4" s="368" cm="1">
        <f t="array" ref="P104">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4" s="263"/>
      <c r="R104" s="263"/>
      <c r="S104" s="263"/>
      <c r="T104" s="263"/>
      <c r="U104" s="263"/>
      <c r="V104" s="263"/>
      <c r="W104" s="263"/>
      <c r="X104" s="263"/>
      <c r="Y104" s="263"/>
      <c r="Z104" s="263"/>
      <c r="AA104" s="263"/>
      <c r="AB104" s="263"/>
      <c r="AC104" s="263"/>
      <c r="AD104" s="263"/>
      <c r="AE104" s="263"/>
      <c r="AF104" s="263"/>
      <c r="AG104" s="263"/>
      <c r="AH104" s="263"/>
      <c r="AI104" s="263"/>
      <c r="AJ104" s="263"/>
      <c r="AK104" s="263"/>
      <c r="AL104" s="263"/>
      <c r="AM104" s="242"/>
    </row>
    <row r="105" spans="1:39" ht="18" customHeight="1" outlineLevel="2" x14ac:dyDescent="0.15">
      <c r="A105" s="240">
        <f t="shared" si="1"/>
        <v>102</v>
      </c>
      <c r="B105" s="257">
        <v>320</v>
      </c>
      <c r="C105" s="73" t="s">
        <v>467</v>
      </c>
      <c r="D105" s="242">
        <f>+SUM(D106:D110)</f>
        <v>3333333333.3333335</v>
      </c>
      <c r="E105" s="242">
        <f>+SUM(E106:E110)</f>
        <v>3333333333.3333335</v>
      </c>
      <c r="F105" s="242">
        <f>+SUM(F106:F110)</f>
        <v>3333333333.3333335</v>
      </c>
      <c r="G105" s="240"/>
      <c r="H105" s="257">
        <v>320</v>
      </c>
      <c r="I105" s="73" t="s">
        <v>467</v>
      </c>
      <c r="J105" s="242">
        <f>+SUM(J106:J110)</f>
        <v>0</v>
      </c>
      <c r="K105" s="242">
        <f>+SUM(K106:K110)</f>
        <v>0</v>
      </c>
      <c r="L105" s="240"/>
      <c r="M105" s="257">
        <v>320</v>
      </c>
      <c r="N105" s="73" t="s">
        <v>467</v>
      </c>
      <c r="O105" s="242">
        <f>+SUM(O106:O110)</f>
        <v>0</v>
      </c>
      <c r="P105" s="242">
        <f>+SUM(P106:P110)</f>
        <v>0</v>
      </c>
      <c r="Q105" s="263"/>
      <c r="R105" s="263"/>
      <c r="S105" s="263"/>
      <c r="T105" s="263"/>
      <c r="U105" s="263"/>
      <c r="V105" s="263"/>
      <c r="W105" s="263"/>
      <c r="X105" s="263"/>
      <c r="Y105" s="263"/>
      <c r="Z105" s="263"/>
      <c r="AA105" s="263"/>
      <c r="AB105" s="263"/>
      <c r="AC105" s="263"/>
      <c r="AD105" s="263"/>
      <c r="AE105" s="263"/>
      <c r="AF105" s="263"/>
      <c r="AG105" s="263"/>
      <c r="AH105" s="263"/>
      <c r="AI105" s="263"/>
      <c r="AJ105" s="263"/>
      <c r="AK105" s="263"/>
      <c r="AL105" s="263"/>
      <c r="AM105" s="242"/>
    </row>
    <row r="106" spans="1:39" ht="18" customHeight="1" outlineLevel="3" x14ac:dyDescent="0.15">
      <c r="A106" s="240">
        <f t="shared" si="1"/>
        <v>103</v>
      </c>
      <c r="B106" s="362">
        <v>331</v>
      </c>
      <c r="C106" s="72" t="s">
        <v>468</v>
      </c>
      <c r="D106" s="359">
        <f>Sheet_PhaiTra!D3</f>
        <v>0</v>
      </c>
      <c r="E106" s="359">
        <f xml:space="preserve">
IFERROR(
IF(BCTC_Thang = 1,
HLOOKUP(
DATE(BCTC_Nam-1,12,1),Sheet_PhaiTra!$B$1:$XFD$9,Sheet_PhaiTra!$A$3,0
),
HLOOKUP(
DATE(BCTC_Nam,BCTC_Thang-1,1),Sheet_PhaiTra!$B$1:$XFD$9,Sheet_PhaiTra!$A$3,0
)),0)</f>
        <v>0</v>
      </c>
      <c r="F106" s="368">
        <f xml:space="preserve">
IFERROR(
HLOOKUP(
DATE(BCTC_Nam,BCTC_Thang,1),Sheet_PhaiTra!$B$1:$XFD$9,Sheet_PhaiTra!$A$3,0
),0)</f>
        <v>0</v>
      </c>
      <c r="G106" s="240"/>
      <c r="H106" s="362">
        <v>331</v>
      </c>
      <c r="I106" s="72" t="s">
        <v>468</v>
      </c>
      <c r="J106" s="359">
        <f>IFERROR(
HLOOKUP(
DATE(J$1,12,1),
Sheet_PhaiTra!$B$1:$XFD$9,Sheet_PhaiTra!$A$3,0
),
IFERROR(
HLOOKUP(
MAX(Sheet_PhaiTra!$D$1:$XFD$1),
Sheet_PhaiTra!$B$1:$XFD$9,Sheet_PhaiTra!$A$3,0
),
0))</f>
        <v>0</v>
      </c>
      <c r="K106" s="359">
        <f>IFERROR(
HLOOKUP(
DATE(K$1,12,1),
Sheet_PhaiTra!$B$1:$XFD$9,Sheet_PhaiTra!$A$3,0
),
IFERROR(
HLOOKUP(
MAX(Sheet_PhaiTra!$D$1:$XFD$1),
Sheet_PhaiTra!$B$1:$XFD$9,Sheet_PhaiTra!$A$3,0
),
0))</f>
        <v>0</v>
      </c>
      <c r="L106" s="240"/>
      <c r="M106" s="362">
        <v>331</v>
      </c>
      <c r="N106" s="72" t="s">
        <v>468</v>
      </c>
      <c r="O106" s="368">
        <f xml:space="preserve">
IFERROR(
HLOOKUP(
O$1,Sheet_PhaiTra!$B$1:$XFD$9,Sheet_PhaiTra!$A$3,0
),0)</f>
        <v>0</v>
      </c>
      <c r="P106" s="368">
        <f xml:space="preserve">
IFERROR(
HLOOKUP(
P$1,Sheet_PhaiTra!$B$1:$XFD$9,Sheet_PhaiTra!$A$3,0
),0)</f>
        <v>0</v>
      </c>
      <c r="Q106" s="263"/>
      <c r="R106" s="263"/>
      <c r="S106" s="263"/>
      <c r="T106" s="263"/>
      <c r="U106" s="263"/>
      <c r="V106" s="263"/>
      <c r="W106" s="263"/>
      <c r="X106" s="263"/>
      <c r="Y106" s="263"/>
      <c r="Z106" s="263"/>
      <c r="AA106" s="263"/>
      <c r="AB106" s="263"/>
      <c r="AC106" s="263"/>
      <c r="AD106" s="263"/>
      <c r="AE106" s="263"/>
      <c r="AF106" s="263"/>
      <c r="AG106" s="263"/>
      <c r="AH106" s="263"/>
      <c r="AI106" s="263"/>
      <c r="AJ106" s="263"/>
      <c r="AK106" s="263"/>
      <c r="AL106" s="263"/>
      <c r="AM106" s="242"/>
    </row>
    <row r="107" spans="1:39" ht="18" customHeight="1" outlineLevel="3" x14ac:dyDescent="0.15">
      <c r="A107" s="240">
        <f t="shared" si="1"/>
        <v>104</v>
      </c>
      <c r="B107" s="362">
        <v>332</v>
      </c>
      <c r="C107" s="72" t="s">
        <v>469</v>
      </c>
      <c r="D107" s="359">
        <f>Sheet_PhaiThu!D5</f>
        <v>0</v>
      </c>
      <c r="E107" s="359">
        <f xml:space="preserve">
IFERROR(
IF(BCTC_Thang = 1,
HLOOKUP(
DATE(BCTC_Nam-1,12,1),Sheet_PhaiThu!$C$1:$XFD$5,Sheet_PhaiThu!$B$5,0
),
HLOOKUP(
DATE(BCTC_Nam,BCTC_Thang-1,1),Sheet_PhaiThu!$C$1:$XFD$5,Sheet_PhaiThu!$B$5,0
)),0)</f>
        <v>0</v>
      </c>
      <c r="F107" s="368">
        <f xml:space="preserve">
IFERROR(
HLOOKUP(
DATE(BCTC_Nam,BCTC_Thang,1),Sheet_PhaiThu!$C$1:$XFD$5,Sheet_PhaiThu!$B$5,0
),0)</f>
        <v>0</v>
      </c>
      <c r="G107" s="240"/>
      <c r="H107" s="362">
        <v>332</v>
      </c>
      <c r="I107" s="72" t="s">
        <v>469</v>
      </c>
      <c r="J107" s="359">
        <f>IFERROR(
HLOOKUP(
DATE(J$1,12,1),
Sheet_PhaiThu!$C$1:$XFD$5,Sheet_PhaiThu!$B$5,0
),
IFERROR(
HLOOKUP(
MAX(Sheet_PhaiThu!$D$1:$XFD$1),
Sheet_PhaiThu!$C$1:$XFD$5,Sheet_PhaiThu!$B$5,0
),
0))</f>
        <v>0</v>
      </c>
      <c r="K107" s="359">
        <f>IFERROR(
HLOOKUP(
DATE(K$1,12,1),
Sheet_PhaiThu!$C$1:$XFD$5,Sheet_PhaiThu!$B$5,0
),
IFERROR(
HLOOKUP(
MAX(Sheet_PhaiThu!$D$1:$XFD$1),
Sheet_PhaiThu!$C$1:$XFD$5,Sheet_PhaiThu!$B$5,0
),
0))</f>
        <v>0</v>
      </c>
      <c r="L107" s="240"/>
      <c r="M107" s="362">
        <v>332</v>
      </c>
      <c r="N107" s="72" t="s">
        <v>469</v>
      </c>
      <c r="O107" s="368">
        <f>IFERROR(
HLOOKUP(
O$1,Sheet_PhaiThu!$C$1:$XFD$5,Sheet_PhaiThu!$B$5,0
),0)</f>
        <v>0</v>
      </c>
      <c r="P107" s="368">
        <f>IFERROR(
HLOOKUP(
P$1,Sheet_PhaiThu!$C$1:$XFD$5,Sheet_PhaiThu!$B$5,0
),0)</f>
        <v>0</v>
      </c>
      <c r="Q107" s="263"/>
      <c r="R107" s="263"/>
      <c r="S107" s="263"/>
      <c r="T107" s="263"/>
      <c r="U107" s="263"/>
      <c r="V107" s="263"/>
      <c r="W107" s="263"/>
      <c r="X107" s="263"/>
      <c r="Y107" s="263"/>
      <c r="Z107" s="263"/>
      <c r="AA107" s="263"/>
      <c r="AB107" s="263"/>
      <c r="AC107" s="263"/>
      <c r="AD107" s="263"/>
      <c r="AE107" s="263"/>
      <c r="AF107" s="263"/>
      <c r="AG107" s="263"/>
      <c r="AH107" s="263"/>
      <c r="AI107" s="263"/>
      <c r="AJ107" s="263"/>
      <c r="AK107" s="263"/>
      <c r="AL107" s="263"/>
      <c r="AM107" s="242"/>
    </row>
    <row r="108" spans="1:39" ht="18" customHeight="1" outlineLevel="3" x14ac:dyDescent="0.15">
      <c r="A108" s="240">
        <f t="shared" si="1"/>
        <v>105</v>
      </c>
      <c r="B108" s="362">
        <v>335</v>
      </c>
      <c r="C108" s="72" t="s">
        <v>470</v>
      </c>
      <c r="D108" s="359">
        <f>Sheet_PhaiTra!D7</f>
        <v>0</v>
      </c>
      <c r="E108" s="359">
        <f xml:space="preserve">
IFERROR(
IF(BCTC_Thang = 1,
HLOOKUP(
DATE(BCTC_Nam-1,12,1),Sheet_PhaiTra!$B$1:$XFD$9,Sheet_PhaiTra!$A$7,0
),
HLOOKUP(
DATE(BCTC_Nam,BCTC_Thang-1,1),Sheet_PhaiTra!$B$1:$XFD$9,Sheet_PhaiTra!$A$7,0
)),0)</f>
        <v>0</v>
      </c>
      <c r="F108" s="368">
        <f xml:space="preserve">
IFERROR(
HLOOKUP(
DATE(BCTC_Nam,BCTC_Thang,1),Sheet_PhaiTra!$B$1:$XFD$9,Sheet_PhaiTra!$A$7,0
),0)</f>
        <v>0</v>
      </c>
      <c r="G108" s="240"/>
      <c r="H108" s="362">
        <v>335</v>
      </c>
      <c r="I108" s="72" t="s">
        <v>470</v>
      </c>
      <c r="J108" s="359">
        <f>IFERROR(
HLOOKUP(
DATE(J$1,12,1),
Sheet_PhaiTra!$B$1:$XFD$9,Sheet_PhaiTra!$A$7,0
),
IFERROR(
HLOOKUP(
MAX(Sheet_PhaiTra!$D$1:$XFD$1),
Sheet_PhaiTra!$B$1:$XFD$9,Sheet_PhaiTra!$A$7,0
),
0))</f>
        <v>0</v>
      </c>
      <c r="K108" s="359">
        <f>IFERROR(
HLOOKUP(
DATE(K$1,12,1),
Sheet_PhaiTra!$B$1:$XFD$9,Sheet_PhaiTra!$A$7,0
),
IFERROR(
HLOOKUP(
MAX(Sheet_PhaiTra!$D$1:$XFD$1),
Sheet_PhaiTra!$B$1:$XFD$9,Sheet_PhaiTra!$A$7,0
),
0))</f>
        <v>0</v>
      </c>
      <c r="L108" s="240"/>
      <c r="M108" s="362">
        <v>335</v>
      </c>
      <c r="N108" s="72" t="s">
        <v>470</v>
      </c>
      <c r="O108" s="368">
        <f xml:space="preserve">
IFERROR(
HLOOKUP(
O$1,Sheet_PhaiTra!$B$1:$XFD$9,Sheet_PhaiTra!$A$7,0
),0)</f>
        <v>0</v>
      </c>
      <c r="P108" s="368">
        <f xml:space="preserve">
IFERROR(
HLOOKUP(
P$1,Sheet_PhaiTra!$B$1:$XFD$9,Sheet_PhaiTra!$A$7,0
),0)</f>
        <v>0</v>
      </c>
      <c r="Q108" s="263"/>
      <c r="R108" s="263"/>
      <c r="S108" s="263"/>
      <c r="T108" s="263"/>
      <c r="U108" s="263"/>
      <c r="V108" s="263"/>
      <c r="W108" s="263"/>
      <c r="X108" s="263"/>
      <c r="Y108" s="263"/>
      <c r="Z108" s="263"/>
      <c r="AA108" s="263"/>
      <c r="AB108" s="263"/>
      <c r="AC108" s="263"/>
      <c r="AD108" s="263"/>
      <c r="AE108" s="263"/>
      <c r="AF108" s="263"/>
      <c r="AG108" s="263"/>
      <c r="AH108" s="263"/>
      <c r="AI108" s="263"/>
      <c r="AJ108" s="263"/>
      <c r="AK108" s="263"/>
      <c r="AL108" s="263"/>
      <c r="AM108" s="242"/>
    </row>
    <row r="109" spans="1:39" ht="18" customHeight="1" outlineLevel="3" x14ac:dyDescent="0.15">
      <c r="A109" s="240">
        <f t="shared" si="1"/>
        <v>106</v>
      </c>
      <c r="B109" s="362">
        <v>337</v>
      </c>
      <c r="C109" s="72" t="s">
        <v>471</v>
      </c>
      <c r="D109" s="359">
        <v>0</v>
      </c>
      <c r="E109" s="359">
        <f>+Table_BCTC[[#This Row],[Đầu kỳ]]</f>
        <v>0</v>
      </c>
      <c r="F109" s="368">
        <f>+Table_BCTC[[#This Row],[Đầu kỳ]]</f>
        <v>0</v>
      </c>
      <c r="G109" s="240"/>
      <c r="H109" s="362">
        <v>337</v>
      </c>
      <c r="I109" s="72" t="s">
        <v>471</v>
      </c>
      <c r="J109" s="359"/>
      <c r="K109" s="359"/>
      <c r="L109" s="240"/>
      <c r="M109" s="362">
        <v>337</v>
      </c>
      <c r="N109" s="72" t="s">
        <v>471</v>
      </c>
      <c r="O109" s="368"/>
      <c r="P109" s="368"/>
      <c r="Q109" s="263"/>
      <c r="R109" s="373"/>
      <c r="S109" s="263"/>
      <c r="T109" s="263"/>
      <c r="U109" s="263"/>
      <c r="V109" s="263"/>
      <c r="W109" s="263"/>
      <c r="X109" s="263"/>
      <c r="Y109" s="263"/>
      <c r="Z109" s="263"/>
      <c r="AA109" s="263"/>
      <c r="AB109" s="263"/>
      <c r="AC109" s="263"/>
      <c r="AD109" s="263"/>
      <c r="AE109" s="263"/>
      <c r="AF109" s="263"/>
      <c r="AG109" s="263"/>
      <c r="AH109" s="263"/>
      <c r="AI109" s="263"/>
      <c r="AJ109" s="263"/>
      <c r="AK109" s="263"/>
      <c r="AL109" s="263"/>
      <c r="AM109" s="242"/>
    </row>
    <row r="110" spans="1:39" ht="18" customHeight="1" outlineLevel="3" x14ac:dyDescent="0.15">
      <c r="A110" s="240">
        <f t="shared" si="1"/>
        <v>107</v>
      </c>
      <c r="B110" s="362">
        <v>338</v>
      </c>
      <c r="C110" s="72" t="s">
        <v>472</v>
      </c>
      <c r="D110" s="359" cm="1">
        <f t="array" ref="D110">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0" s="359" cm="1">
        <f t="array" ref="E110">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0" s="368" cm="1">
        <f t="array" ref="F110">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0" s="240"/>
      <c r="H110" s="362">
        <v>338</v>
      </c>
      <c r="I110" s="72" t="s">
        <v>472</v>
      </c>
      <c r="J110" s="359" cm="1">
        <f t="array" ref="J110">+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0" s="359" cm="1">
        <f t="array" ref="K110">+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0" s="240"/>
      <c r="M110" s="362">
        <v>338</v>
      </c>
      <c r="N110" s="72" t="s">
        <v>472</v>
      </c>
      <c r="O110" s="368" cm="1">
        <f t="array" ref="O110"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0" s="368" cm="1">
        <f t="array" ref="P110"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0" s="263"/>
      <c r="R110" s="240"/>
      <c r="S110" s="263"/>
      <c r="T110" s="263"/>
      <c r="U110" s="263"/>
      <c r="V110" s="263"/>
      <c r="W110" s="263"/>
      <c r="X110" s="263"/>
      <c r="Y110" s="263"/>
      <c r="Z110" s="263"/>
      <c r="AA110" s="263"/>
      <c r="AB110" s="263"/>
      <c r="AC110" s="263"/>
      <c r="AD110" s="263"/>
      <c r="AE110" s="263"/>
      <c r="AF110" s="263"/>
      <c r="AG110" s="263"/>
      <c r="AH110" s="263"/>
      <c r="AI110" s="263"/>
      <c r="AJ110" s="263"/>
      <c r="AK110" s="263"/>
      <c r="AL110" s="263"/>
      <c r="AM110" s="242"/>
    </row>
    <row r="111" spans="1:39" ht="18" customHeight="1" outlineLevel="1" x14ac:dyDescent="0.15">
      <c r="A111" s="240">
        <f t="shared" si="1"/>
        <v>108</v>
      </c>
      <c r="B111" s="369">
        <v>400</v>
      </c>
      <c r="C111" s="77" t="s">
        <v>473</v>
      </c>
      <c r="D111" s="370">
        <f>+D112+D117</f>
        <v>0</v>
      </c>
      <c r="E111" s="370">
        <f>+E112+E117</f>
        <v>0</v>
      </c>
      <c r="F111" s="370">
        <f>+F112+F117</f>
        <v>0</v>
      </c>
      <c r="G111" s="240"/>
      <c r="H111" s="369">
        <v>400</v>
      </c>
      <c r="I111" s="77" t="s">
        <v>473</v>
      </c>
      <c r="J111" s="370">
        <f>+J112+J117</f>
        <v>0</v>
      </c>
      <c r="K111" s="370">
        <f>+K112+K117</f>
        <v>0</v>
      </c>
      <c r="L111" s="240"/>
      <c r="M111" s="369">
        <v>400</v>
      </c>
      <c r="N111" s="77" t="s">
        <v>473</v>
      </c>
      <c r="O111" s="370">
        <f>+O112+O117</f>
        <v>0</v>
      </c>
      <c r="P111" s="370">
        <f>+P112+P117</f>
        <v>0</v>
      </c>
      <c r="Q111" s="263"/>
      <c r="R111" s="264"/>
      <c r="S111" s="263"/>
      <c r="T111" s="263"/>
      <c r="U111" s="263"/>
      <c r="V111" s="263"/>
      <c r="W111" s="263"/>
      <c r="X111" s="263"/>
      <c r="Y111" s="263"/>
      <c r="Z111" s="263"/>
      <c r="AA111" s="263"/>
      <c r="AB111" s="263"/>
      <c r="AC111" s="263"/>
      <c r="AD111" s="263"/>
      <c r="AE111" s="263"/>
      <c r="AF111" s="263"/>
      <c r="AG111" s="263"/>
      <c r="AH111" s="263"/>
      <c r="AI111" s="263"/>
      <c r="AJ111" s="263"/>
      <c r="AK111" s="263"/>
      <c r="AL111" s="263"/>
      <c r="AM111" s="242"/>
    </row>
    <row r="112" spans="1:39" ht="18" customHeight="1" outlineLevel="2" x14ac:dyDescent="0.15">
      <c r="A112" s="240">
        <f t="shared" si="1"/>
        <v>109</v>
      </c>
      <c r="B112" s="257">
        <v>410</v>
      </c>
      <c r="C112" s="73" t="s">
        <v>474</v>
      </c>
      <c r="D112" s="242">
        <f>+SUM(D113:D115)</f>
        <v>0</v>
      </c>
      <c r="E112" s="242">
        <f>+SUM(E113:E116)</f>
        <v>0</v>
      </c>
      <c r="F112" s="242">
        <f>+SUM(F113:F116)</f>
        <v>0</v>
      </c>
      <c r="G112" s="240"/>
      <c r="H112" s="257">
        <v>410</v>
      </c>
      <c r="I112" s="73" t="s">
        <v>474</v>
      </c>
      <c r="J112" s="242">
        <f>+SUM(J113:J116)</f>
        <v>0</v>
      </c>
      <c r="K112" s="242">
        <f>+SUM(K113:K116)</f>
        <v>0</v>
      </c>
      <c r="L112" s="240"/>
      <c r="M112" s="257">
        <v>410</v>
      </c>
      <c r="N112" s="73" t="s">
        <v>474</v>
      </c>
      <c r="O112" s="242">
        <f>+SUM(O113:O116)</f>
        <v>0</v>
      </c>
      <c r="P112" s="242">
        <f>+SUM(P113:P116)</f>
        <v>0</v>
      </c>
      <c r="Q112" s="263"/>
      <c r="R112" s="262"/>
      <c r="S112" s="263"/>
      <c r="T112" s="263"/>
      <c r="U112" s="263"/>
      <c r="V112" s="263"/>
      <c r="W112" s="263"/>
      <c r="X112" s="263"/>
      <c r="Y112" s="263"/>
      <c r="Z112" s="263"/>
      <c r="AA112" s="263"/>
      <c r="AB112" s="263"/>
      <c r="AC112" s="263"/>
      <c r="AD112" s="263"/>
      <c r="AE112" s="263"/>
      <c r="AF112" s="263"/>
      <c r="AG112" s="263"/>
      <c r="AH112" s="263"/>
      <c r="AI112" s="263"/>
      <c r="AJ112" s="263"/>
      <c r="AK112" s="263"/>
      <c r="AL112" s="263"/>
      <c r="AM112" s="242"/>
    </row>
    <row r="113" spans="1:39" ht="18" customHeight="1" outlineLevel="3" x14ac:dyDescent="0.15">
      <c r="A113" s="240">
        <f t="shared" si="1"/>
        <v>110</v>
      </c>
      <c r="B113" s="362">
        <v>411</v>
      </c>
      <c r="C113" s="72" t="s">
        <v>475</v>
      </c>
      <c r="D113" s="359">
        <f>SUM(Table_CoDong[Vốn góp ban đầu])</f>
        <v>0</v>
      </c>
      <c r="E113" s="359" cm="1">
        <f t="array" ref="E113">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3" s="368" cm="1">
        <f t="array" ref="F113">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3" s="240"/>
      <c r="H113" s="362">
        <v>411</v>
      </c>
      <c r="I113" s="72" t="s">
        <v>475</v>
      </c>
      <c r="J113" s="359" cm="1">
        <f t="array" ref="J113">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3" s="359" cm="1">
        <f t="array" ref="K113">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3" s="240"/>
      <c r="M113" s="362">
        <v>411</v>
      </c>
      <c r="N113" s="72" t="s">
        <v>475</v>
      </c>
      <c r="O113" s="368" cm="1">
        <f t="array" ref="O113">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3" s="368" cm="1">
        <f t="array" ref="P113">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3" s="263"/>
      <c r="R113" s="262"/>
      <c r="S113" s="263"/>
      <c r="T113" s="263"/>
      <c r="U113" s="263"/>
      <c r="V113" s="263"/>
      <c r="W113" s="263"/>
      <c r="X113" s="263"/>
      <c r="Y113" s="263"/>
      <c r="Z113" s="263"/>
      <c r="AA113" s="263"/>
      <c r="AB113" s="263"/>
      <c r="AC113" s="263"/>
      <c r="AD113" s="263"/>
      <c r="AE113" s="263"/>
      <c r="AF113" s="263"/>
      <c r="AG113" s="263"/>
      <c r="AH113" s="263"/>
      <c r="AI113" s="263"/>
      <c r="AJ113" s="263"/>
      <c r="AK113" s="263"/>
      <c r="AL113" s="263"/>
      <c r="AM113" s="242"/>
    </row>
    <row r="114" spans="1:39" ht="18" customHeight="1" outlineLevel="3" x14ac:dyDescent="0.15">
      <c r="A114" s="240">
        <f t="shared" si="1"/>
        <v>111</v>
      </c>
      <c r="B114" s="362">
        <v>416</v>
      </c>
      <c r="C114" s="72" t="s">
        <v>476</v>
      </c>
      <c r="D114" s="359">
        <v>0</v>
      </c>
      <c r="E114" s="359" cm="1">
        <f t="array" ref="E114">Table_BCTC[[#This Row],[Đầu kỳ]]+
- IFERROR(
SUM(_xlfn._xlws.FILTER(Table_LaiKhac[Giá trị],
(Table_LaiKhac[Phân loại] =$C$41) *
(NOT(ISBLANK(Table_LaiKhac[Tháng]))) *
(Table_LaiKhac[Kỳ] &lt; DATE(BCTC_Nam, BCTC_Thang, 1))
)),0)
-IFERROR(
SUMPRODUCT(
_xlfn._xlws.FILTER(Table_LaiKhac[Giá trị],
(Table_LaiKhac[Phân loại] =$C$41)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=$C$41) *
(Table_LaiKhac[Phân bổ từ] &lt; DATE(BCTC_Nam,BCTC_Thang,1))*
(Table_LaiKhac[Phân bổ đến] &gt; DATE(BCTC_Nam,BCTC_Thang-1,1))
),
1/_xlfn._xlws.FILTER(ROUND((Table_LaiKhac[Phân bổ đến]-Table_LaiKhac[Phân bổ từ])/(365.25/12),0),
(ISBLANK(Table_LaiKhac[Tháng]))*
(Table_LaiKhac[Phân loại] =$C$41) *
(Table_LaiKhac[Phân bổ từ] &lt; DATE(BCTC_Nam,BCTC_Thang,1))*
(Table_LaiKhac[Phân bổ đến] &gt; DATE(BCTC_Nam,BCTC_Thang-1,1))
)),0)</f>
        <v>0</v>
      </c>
      <c r="F114" s="368" cm="1">
        <f t="array" ref="F114">Table_BCTC[[#This Row],[Đầu kỳ]]+
- IFERROR(
SUM(_xlfn._xlws.FILTER(Table_LaiKhac[Giá trị],
(Table_LaiKhac[Phân loại] =$C$41) *
(NOT(ISBLANK(Table_LaiKhac[Tháng]))) *
(Table_LaiKhac[Kỳ] &lt; DATE(BCTC_Nam, BCTC_Thang+1, 1))
)),0)
-IFERROR(
SUMPRODUCT(
_xlfn._xlws.FILTER(Table_LaiKhac[Giá trị],
(Table_LaiKhac[Phân loại] =$C$41)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=$C$41) *
(Table_LaiKhac[Phân bổ từ] &lt; DATE(BCTC_Nam,BCTC_Thang + 1,1))*
(Table_LaiKhac[Phân bổ đến] &gt; DATE(BCTC_Nam,BCTC_Thang,1))
),
1/_xlfn._xlws.FILTER(ROUND((Table_LaiKhac[Phân bổ đến]-Table_LaiKhac[Phân bổ từ])/(365.25/12),0),
(ISBLANK(Table_LaiKhac[Tháng]))*
(Table_LaiKhac[Phân loại] =$C$41) *
(Table_LaiKhac[Phân bổ từ] &lt; DATE(BCTC_Nam,BCTC_Thang + 1,1))*
(Table_LaiKhac[Phân bổ đến] &gt; DATE(BCTC_Nam,BCTC_Thang,1))
)),0)</f>
        <v>0</v>
      </c>
      <c r="G114" s="240"/>
      <c r="H114" s="362">
        <v>416</v>
      </c>
      <c r="I114" s="72" t="s">
        <v>476</v>
      </c>
      <c r="J114" s="359" cm="1">
        <f t="array" ref="J114">Table_BCTC[[#This Row],[Đầu kỳ]]
- IFERROR(
SUM(_xlfn._xlws.FILTER(Table_LaiKhac[Giá trị],
(Table_LaiKhac[Phân loại] =$C$41) *
(NOT(ISBLANK(Table_LaiKhac[Tháng]))) *
(Table_LaiKhac[Kỳ] &lt; DATE(J$1+1,1, 1))
)),0)
-IFERROR(
SUMPRODUCT(
_xlfn._xlws.FILTER(Table_LaiKhac[Giá trị],
(Table_LaiKhac[Phân loại] =$C$41)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=$C$41) *
(Table_LaiKhac[Phân bổ từ] &lt; DATE(J$1+1,1, 1))*
(Table_LaiKhac[Phân bổ đến] &gt; DATE(J$1,1, 1))
),
1/_xlfn._xlws.FILTER(ROUND((Table_LaiKhac[Phân bổ đến]-Table_LaiKhac[Phân bổ từ])/(365.25/12),0),
(ISBLANK(Table_LaiKhac[Tháng]))*
(Table_LaiKhac[Phân loại] =$C$41) *
(Table_LaiKhac[Phân bổ từ] &lt; DATE(J$1+1,1, 1))*
(Table_LaiKhac[Phân bổ đến] &gt; DATE(J$1,1, 1))
)),0)</f>
        <v>0</v>
      </c>
      <c r="K114" s="359" cm="1">
        <f t="array" ref="K114">Table_BCTC[[#This Row],[Đầu kỳ]]
- IFERROR(
SUM(_xlfn._xlws.FILTER(Table_LaiKhac[Giá trị],
(Table_LaiKhac[Phân loại] =$C$41) *
(NOT(ISBLANK(Table_LaiKhac[Tháng]))) *
(Table_LaiKhac[Kỳ] &lt; DATE(K$1+1,1, 1))
)),0)
-IFERROR(
SUMPRODUCT(
_xlfn._xlws.FILTER(Table_LaiKhac[Giá trị],
(Table_LaiKhac[Phân loại] =$C$41)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=$C$41) *
(Table_LaiKhac[Phân bổ từ] &lt; DATE(K$1+1,1, 1))*
(Table_LaiKhac[Phân bổ đến] &gt; DATE(K$1,1, 1))
),
1/_xlfn._xlws.FILTER(ROUND((Table_LaiKhac[Phân bổ đến]-Table_LaiKhac[Phân bổ từ])/(365.25/12),0),
(ISBLANK(Table_LaiKhac[Tháng]))*
(Table_LaiKhac[Phân loại] =$C$41) *
(Table_LaiKhac[Phân bổ từ] &lt; DATE(K$1+1,1, 1))*
(Table_LaiKhac[Phân bổ đến] &gt; DATE(K$1,1, 1))
)),0)</f>
        <v>0</v>
      </c>
      <c r="L114" s="240"/>
      <c r="M114" s="362">
        <v>416</v>
      </c>
      <c r="N114" s="72" t="s">
        <v>476</v>
      </c>
      <c r="O114" s="368" cm="1">
        <f t="array" ref="O114">Table_BCTC[[#This Row],[Đầu kỳ]]
- IFERROR(
SUM(_xlfn._xlws.FILTER(Table_LaiKhac[Giá trị],
(Table_LaiKhac[Phân loại] =$C$41) *
(NOT(ISBLANK(Table_LaiKhac[Tháng]))) *
(Table_LaiKhac[Kỳ] &lt; DATE(YEAR(O$1),MONTH(O$1)+1, 1))
)),0)
-IFERROR(
SUMPRODUCT(
_xlfn._xlws.FILTER(Table_LaiKhac[Giá trị],
(Table_LaiKhac[Phân loại] =$C$41) *
(ISBLANK(Table_LaiKhac[Tháng]))*
(Table_LaiKhac[Phân bổ từ] &lt; DATE(YEAR(O$1),MONTH(O$1)+ 1,1))*
(Table_LaiKhac[Phân bổ đến] &gt; O$1)
),
_xlfn._xlws.FILTER(ROUND((DATE(YEAR(O$1),MONTH(O$1)+1,1)-1-Table_LaiKhac[Phân bổ từ])/(365.25/12),0),
(ISBLANK(Table_LaiKhac[Tháng]))*
(Table_LaiKhac[Phân loại] =$C$41) *
(Table_LaiKhac[Phân bổ từ] &lt; DATE(YEAR(O$1),MONTH(O$1)+ 1,1))*
(Table_LaiKhac[Phân bổ đến] &gt; O$1)
),
1/_xlfn._xlws.FILTER(ROUND((Table_LaiKhac[Phân bổ đến]-Table_LaiKhac[Phân bổ từ])/(365.25/12),0),
(ISBLANK(Table_LaiKhac[Tháng]))*
(Table_LaiKhac[Phân loại] =$C$41) *
(Table_LaiKhac[Phân bổ từ] &lt; DATE(YEAR(O$1),MONTH(O$1)+ 1,1))*
(Table_LaiKhac[Phân bổ đến] &gt; O$1)
)),0)</f>
        <v>0</v>
      </c>
      <c r="P114" s="368" cm="1">
        <f t="array" ref="P114">Table_BCTC[[#This Row],[Đầu kỳ]]
- IFERROR(
SUM(_xlfn._xlws.FILTER(Table_LaiKhac[Giá trị],
(Table_LaiKhac[Phân loại] =$C$41) *
(NOT(ISBLANK(Table_LaiKhac[Tháng]))) *
(Table_LaiKhac[Kỳ] &lt; DATE(YEAR(P$1),MONTH(P$1)+1, 1))
)),0)
-IFERROR(
SUMPRODUCT(
_xlfn._xlws.FILTER(Table_LaiKhac[Giá trị],
(Table_LaiKhac[Phân loại] =$C$41) *
(ISBLANK(Table_LaiKhac[Tháng]))*
(Table_LaiKhac[Phân bổ từ] &lt; DATE(YEAR(P$1),MONTH(P$1)+ 1,1))*
(Table_LaiKhac[Phân bổ đến] &gt; P$1)
),
_xlfn._xlws.FILTER(ROUND((DATE(YEAR(P$1),MONTH(P$1)+1,1)-1-Table_LaiKhac[Phân bổ từ])/(365.25/12),0),
(ISBLANK(Table_LaiKhac[Tháng]))*
(Table_LaiKhac[Phân loại] =$C$41) *
(Table_LaiKhac[Phân bổ từ] &lt; DATE(YEAR(P$1),MONTH(P$1)+ 1,1))*
(Table_LaiKhac[Phân bổ đến] &gt; P$1)
),
1/_xlfn._xlws.FILTER(ROUND((Table_LaiKhac[Phân bổ đến]-Table_LaiKhac[Phân bổ từ])/(365.25/12),0),
(ISBLANK(Table_LaiKhac[Tháng]))*
(Table_LaiKhac[Phân loại] =$C$41) *
(Table_LaiKhac[Phân bổ từ] &lt; DATE(YEAR(P$1),MONTH(P$1)+ 1,1))*
(Table_LaiKhac[Phân bổ đến] &gt; P$1)
)),0)</f>
        <v>0</v>
      </c>
      <c r="Q114" s="263"/>
      <c r="R114" s="374"/>
      <c r="S114" s="263"/>
      <c r="T114" s="263"/>
      <c r="U114" s="263"/>
      <c r="V114" s="263"/>
      <c r="W114" s="263"/>
      <c r="X114" s="263"/>
      <c r="Y114" s="263"/>
      <c r="Z114" s="263"/>
      <c r="AA114" s="263"/>
      <c r="AB114" s="263"/>
      <c r="AC114" s="263"/>
      <c r="AD114" s="263"/>
      <c r="AE114" s="263"/>
      <c r="AF114" s="263"/>
      <c r="AG114" s="263"/>
      <c r="AH114" s="263"/>
      <c r="AI114" s="263"/>
      <c r="AJ114" s="263"/>
      <c r="AK114" s="263"/>
      <c r="AL114" s="263"/>
      <c r="AM114" s="242"/>
    </row>
    <row r="115" spans="1:39" ht="18" customHeight="1" outlineLevel="3" x14ac:dyDescent="0.15">
      <c r="A115" s="240">
        <f t="shared" si="1"/>
        <v>112</v>
      </c>
      <c r="B115" s="362">
        <v>420</v>
      </c>
      <c r="C115" s="72" t="s">
        <v>477</v>
      </c>
      <c r="D115" s="359">
        <v>0</v>
      </c>
      <c r="E115" s="359" cm="1">
        <f t="array" ref="E115">Table_BCTC[[#This Row],[Đầu kỳ]]+E116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5" s="359" cm="1">
        <f t="array" ref="F115">Table_BCTC[[#This Row],[Đầu kỳ]]+F116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BCTC_Thang+1, 1))
),
_xlfn._xlws.FILTER(ROUND((MIN(DATE(BCTC_Nam, BCTC_Thang+1, 1), Table_VayNo[Kết thúc trả gốc]) - MAX(BCTC_BatDau,Table_VayNo[Ngày vay])) / (365.25/12), 0),
(ISBLANK(Table_VayNo[Thời hạn (tháng)]))*
(Table_VayNo[Ngày vay] &lt; DATE(BCTC_Nam, BCTC_Thang+1,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5" s="240"/>
      <c r="H115" s="362">
        <v>420</v>
      </c>
      <c r="I115" s="72" t="s">
        <v>477</v>
      </c>
      <c r="J115" s="359" cm="1">
        <f t="array" ref="J115" xml:space="preserve">
Table_BCTC[[#This Row],[Đầu kỳ]]+J116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5" s="359" cm="1">
        <f t="array" ref="K115" xml:space="preserve">
Table_BCTC[[#This Row],[Đầu kỳ]]+K116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5" s="240"/>
      <c r="M115" s="362">
        <v>420</v>
      </c>
      <c r="N115" s="72" t="s">
        <v>477</v>
      </c>
      <c r="O115" s="310" cm="1">
        <f t="array" ref="O115">Table_BCTC[[#This Row],[Đầu kỳ]]+O116
-IFERROR(
SUM(_xlfn._xlws.FILTER(Table_TonKho[Chi phí ghi nhận],
(Table_TonKho[Kỳ]&lt;DATE(YEAR(O$1),MONTH(O$1)+1,1))*
(NOT(ISBLANK(Table_TonKho[Chức năng])))
)),0)
-IFERROR(
SUM(_xlfn._xlws.FILTER(Table_ChiPhiKD[Giá trị],
(NOT(ISBLANK(Table_ChiPhiKD[Tháng])))*
(Table_ChiPhiKD[Kỳ]&lt;DATE(YEAR(O$1),MONTH(O$1)+1,1))
)),0)
-IFERROR(
SUM(_xlfn._xlws.FILTER(Table_ChiPhiKD[Giá trị],
(ISBLANK(Table_ChiPhiKD[Tháng]))*
(Table_ChiPhiKD[Phân bổ đến]&lt;O$1)
)),0)
-IFERROR(
SUMPRODUCT(
_xlfn._xlws.FILTER(Table_ChiPhiKD[Giá trị],
(ISBLANK(Table_ChiPhiKD[Tháng]))*
(Table_ChiPhiKD[Phân bổ từ]&lt;DATE(YEAR(O$1),MONTH(O$1)+1,1))*
(Table_ChiPhiKD[Phân bổ đến]&gt;=O$1)),
_xlfn._xlws.FILTER(
ROUND((DATE(YEAR(O$1),MONTH(O$1)+1,1)-1-Table_ChiPhiKD[Phân bổ từ])/(365.25/12),0),
(ISBLANK(Table_ChiPhiKD[Tháng]))*
(Table_ChiPhiKD[Phân bổ từ]&lt;DATE(YEAR(O$1),MONTH(O$1)+1,1))*
(Table_ChiPhiKD[Phân bổ đến]&gt;=O$1)),
1/_xlfn._xlws.FILTER(
ROUND((Table_ChiPhiKD[Phân bổ đến]-Table_ChiPhiKD[Phân bổ từ])/(365.25/12),0),
(ISBLANK(Table_ChiPhiKD[Tháng]))*
(Table_ChiPhiKD[Phân bổ từ]&lt;DATE(YEAR(O$1),MONTH(O$1)+1,1))*
(Table_ChiPhiKD[Phân bổ đến]&gt;=O$1)
)),0)
-IFERROR(
SUM(_xlfn._xlws.FILTER(Table_DonMua[Phụ phí]-Table_DonMua[Khuyến mãi],
(Table_DonMua[Ngày lập]&lt;DATE(YEAR(O$1),MONTH(O$1)+1,1))
)),0)
-IFERROR(
SUM(_xlfn._xlws.FILTER(Table_TSCD_KhauHao[Khấu hao],
(Table_TSCD_KhauHao[Kỳ]&lt;DATE(YEAR(O$1),MONTH(O$1)+1,1))
)),0)
-IFERROR(
SUM(_xlfn._xlws.FILTER(Table_Main[CK kênh],
(Table_Main[Ngày lên đơn]&lt;DATE(YEAR(O$1),MONTH(O$1)+1,1))
)),0)
-IFERROR(
SUM(_xlfn._xlws.FILTER(Table_KPI[Thưởng KPI],
(NOT(ISBLANK(Table_KPI[Kênh]))) *
(NOT(ISBLANK(Table_KPI[Tháng]))) *
(Table_KPI[Kỳ]&lt;DATE(YEAR(O$1),MONTH(O$1)+1, 1))
)),0)
-IFERROR(
SUM(
_xlfn._xlws.FILTER(Table_KPI[Thưởng KPI],
(NOT(ISBLANK(Table_KPI[Kênh]))) *
(ISBLANK(Table_KPI[Tháng])) *
(Table_KPI[Năm]&lt;YEAR(O$1))
)),0)
-IFERROR(
SUM(_xlfn._xlws.FILTER(Table_KPI[Thưởng KPI],
(NOT(ISBLANK(Table_KPI[Kênh]))) *
(ISBLANK(Table_KPI[Tháng])) *
(Table_KPI[Năm]=YEAR(O$1))
))*MONTH(O$1)/12,0)
-IFERROR(
SUM(_xlfn._xlws.FILTER(Table_ChiPhiNV[Tổng chi phí],
(NOT(ISBLANK(Table_ChiPhiNV[Tháng])))*
(Table_ChiPhiNV[Kỳ]&lt;DATE(YEAR(O$1),MONTH(O$1)+1,1))
)),0)
-IFERROR(
SUM(_xlfn._xlws.FILTER(Table_ChiPhiNV[Tổng chi phí],
(ISBLANK(Table_ChiPhiNV[Tháng]))*
(Table_ChiPhiNV[Phân bổ đến]&lt;O$1)
)),0)
-IFERROR(
SUMPRODUCT(
_xlfn._xlws.FILTER(Table_ChiPhiNV[Tổng chi phí],
(ISBLANK(Table_ChiPhiNV[Tháng]))*
(Table_ChiPhiNV[Phân bổ từ]&lt;DATE(YEAR(O$1),MONTH(O$1)+1,1))*
(Table_ChiPhiNV[Phân bổ đến]&gt;=O$1)),
_xlfn._xlws.FILTER(
ROUND((DATE(YEAR(O$1),MONTH(O$1)+1,1)-1-Table_ChiPhiNV[Phân bổ từ])
/(365.25/12),0),
(ISBLANK(Table_ChiPhiNV[Tháng]))*
(Table_ChiPhiNV[Phân bổ từ]&lt;DATE(YEAR(O$1),MONTH(O$1)+1,1))*
(Table_ChiPhiNV[Phân bổ đến]&gt;=O$1)),
1/_xlfn._xlws.FILTER(
ROUND((Table_ChiPhiNV[Phân bổ đến]-Table_ChiPhiNV[Phân bổ từ])/(365.25/12),0),
(ISBLANK(Table_ChiPhiNV[Tháng]))*
(Table_ChiPhiNV[Phân bổ từ]&lt;DATE(YEAR(O$1),MONTH(O$1)+1,1))*
(Table_ChiPhiNV[Phân bổ đến]&gt;=O$1)
)),0)
-IFERROR(
SUM(_xlfn._xlws.FILTER(Table_VanDon[Phí ship],
(Table_VanDon[Bên chịu phí]="Bên bán") *
(Table_VanDon[Ngày lập]&lt;DATE(YEAR(O$1),MONTH(O$1)+1,1))
)),0)
-IFERROR(
SUM(_xlfn._xlws.FILTER(Table_ThuChiKD[Phí GD],
(Table_ThuChiKD[Ngày GD]&lt;DATE(YEAR(O$1),MONTH(O$1)+1,1))
)),0)
-IFERROR(
SUM(_xlfn._xlws.FILTER(Table_VayNo_LichTra[Lãi vay],
(Table_VayNo_LichTra[Kỳ]&lt;DATE(YEAR(O$1),MONTH(O$1)+1,1))*
(NOT(ISBLANK(Table_VayNo_LichTra[Tháng])))
)),0)
-IFERROR(
SUM(_xlfn._xlws.FILTER(Table_VayNo_LichTra[Lãi vay],
(Table_VayNo_LichTra[Năm]&lt;YEAR(O$1))*
(ISBLANK(Table_VayNo_LichTra[Tháng]))
)),0)
-IFERROR(
SUMPRODUCT(
_xlfn._xlws.FILTER(Table_VayNo_LichTra[Lãi vay],
(Table_VayNo_LichTra[Năm]=YEAR(O$1))*
(ISBLANK(Table_VayNo_LichTra[Tháng]))
),
_xlfn._xlws.FILTER(
IF(VLOOKUP(Table_VayNo_LichTra[Khoản vay],
Table_VayNo[], COUNTA(Table_VayNo[[#Headers],[Mã khoản vay]:[Ngày vay]]),
0)&lt;DATE(YEAR(O$1),1,1),MONTH(O$1),
MONTH(O$1)-MONTH(VLOOKUP(Table_VayNo_LichTra[Khoản vay],
Table_VayNo[],COUNTA(Table_VayNo[[#Headers],[Mã khoản vay]:[Ngày vay]]),
0))),
(Table_VayNo_LichTra[Năm]=YEAR(O$1))*
(ISBLANK(Table_VayNo_LichTra[Tháng]))),
_xlfn._xlws.FILTER(
IF(VLOOKUP(Table_VayNo_LichTra[Khoản vay],Table_VayNo[],COUNTA(Table_VayNo[[#Headers],[Mã khoản vay]:[Kết thúc trả gốc]]),0)
&gt;=DATE(YEAR(O$1)+1,1,1),12,MONTH(VLOOKUP(Table_VayNo_LichTra[Khoản vay],
Table_VayNo[],COUNTA(Table_VayNo[[#Headers],[Mã khoản vay]:[Kết thúc trả gốc]]),0)))
-IF(VLOOKUP(Table_VayNo_LichTra[Khoản vay],
Table_VayNo[],COUNTA(Table_VayNo[[#Headers],[Mã khoản vay]:[Ngày vay]]),0) &lt;DATE(YEAR(O$1),1,1),0,
MONTH(VLOOKUP(Table_VayNo_LichTra[Khoản vay],
Table_VayNo[],COUNTA(Table_VayNo[[#Headers],[Mã khoản vay]:[Ngày vay]]),
0))),
(Table_VayNo_LichTra[Năm]=YEAR(O$1))*
(ISBLANK(Table_VayNo_LichTra[Tháng]))
)),0)
+IFERROR(
SUM(_xlfn._xlws.FILTER(Table_DauTu_LichThu[Nhận lãi],
(Table_DauTu_LichThu[Kỳ]&lt;DATE(YEAR(O$1),MONTH(O$1)+1,1))
)),0)
+IFERROR(
SUM(_xlfn._xlws.FILTER(Table_LaiKhac[Giá trị],
(NOT(ISBLANK(Table_LaiKhac[Tháng])))*
(Table_LaiKhac[Kỳ]&lt;DATE(YEAR(O$1),MONTH(O$1)+1,1))
)),0)
+IFERROR(
SUM(_xlfn._xlws.FILTER(Table_LaiKhac[Giá trị],
(ISBLANK(Table_LaiKhac[Tháng]))*
(Table_LaiKhac[Phân bổ đến]&lt;O$1)
)),0)
+IFERROR(
SUMPRODUCT(
_xlfn._xlws.FILTER(Table_LaiKhac[Giá trị],
(ISBLANK(Table_LaiKhac[Tháng]))*
(Table_LaiKhac[Phân bổ từ]&lt;DATE(YEAR(O$1),MONTH(O$1)+1,1))*
(Table_LaiKhac[Phân bổ đến]&gt;=O$1)
),
_xlfn._xlws.FILTER(
ROUND((DATE(YEAR(O$1),MONTH(O$1)+1,1)-1-Table_LaiKhac[Phân bổ từ])/(365.25/12),0),
(ISBLANK(Table_LaiKhac[Tháng]))*
(Table_LaiKhac[Phân bổ từ]&lt;DATE(YEAR(O$1),MONTH(O$1)+1,1))*
(Table_LaiKhac[Phân bổ đến]&gt;=O$1)
),
1/_xlfn._xlws.FILTER(
ROUND((Table_LaiKhac[Phân bổ đến]-Table_LaiKhac[Phân bổ từ])/(365.25/12),0),
(ISBLANK(Table_LaiKhac[Tháng]))*
(Table_LaiKhac[Phân bổ từ]&lt;DATE(YEAR(O$1),MONTH(O$1)+1,1))*
(Table_LaiKhac[Phân bổ đến]&gt;=O$1)
)),0)
-IFERROR(
SUM(_xlfn._xlws.FILTER(Table_LaiKhac[Giá trị VAT],
(Table_LaiKhac[Giá trị]&gt;0)*
(NOT(ISBLANK(Table_LaiKhac[Tháng])))*
(Table_LaiKhac[Kỳ]&lt;DATE(YEAR(O$1),MONTH(O$1)+1,1))
)),0)
-IFERROR(
SUM(_xlfn._xlws.FILTER(Table_LaiKhac[Giá trị VAT],
(Table_LaiKhac[Giá trị]&gt;0)*
(ISBLANK(Table_LaiKhac[Tháng]))*
(Table_LaiKhac[Phân bổ đến]&lt;O$1)
)),0)
-IFERROR(
SUMPRODUCT(
_xlfn._xlws.FILTER(Table_LaiKhac[Giá trị VAT],
(Table_LaiKhac[Giá trị]&gt;0)*
(ISBLANK(Table_LaiKhac[Tháng]))*
(Table_LaiKhac[Phân bổ từ]&lt;DATE(YEAR(O$1),MONTH(O$1)+1,1))*
(Table_LaiKhac[Phân bổ đến]&gt;=O$1)),
_xlfn._xlws.FILTER(
ROUND((DATE(YEAR(O$1),MONTH(O$1)+1,1)-1-Table_LaiKhac[Phân bổ từ])/(365.25/12),0),
(Table_LaiKhac[Giá trị]&gt;0)*
(ISBLANK(Table_LaiKhac[Tháng]))*
(Table_LaiKhac[Phân bổ từ]&lt;DATE(YEAR(O$1),MONTH(O$1)+1,1))*
(Table_LaiKhac[Phân bổ đến]&gt;=O$1)),
1/_xlfn._xlws.FILTER(
ROUND((Table_LaiKhac[Phân bổ đến]-Table_LaiKhac[Phân bổ từ])/(365.25/12),0),
(Table_LaiKhac[Giá trị]&gt;0)*
(ISBLANK(Table_LaiKhac[Tháng]))*
(Table_LaiKhac[Phân bổ từ]&lt;DATE(YEAR(O$1),MONTH(O$1)+1,1))*
(Table_LaiKhac[Phân bổ đến]&gt;=O$1)
)),0)
-IFERROR(
SUM(_xlfn._xlws.FILTER(Table_ThuChiTC[Giá trị GD],
(Table_ThuChiTC[Loại GD]="CHI") *
(Table_ThuChiTC[Nội dung GD]="Cổ tức, lợi nhuận đã trả cho chú sở hữu") *
(Table_ThuChiTC[Ngày GD]&lt;DATE(YEAR(O$1),MONTH(O$1)+1,1))
)),0)
+IFERROR(
SUM(_xlfn._xlws.FILTER(Table_ThuChiTC[Giá trị GD],
(Table_ThuChiTC[Loại GD]="THU")*
(Table_ThuChiTC[Nội dung GD]="Cổ tức, lợi nhuận đã trả cho chú sở hữu")*
(Table_ThuChiTC[Ngày GD]&lt;DATE(YEAR(O$1),MONTH(O$1)+1,1))
)),0)</f>
        <v>0</v>
      </c>
      <c r="P115" s="310" cm="1">
        <f t="array" ref="P115">Table_BCTC[[#This Row],[Đầu kỳ]]+P116
-IFERROR(
SUM(_xlfn._xlws.FILTER(Table_TonKho[Chi phí ghi nhận],
(Table_TonKho[Kỳ]&lt;DATE(YEAR(P$1),MONTH(P$1)+1,1))*
(NOT(ISBLANK(Table_TonKho[Chức năng])))
)),0)
-IFERROR(
SUM(_xlfn._xlws.FILTER(Table_ChiPhiKD[Giá trị],
(NOT(ISBLANK(Table_ChiPhiKD[Tháng])))*
(Table_ChiPhiKD[Kỳ]&lt;DATE(YEAR(P$1),MONTH(P$1)+1,1))
)),0)
-IFERROR(
SUM(_xlfn._xlws.FILTER(Table_ChiPhiKD[Giá trị],
(ISBLANK(Table_ChiPhiKD[Tháng]))*
(Table_ChiPhiKD[Phân bổ đến]&lt;P$1)
)),0)
-IFERROR(
SUMPRODUCT(
_xlfn._xlws.FILTER(Table_ChiPhiKD[Giá trị],
(ISBLANK(Table_ChiPhiKD[Tháng]))*
(Table_ChiPhiKD[Phân bổ từ]&lt;DATE(YEAR(P$1),MONTH(P$1)+1,1))*
(Table_ChiPhiKD[Phân bổ đến]&gt;=P$1)),
_xlfn._xlws.FILTER(
ROUND((DATE(YEAR(P$1),MONTH(P$1)+1,1)-1-Table_ChiPhiKD[Phân bổ từ])/(365.25/12),0),
(ISBLANK(Table_ChiPhiKD[Tháng]))*
(Table_ChiPhiKD[Phân bổ từ]&lt;DATE(YEAR(P$1),MONTH(P$1)+1,1))*
(Table_ChiPhiKD[Phân bổ đến]&gt;=P$1)),
1/_xlfn._xlws.FILTER(
ROUND((Table_ChiPhiKD[Phân bổ đến]-Table_ChiPhiKD[Phân bổ từ])/(365.25/12),0),
(ISBLANK(Table_ChiPhiKD[Tháng]))*
(Table_ChiPhiKD[Phân bổ từ]&lt;DATE(YEAR(P$1),MONTH(P$1)+1,1))*
(Table_ChiPhiKD[Phân bổ đến]&gt;=P$1)
)),0)
-IFERROR(
SUM(_xlfn._xlws.FILTER(Table_DonMua[Phụ phí]-Table_DonMua[Khuyến mãi],
(Table_DonMua[Ngày lập]&lt;DATE(YEAR(P$1),MONTH(P$1)+1,1))
)),0)
-IFERROR(
SUM(_xlfn._xlws.FILTER(Table_TSCD_KhauHao[Khấu hao],
(Table_TSCD_KhauHao[Kỳ]&lt;DATE(YEAR(P$1),MONTH(P$1)+1,1))
)),0)
-IFERROR(
SUM(_xlfn._xlws.FILTER(Table_Main[CK kênh],
(Table_Main[Ngày lên đơn]&lt;DATE(YEAR(P$1),MONTH(P$1)+1,1))
)),0)
-IFERROR(
SUM(_xlfn._xlws.FILTER(Table_KPI[Thưởng KPI],
(NOT(ISBLANK(Table_KPI[Kênh]))) *
(NOT(ISBLANK(Table_KPI[Tháng]))) *
(Table_KPI[Kỳ]&lt;DATE(YEAR(P$1),MONTH(P$1)+1, 1))
)),0)
-IFERROR(
SUM(
_xlfn._xlws.FILTER(Table_KPI[Thưởng KPI],
(NOT(ISBLANK(Table_KPI[Kênh]))) *
(ISBLANK(Table_KPI[Tháng])) *
(Table_KPI[Năm]&lt;YEAR(P$1))
)),0)
-IFERROR(
SUM(_xlfn._xlws.FILTER(Table_KPI[Thưởng KPI],
(NOT(ISBLANK(Table_KPI[Kênh]))) *
(ISBLANK(Table_KPI[Tháng])) *
(Table_KPI[Năm]=YEAR(P$1))
))*MONTH(P$1)/12,0)
-IFERROR(
SUM(_xlfn._xlws.FILTER(Table_ChiPhiNV[Tổng chi phí],
(NOT(ISBLANK(Table_ChiPhiNV[Tháng])))*
(Table_ChiPhiNV[Kỳ]&lt;DATE(YEAR(P$1),MONTH(P$1)+1,1))
)),0)
-IFERROR(
SUM(_xlfn._xlws.FILTER(Table_ChiPhiNV[Tổng chi phí],
(ISBLANK(Table_ChiPhiNV[Tháng]))*
(Table_ChiPhiNV[Phân bổ đến]&lt;P$1)
)),0)
-IFERROR(
SUMPRODUCT(
_xlfn._xlws.FILTER(Table_ChiPhiNV[Tổng chi phí],
(ISBLANK(Table_ChiPhiNV[Tháng]))*
(Table_ChiPhiNV[Phân bổ từ]&lt;DATE(YEAR(P$1),MONTH(P$1)+1,1))*
(Table_ChiPhiNV[Phân bổ đến]&gt;=P$1)),
_xlfn._xlws.FILTER(
ROUND((DATE(YEAR(P$1),MONTH(P$1)+1,1)-1-Table_ChiPhiNV[Phân bổ từ])
/(365.25/12),0),
(ISBLANK(Table_ChiPhiNV[Tháng]))*
(Table_ChiPhiNV[Phân bổ từ]&lt;DATE(YEAR(P$1),MONTH(P$1)+1,1))*
(Table_ChiPhiNV[Phân bổ đến]&gt;=P$1)),
1/_xlfn._xlws.FILTER(
ROUND((Table_ChiPhiNV[Phân bổ đến]-Table_ChiPhiNV[Phân bổ từ])/(365.25/12),0),
(ISBLANK(Table_ChiPhiNV[Tháng]))*
(Table_ChiPhiNV[Phân bổ từ]&lt;DATE(YEAR(P$1),MONTH(P$1)+1,1))*
(Table_ChiPhiNV[Phân bổ đến]&gt;=P$1)
)),0)
-IFERROR(
SUM(_xlfn._xlws.FILTER(Table_VanDon[Phí ship],
(Table_VanDon[Bên chịu phí]="Bên bán") *
(Table_VanDon[Ngày lập]&lt;DATE(YEAR(P$1),MONTH(P$1)+1,1))
)),0)
-IFERROR(
SUM(_xlfn._xlws.FILTER(Table_ThuChiKD[Phí GD],
(Table_ThuChiKD[Ngày GD]&lt;DATE(YEAR(P$1),MONTH(P$1)+1,1))
)),0)
-IFERROR(
SUM(_xlfn._xlws.FILTER(Table_VayNo_LichTra[Lãi vay],
(Table_VayNo_LichTra[Kỳ]&lt;DATE(YEAR(P$1),MONTH(P$1)+1,1))*
(NOT(ISBLANK(Table_VayNo_LichTra[Tháng])))
)),0)
-IFERROR(
SUM(_xlfn._xlws.FILTER(Table_VayNo_LichTra[Lãi vay],
(Table_VayNo_LichTra[Năm]&lt;YEAR(P$1))*
(ISBLANK(Table_VayNo_LichTra[Tháng]))
)),0)
-IFERROR(
SUMPRODUCT(
_xlfn._xlws.FILTER(Table_VayNo_LichTra[Lãi vay],
(Table_VayNo_LichTra[Năm]=YEAR(P$1))*
(ISBLANK(Table_VayNo_LichTra[Tháng]))
),
_xlfn._xlws.FILTER(
IF(VLOOKUP(Table_VayNo_LichTra[Khoản vay],
Table_VayNo[], COUNTA(Table_VayNo[[#Headers],[Mã khoản vay]:[Ngày vay]]),
0)&lt;DATE(YEAR(P$1),1,1),MONTH(P$1),
MONTH(P$1)-MONTH(VLOOKUP(Table_VayNo_LichTra[Khoản vay],
Table_VayNo[],COUNTA(Table_VayNo[[#Headers],[Mã khoản vay]:[Ngày vay]]),
0))),
(Table_VayNo_LichTra[Năm]=YEAR(P$1))*
(ISBLANK(Table_VayNo_LichTra[Tháng]))),
_xlfn._xlws.FILTER(
IF(VLOOKUP(Table_VayNo_LichTra[Khoản vay],Table_VayNo[],COUNTA(Table_VayNo[[#Headers],[Mã khoản vay]:[Kết thúc trả gốc]]),0)
&gt;=DATE(YEAR(P$1)+1,1,1),12,MONTH(VLOOKUP(Table_VayNo_LichTra[Khoản vay],
Table_VayNo[],COUNTA(Table_VayNo[[#Headers],[Mã khoản vay]:[Kết thúc trả gốc]]),0)))
-IF(VLOOKUP(Table_VayNo_LichTra[Khoản vay],
Table_VayNo[],COUNTA(Table_VayNo[[#Headers],[Mã khoản vay]:[Ngày vay]]),0) &lt;DATE(YEAR(P$1),1,1),0,
MONTH(VLOOKUP(Table_VayNo_LichTra[Khoản vay],
Table_VayNo[],COUNTA(Table_VayNo[[#Headers],[Mã khoản vay]:[Ngày vay]]),
0))),
(Table_VayNo_LichTra[Năm]=YEAR(P$1))*
(ISBLANK(Table_VayNo_LichTra[Tháng]))
)),0)
+IFERROR(
SUM(_xlfn._xlws.FILTER(Table_DauTu_LichThu[Nhận lãi],
(Table_DauTu_LichThu[Kỳ]&lt;DATE(YEAR(P$1),MONTH(P$1)+1,1))
)),0)
+IFERROR(
SUM(_xlfn._xlws.FILTER(Table_LaiKhac[Giá trị],
(NOT(ISBLANK(Table_LaiKhac[Tháng])))*
(Table_LaiKhac[Kỳ]&lt;DATE(YEAR(P$1),MONTH(P$1)+1,1))
)),0)
+IFERROR(
SUM(_xlfn._xlws.FILTER(Table_LaiKhac[Giá trị],
(ISBLANK(Table_LaiKhac[Tháng]))*
(Table_LaiKhac[Phân bổ đến]&lt;P$1)
)),0)
+IFERROR(
SUMPRODUCT(
_xlfn._xlws.FILTER(Table_LaiKhac[Giá trị],
(ISBLANK(Table_LaiKhac[Tháng]))*
(Table_LaiKhac[Phân bổ từ]&lt;DATE(YEAR(P$1),MONTH(P$1)+1,1))*
(Table_LaiKhac[Phân bổ đến]&gt;=P$1)
),
_xlfn._xlws.FILTER(
ROUND((DATE(YEAR(P$1),MONTH(P$1)+1,1)-1-Table_LaiKhac[Phân bổ từ])/(365.25/12),0),
(ISBLANK(Table_LaiKhac[Tháng]))*
(Table_LaiKhac[Phân bổ từ]&lt;DATE(YEAR(P$1),MONTH(P$1)+1,1))*
(Table_LaiKhac[Phân bổ đến]&gt;=P$1)
),
1/_xlfn._xlws.FILTER(
ROUND((Table_LaiKhac[Phân bổ đến]-Table_LaiKhac[Phân bổ từ])/(365.25/12),0),
(ISBLANK(Table_LaiKhac[Tháng]))*
(Table_LaiKhac[Phân bổ từ]&lt;DATE(YEAR(P$1),MONTH(P$1)+1,1))*
(Table_LaiKhac[Phân bổ đến]&gt;=P$1)
)),0)
-IFERROR(
SUM(_xlfn._xlws.FILTER(Table_LaiKhac[Giá trị VAT],
(Table_LaiKhac[Giá trị]&gt;0)*
(NOT(ISBLANK(Table_LaiKhac[Tháng])))*
(Table_LaiKhac[Kỳ]&lt;DATE(YEAR(P$1),MONTH(P$1)+1,1))
)),0)
-IFERROR(
SUM(_xlfn._xlws.FILTER(Table_LaiKhac[Giá trị VAT],
(Table_LaiKhac[Giá trị]&gt;0)*
(ISBLANK(Table_LaiKhac[Tháng]))*
(Table_LaiKhac[Phân bổ đến]&lt;P$1)
)),0)
-IFERROR(
SUMPRODUCT(
_xlfn._xlws.FILTER(Table_LaiKhac[Giá trị VAT],
(Table_LaiKhac[Giá trị]&gt;0)*
(ISBLANK(Table_LaiKhac[Tháng]))*
(Table_LaiKhac[Phân bổ từ]&lt;DATE(YEAR(P$1),MONTH(P$1)+1,1))*
(Table_LaiKhac[Phân bổ đến]&gt;=P$1)),
_xlfn._xlws.FILTER(
ROUND((DATE(YEAR(P$1),MONTH(P$1)+1,1)-1-Table_LaiKhac[Phân bổ từ])/(365.25/12),0),
(Table_LaiKhac[Giá trị]&gt;0)*
(ISBLANK(Table_LaiKhac[Tháng]))*
(Table_LaiKhac[Phân bổ từ]&lt;DATE(YEAR(P$1),MONTH(P$1)+1,1))*
(Table_LaiKhac[Phân bổ đến]&gt;=P$1)),
1/_xlfn._xlws.FILTER(
ROUND((Table_LaiKhac[Phân bổ đến]-Table_LaiKhac[Phân bổ từ])/(365.25/12),0),
(Table_LaiKhac[Giá trị]&gt;0)*
(ISBLANK(Table_LaiKhac[Tháng]))*
(Table_LaiKhac[Phân bổ từ]&lt;DATE(YEAR(P$1),MONTH(P$1)+1,1))*
(Table_LaiKhac[Phân bổ đến]&gt;=P$1)
)),0)
-IFERROR(
SUM(_xlfn._xlws.FILTER(Table_ThuChiTC[Giá trị GD],
(Table_ThuChiTC[Loại GD]="CHI") *
(Table_ThuChiTC[Nội dung GD]="Cổ tức, lợi nhuận đã trả cho chú sở hữu") *
(Table_ThuChiTC[Ngày GD]&lt;DATE(YEAR(P$1),MONTH(P$1)+1,1))
)),0)
+IFERROR(
SUM(_xlfn._xlws.FILTER(Table_ThuChiTC[Giá trị GD],
(Table_ThuChiTC[Loại GD]="THU")*
(Table_ThuChiTC[Nội dung GD]="Cổ tức, lợi nhuận đã trả cho chú sở hữu")*
(Table_ThuChiTC[Ngày GD]&lt;DATE(YEAR(P$1),MONTH(P$1)+1,1))
)),0)</f>
        <v>0</v>
      </c>
      <c r="Q115" s="263"/>
      <c r="R115" s="262"/>
      <c r="S115" s="263"/>
      <c r="T115" s="263"/>
      <c r="U115" s="263"/>
      <c r="V115" s="263"/>
      <c r="W115" s="263"/>
      <c r="X115" s="263"/>
      <c r="Y115" s="263"/>
      <c r="Z115" s="263"/>
      <c r="AA115" s="263"/>
      <c r="AB115" s="263"/>
      <c r="AC115" s="263"/>
      <c r="AD115" s="263"/>
      <c r="AE115" s="263"/>
      <c r="AF115" s="263"/>
      <c r="AG115" s="263"/>
      <c r="AH115" s="263"/>
      <c r="AI115" s="263"/>
      <c r="AJ115" s="263"/>
      <c r="AK115" s="263"/>
      <c r="AL115" s="263"/>
      <c r="AM115" s="242"/>
    </row>
    <row r="116" spans="1:39" ht="18" customHeight="1" outlineLevel="4" x14ac:dyDescent="0.15">
      <c r="A116" s="240">
        <f t="shared" si="1"/>
        <v>113</v>
      </c>
      <c r="B116" s="257"/>
      <c r="C116" s="72" t="s">
        <v>1266</v>
      </c>
      <c r="D116" s="359"/>
      <c r="E116" s="310" cm="1">
        <f t="array" ref="E116">+IFERROR(
SUM(
_xlfn._xlws.FILTER(Table_DonBan[Doanh thu ròng],
(ISBLANK(Table_DonBan[Phân bổ đến]))*
(Table_DonBan[Ngày lập] &lt; DATE(BCTC_Nam,Table_BCTC_Thang[], 1))
)),0)
+IFERROR(
SUM(
_xlfn._xlws.FILTER(Table_DonBan[Doanh thu ròng],
(NOT(ISBLANK(Table_DonBan[Phân bổ đến])))*
(Table_DonBan[Phân bổ đến] &lt; DATE(BCTC_Nam,Table_BCTC_Thang[], 1))
)),0)
+IFERROR(
SUMPRODUCT(
_xlfn._xlws.FILTER(Table_DonBan[Doanh thu ròng],
(NOT(ISBLANK(Table_DonBan[Phân bổ đến])))*
(Table_DonBan[Phân bổ từ] &lt; DATE(BCTC_Nam,Table_BCTC_Thang[], 1))*
(Table_DonBan[Phân bổ đến] &gt;= DATE(BCTC_Nam,Table_BCTC_Thang[]-1, 1))
),
_xlfn._xlws.FILTER(
ROUND(
(IF(DATE(BCTC_Nam,Table_BCTC_Thang[], 1)-1 &gt;Table_DonBan[Phân bổ đến],
Table_DonBan[Phân bổ đến],DATE(BCTC_Nam,Table_BCTC_Thang[], 1)-1)
-IF(DATE(BCTC_Nam,Table_BCTC_Thang[]-1, 1) &gt;Table_DonBan[Phân bổ từ],
DATE(BCTC_Nam,Table_BCTC_Thang[]-1, 1),Table_DonBan[Phân bổ từ])
) /(365.25/12),0),
(NOT(ISBLANK(Table_DonBan[Phân bổ đến])))*
(Table_DonBan[Phân bổ từ] &lt; DATE(BCTC_Nam,Table_BCTC_Thang[], 1))*
(Table_DonBan[Phân bổ đến] &gt;= DATE(BCTC_Nam,Table_BCTC_Thang[]-1, 1))
),
1/_xlfn._xlws.FILTER(
ROUND((Table_DonBan[Phân bổ đến]-Table_DonBan[Phân bổ từ])/(365.25/12),0),
(NOT(ISBLANK(Table_DonBan[Phân bổ đến])))*
(Table_DonBan[Phân bổ từ] &lt; DATE(BCTC_Nam,Table_BCTC_Thang[], 1))*
(Table_DonBan[Phân bổ đến] &gt;= DATE(BCTC_Nam,Table_BCTC_Thang[]-1, 1))
)),0)</f>
        <v>0</v>
      </c>
      <c r="F116" s="310" cm="1">
        <f t="array" ref="F116">+IFERROR(
SUM(
_xlfn._xlws.FILTER(Table_DonBan[Doanh thu ròng],
(ISBLANK(Table_DonBan[Phân bổ đến]))*
(Table_DonBan[Ngày lập] &lt; DATE(BCTC_Nam,Table_BCTC_Thang[]+1, 1))
)),0)
+IFERROR(
SUM(
_xlfn._xlws.FILTER(Table_DonBan[Doanh thu ròng],
(NOT(ISBLANK(Table_DonBan[Phân bổ đến])))*
(Table_DonBan[Phân bổ đến] &lt; DATE(BCTC_Nam,Table_BCTC_Thang[]+1, 1))
)),0)
+IFERROR(
SUMPRODUCT(
_xlfn._xlws.FILTER(Table_DonBan[Doanh thu ròng],
(NOT(ISBLANK(Table_DonBan[Phân bổ đến])))*
(Table_DonBan[Phân bổ từ] &lt; DATE(BCTC_Nam,Table_BCTC_Thang[]+1, 1))*
(Table_DonBan[Phân bổ đến] &gt;= DATE(BCTC_Nam,Table_BCTC_Thang[], 1))
),
_xlfn._xlws.FILTER(
ROUND(
(IF(DATE(BCTC_Nam,Table_BCTC_Thang[]+1, 1)-1 &gt;Table_DonBan[Phân bổ đến],
Table_DonBan[Phân bổ đến],DATE(BCTC_Nam,Table_BCTC_Thang[]+1, 1)-1)
-IF(DATE(BCTC_Nam,Table_BCTC_Thang[], 1) &gt;Table_DonBan[Phân bổ từ],
DATE(BCTC_Nam,Table_BCTC_Thang[], 1),Table_DonBan[Phân bổ từ])
) /(365.25/12),0),
(NOT(ISBLANK(Table_DonBan[Phân bổ đến])))*
(Table_DonBan[Phân bổ từ] &lt; DATE(BCTC_Nam,Table_BCTC_Thang[]+1, 1))*
(Table_DonBan[Phân bổ đến] &gt;= DATE(BCTC_Nam,Table_BCTC_Thang[], 1))
),
1/_xlfn._xlws.FILTER(
ROUND((Table_DonBan[Phân bổ đến]-Table_DonBan[Phân bổ từ])/(365.25/12),0),
(NOT(ISBLANK(Table_DonBan[Phân bổ đến])))*
(Table_DonBan[Phân bổ từ] &lt; DATE(BCTC_Nam,Table_BCTC_Thang[]+1, 1))*
(Table_DonBan[Phân bổ đến] &gt;= DATE(BCTC_Nam,Table_BCTC_Thang[], 1))
)),0)</f>
        <v>0</v>
      </c>
      <c r="G116" s="240"/>
      <c r="H116" s="356"/>
      <c r="I116" s="72" t="s">
        <v>1266</v>
      </c>
      <c r="J116" s="310" cm="1">
        <f t="array" ref="J116">+IFERROR(
SUM(
_xlfn._xlws.FILTER(Table_DonBan[Doanh thu ròng],
(ISBLANK(Table_DonBan[Phân bổ đến]))*
(Table_DonBan[Ngày lập] &lt; DATE(J$1+1,1, 1))
)),0)
+IFERROR(
SUM(
_xlfn._xlws.FILTER(Table_DonBan[Doanh thu ròng],
(NOT(ISBLANK(Table_DonBan[Phân bổ đến])))*
(Table_DonBan[Phân bổ đến] &lt; DATE(J$1,1,1))
)),0)
+IFERROR(
SUMPRODUCT(
_xlfn._xlws.FILTER(Table_DonBan[Doanh thu ròng],
(NOT(ISBLANK(Table_DonBan[Phân bổ đến])))*
(Table_DonBan[Phân bổ từ] &lt; DATE(J$1+1,1,1))*
(Table_DonBan[Phân bổ đến] &gt;= DATE(J$1,1,1))
),
_xlfn._xlws.FILTER(
ROUND(
(IF(DATE(J$1+1,1,1)-1 &gt;Table_DonBan[Phân bổ đến],
Table_DonBan[Phân bổ đến],DATE(J$1+1,1,1)-1)
-IF(DATE(J$1,1,1) &gt;Table_DonBan[Phân bổ từ],
DATE(J$1,1,1),Table_DonBan[Phân bổ từ])
) /(365.25/12),0),
(NOT(ISBLANK(Table_DonBan[Phân bổ đến])))*
(Table_DonBan[Phân bổ từ] &lt; DATE(J$1+1,1,1))*
(Table_DonBan[Phân bổ đến] &gt;= DATE(J$1,1,1))
),
1/_xlfn._xlws.FILTER(
ROUND((Table_DonBan[Phân bổ đến]-Table_DonBan[Phân bổ từ])/(365.25/12),0),
(NOT(ISBLANK(Table_DonBan[Phân bổ đến])))*
(Table_DonBan[Phân bổ từ] &lt; DATE(J$1+1,1,1))*
(Table_DonBan[Phân bổ đến] &gt;= DATE(J$1,1,1))
)),0)</f>
        <v>0</v>
      </c>
      <c r="K116" s="310" cm="1">
        <f t="array" ref="K116">+IFERROR(
SUM(
_xlfn._xlws.FILTER(Table_DonBan[Doanh thu ròng],
(ISBLANK(Table_DonBan[Phân bổ đến]))*
(Table_DonBan[Ngày lập] &lt; DATE(K$1+1,1, 1))
)),0)
+IFERROR(
SUM(
_xlfn._xlws.FILTER(Table_DonBan[Doanh thu ròng],
(NOT(ISBLANK(Table_DonBan[Phân bổ đến])))*
(Table_DonBan[Phân bổ đến] &lt; DATE(K$1,1,1))
)),0)
+IFERROR(
SUMPRODUCT(
_xlfn._xlws.FILTER(Table_DonBan[Doanh thu ròng],
(NOT(ISBLANK(Table_DonBan[Phân bổ đến])))*
(Table_DonBan[Phân bổ từ] &lt; DATE(K$1+1,1,1))*
(Table_DonBan[Phân bổ đến] &gt;= DATE(K$1,1,1))
),
_xlfn._xlws.FILTER(
ROUND(
(IF(DATE(K$1+1,1,1)-1 &gt;Table_DonBan[Phân bổ đến],
Table_DonBan[Phân bổ đến],DATE(K$1+1,1,1)-1)
-IF(DATE(K$1,1,1) &gt;Table_DonBan[Phân bổ từ],
DATE(K$1,1,1),Table_DonBan[Phân bổ từ])
) /(365.25/12),0),
(NOT(ISBLANK(Table_DonBan[Phân bổ đến])))*
(Table_DonBan[Phân bổ từ] &lt; DATE(K$1+1,1,1))*
(Table_DonBan[Phân bổ đến] &gt;= DATE(K$1,1,1))
),
1/_xlfn._xlws.FILTER(
ROUND((Table_DonBan[Phân bổ đến]-Table_DonBan[Phân bổ từ])/(365.25/12),0),
(NOT(ISBLANK(Table_DonBan[Phân bổ đến])))*
(Table_DonBan[Phân bổ từ] &lt; DATE(K$1+1,1,1))*
(Table_DonBan[Phân bổ đến] &gt;= DATE(K$1,1,1))
)),0)</f>
        <v>0</v>
      </c>
      <c r="L116" s="240"/>
      <c r="M116" s="362"/>
      <c r="N116" s="72" t="s">
        <v>1266</v>
      </c>
      <c r="O116" s="310" cm="1">
        <f t="array" ref="O116">+IFERROR(
SUM(_xlfn._xlws.FILTER(Table_DonBan[Doanh thu ròng],
(ISBLANK(Table_DonBan[Phân bổ đến]))*
(Table_DonBan[Ngày lập]&lt;DATE(YEAR(O$1),MONTH(O$1)+1,1))
)),0)
+IFERROR(
SUM(_xlfn._xlws.FILTER(Table_DonBan[Doanh thu ròng],
(NOT(ISBLANK(Table_DonBan[Phân bổ đến])))*
(Table_DonBan[Phân bổ đến]&lt;DATE(YEAR(O$1),MONTH(O$1)+1,1))
)),0)
+IFERROR(
SUMPRODUCT(
_xlfn._xlws.FILTER(Table_DonBan[Doanh thu ròng],
(NOT(ISBLANK(Table_DonBan[Phân bổ đến])))*
(Table_DonBan[Phân bổ từ]&lt;DATE(YEAR(O$1),MONTH(O$1)+1,1))*
(Table_DonBan[Phân bổ đến]&gt;=O$1)),
_xlfn._xlws.FILTER(
ROUND((IF(DATE(YEAR(O$1),MONTH(O$1)+1,1)-1&gt;Table_DonBan[Phân bổ đến],
Table_DonBan[Phân bổ đến],DATE(YEAR(O$1),MONTH(O$1)+1,1)-1)
-IF(O$1&gt;Table_DonBan[Phân bổ từ],O$1,Table_DonBan[Phân bổ từ]))/(365.25/12),0),
(NOT(ISBLANK(Table_DonBan[Phân bổ đến])))*
(Table_DonBan[Phân bổ từ]&lt;DATE(YEAR(O$1),MONTH(O$1)+1,1))*
(Table_DonBan[Phân bổ đến]&gt;=O$1)),
1/_xlfn._xlws.FILTER(
ROUND((Table_DonBan[Phân bổ đến]-Table_DonBan[Phân bổ từ])/(365.25/12),0),
(NOT(ISBLANK(Table_DonBan[Phân bổ đến])))*
(Table_DonBan[Phân bổ từ]&lt;DATE(YEAR(O$1),MONTH(O$1)+1,1))*
(Table_DonBan[Phân bổ đến]&gt;=O$1)
)),0)</f>
        <v>0</v>
      </c>
      <c r="P116" s="310" cm="1">
        <f t="array" ref="P116">+IFERROR(
SUM(_xlfn._xlws.FILTER(Table_DonBan[Doanh thu ròng],
(ISBLANK(Table_DonBan[Phân bổ đến]))*
(Table_DonBan[Ngày lập]&lt;DATE(YEAR(P$1),MONTH(P$1)+1,1))
)),0)
+IFERROR(
SUM(_xlfn._xlws.FILTER(Table_DonBan[Doanh thu ròng],
(NOT(ISBLANK(Table_DonBan[Phân bổ đến])))*
(Table_DonBan[Phân bổ đến]&lt;DATE(YEAR(P$1),MONTH(P$1)+1,1))
)),0)
+IFERROR(
SUMPRODUCT(
_xlfn._xlws.FILTER(Table_DonBan[Doanh thu ròng],
(NOT(ISBLANK(Table_DonBan[Phân bổ đến])))*
(Table_DonBan[Phân bổ từ]&lt;DATE(YEAR(P$1),MONTH(P$1)+1,1))*
(Table_DonBan[Phân bổ đến]&gt;=P$1)),
_xlfn._xlws.FILTER(
ROUND((IF(DATE(YEAR(P$1),MONTH(P$1)+1,1)-1&gt;Table_DonBan[Phân bổ đến],
Table_DonBan[Phân bổ đến],DATE(YEAR(P$1),MONTH(P$1)+1,1)-1)
-IF(P$1&gt;Table_DonBan[Phân bổ từ],P$1,Table_DonBan[Phân bổ từ]))/(365.25/12),0),
(NOT(ISBLANK(Table_DonBan[Phân bổ đến])))*
(Table_DonBan[Phân bổ từ]&lt;DATE(YEAR(P$1),MONTH(P$1)+1,1))*
(Table_DonBan[Phân bổ đến]&gt;=P$1)),
1/_xlfn._xlws.FILTER(
ROUND((Table_DonBan[Phân bổ đến]-Table_DonBan[Phân bổ từ])/(365.25/12),0),
(NOT(ISBLANK(Table_DonBan[Phân bổ đến])))*
(Table_DonBan[Phân bổ từ]&lt;DATE(YEAR(P$1),MONTH(P$1)+1,1))*
(Table_DonBan[Phân bổ đến]&gt;=P$1)
)),0)</f>
        <v>0</v>
      </c>
      <c r="Q116" s="263"/>
      <c r="R116" s="263"/>
      <c r="S116" s="263"/>
      <c r="T116" s="263"/>
      <c r="U116" s="263"/>
      <c r="V116" s="263"/>
      <c r="W116" s="263"/>
      <c r="X116" s="263"/>
      <c r="Y116" s="263"/>
      <c r="Z116" s="263"/>
      <c r="AA116" s="263"/>
      <c r="AB116" s="263"/>
      <c r="AC116" s="263"/>
      <c r="AD116" s="263"/>
      <c r="AE116" s="263"/>
      <c r="AF116" s="263"/>
      <c r="AG116" s="263"/>
      <c r="AH116" s="263"/>
      <c r="AI116" s="263"/>
      <c r="AJ116" s="263"/>
      <c r="AK116" s="263"/>
      <c r="AL116" s="263"/>
      <c r="AM116" s="242"/>
    </row>
    <row r="117" spans="1:39" ht="18" customHeight="1" outlineLevel="2" x14ac:dyDescent="0.15">
      <c r="A117" s="240">
        <f t="shared" si="1"/>
        <v>114</v>
      </c>
      <c r="B117" s="257">
        <v>430</v>
      </c>
      <c r="C117" s="73" t="s">
        <v>478</v>
      </c>
      <c r="D117" s="242"/>
      <c r="E117" s="310"/>
      <c r="F117" s="242"/>
      <c r="G117" s="240"/>
      <c r="H117" s="257">
        <v>430</v>
      </c>
      <c r="I117" s="73" t="s">
        <v>478</v>
      </c>
      <c r="J117" s="310"/>
      <c r="K117" s="310"/>
      <c r="L117" s="240"/>
      <c r="M117" s="257">
        <v>430</v>
      </c>
      <c r="N117" s="73" t="s">
        <v>478</v>
      </c>
      <c r="O117" s="242"/>
      <c r="P117" s="242"/>
      <c r="Q117" s="263"/>
      <c r="R117" s="263"/>
      <c r="S117" s="263"/>
      <c r="T117" s="263"/>
      <c r="U117" s="263"/>
      <c r="V117" s="263"/>
      <c r="W117" s="263"/>
      <c r="X117" s="263"/>
      <c r="Y117" s="263"/>
      <c r="Z117" s="263"/>
      <c r="AA117" s="263"/>
      <c r="AB117" s="263"/>
      <c r="AC117" s="263"/>
      <c r="AD117" s="263"/>
      <c r="AE117" s="263"/>
      <c r="AF117" s="263"/>
      <c r="AG117" s="263"/>
      <c r="AH117" s="263"/>
      <c r="AI117" s="263"/>
      <c r="AJ117" s="263"/>
      <c r="AK117" s="263"/>
      <c r="AL117" s="263"/>
      <c r="AM117" s="242"/>
    </row>
    <row r="118" spans="1:39" ht="18" customHeight="1" x14ac:dyDescent="0.15">
      <c r="A118" s="240">
        <f t="shared" si="1"/>
        <v>115</v>
      </c>
      <c r="B118" s="257"/>
      <c r="C118" s="365"/>
      <c r="D118" s="240"/>
      <c r="E118" s="355"/>
      <c r="F118" s="355"/>
      <c r="G118" s="240"/>
      <c r="H118" s="356"/>
      <c r="I118" s="365"/>
      <c r="J118" s="355"/>
      <c r="K118" s="355"/>
      <c r="L118" s="240"/>
      <c r="M118" s="362"/>
      <c r="N118" s="358"/>
      <c r="O118" s="355"/>
      <c r="P118" s="355"/>
      <c r="Q118" s="263"/>
      <c r="R118" s="263"/>
      <c r="S118" s="263"/>
      <c r="T118" s="263"/>
      <c r="U118" s="263"/>
      <c r="V118" s="263"/>
      <c r="W118" s="263"/>
      <c r="X118" s="263"/>
      <c r="Y118" s="263"/>
      <c r="Z118" s="263"/>
      <c r="AA118" s="263"/>
      <c r="AB118" s="263"/>
      <c r="AC118" s="263"/>
      <c r="AD118" s="263"/>
      <c r="AE118" s="263"/>
      <c r="AF118" s="263"/>
      <c r="AG118" s="263"/>
      <c r="AH118" s="263"/>
      <c r="AI118" s="263"/>
      <c r="AJ118" s="263"/>
      <c r="AK118" s="263"/>
      <c r="AL118" s="263"/>
      <c r="AM118" s="242"/>
    </row>
    <row r="119" spans="1:39" ht="18" customHeight="1" x14ac:dyDescent="0.15">
      <c r="A119" s="240">
        <f t="shared" si="1"/>
        <v>116</v>
      </c>
      <c r="B119" s="257"/>
      <c r="C119" s="74" t="s">
        <v>479</v>
      </c>
      <c r="D119" s="240"/>
      <c r="E119" s="355"/>
      <c r="F119" s="355"/>
      <c r="G119" s="240"/>
      <c r="H119" s="356"/>
      <c r="I119" s="74" t="s">
        <v>479</v>
      </c>
      <c r="J119" s="355"/>
      <c r="K119" s="355"/>
      <c r="L119" s="240"/>
      <c r="M119" s="362"/>
      <c r="N119" s="74" t="s">
        <v>479</v>
      </c>
      <c r="O119" s="355"/>
      <c r="P119" s="355"/>
      <c r="Q119" s="263"/>
      <c r="R119" s="263"/>
      <c r="S119" s="263"/>
      <c r="T119" s="263"/>
      <c r="U119" s="263"/>
      <c r="V119" s="263"/>
      <c r="W119" s="263"/>
      <c r="X119" s="263"/>
      <c r="Y119" s="263"/>
      <c r="Z119" s="263"/>
      <c r="AA119" s="263"/>
      <c r="AB119" s="263"/>
      <c r="AC119" s="263"/>
      <c r="AD119" s="263"/>
      <c r="AE119" s="263"/>
      <c r="AF119" s="263"/>
      <c r="AG119" s="263"/>
      <c r="AH119" s="263"/>
      <c r="AI119" s="263"/>
      <c r="AJ119" s="263"/>
      <c r="AK119" s="263"/>
      <c r="AL119" s="263"/>
      <c r="AM119" s="242"/>
    </row>
    <row r="120" spans="1:39" ht="18" customHeight="1" outlineLevel="1" x14ac:dyDescent="0.15">
      <c r="A120" s="240">
        <f t="shared" si="1"/>
        <v>117</v>
      </c>
      <c r="B120" s="356"/>
      <c r="C120" s="79" t="s">
        <v>480</v>
      </c>
      <c r="D120" s="263"/>
      <c r="E120" s="355"/>
      <c r="F120" s="355"/>
      <c r="G120" s="240"/>
      <c r="H120" s="356"/>
      <c r="I120" s="79" t="s">
        <v>480</v>
      </c>
      <c r="J120" s="355"/>
      <c r="K120" s="355"/>
      <c r="L120" s="240"/>
      <c r="M120" s="356"/>
      <c r="N120" s="79" t="s">
        <v>480</v>
      </c>
      <c r="O120" s="355"/>
      <c r="P120" s="355"/>
      <c r="Q120" s="263"/>
      <c r="R120" s="263"/>
      <c r="S120" s="263"/>
      <c r="T120" s="263"/>
      <c r="U120" s="263"/>
      <c r="V120" s="263"/>
      <c r="W120" s="263"/>
      <c r="X120" s="263"/>
      <c r="Y120" s="263"/>
      <c r="Z120" s="263"/>
      <c r="AA120" s="263"/>
      <c r="AB120" s="263"/>
      <c r="AC120" s="263"/>
      <c r="AD120" s="263"/>
      <c r="AE120" s="263"/>
      <c r="AF120" s="263"/>
      <c r="AG120" s="263"/>
      <c r="AH120" s="263"/>
      <c r="AI120" s="263"/>
      <c r="AJ120" s="263"/>
      <c r="AK120" s="263"/>
      <c r="AL120" s="263"/>
      <c r="AM120" s="242"/>
    </row>
    <row r="121" spans="1:39" ht="18" customHeight="1" outlineLevel="2" x14ac:dyDescent="0.15">
      <c r="A121" s="240">
        <f t="shared" si="1"/>
        <v>118</v>
      </c>
      <c r="B121" s="356"/>
      <c r="C121" s="78" t="s">
        <v>481</v>
      </c>
      <c r="D121" s="263"/>
      <c r="E121" s="80">
        <f>+IFERROR(E16/E7,0)</f>
        <v>0</v>
      </c>
      <c r="F121" s="80">
        <f>+IFERROR(F16/F7,0)</f>
        <v>0</v>
      </c>
      <c r="G121" s="240"/>
      <c r="H121" s="356"/>
      <c r="I121" s="78" t="s">
        <v>481</v>
      </c>
      <c r="J121" s="80">
        <f>+IFERROR(J16/J7,0)</f>
        <v>0</v>
      </c>
      <c r="K121" s="80">
        <f>+IFERROR(K16/K7,0)</f>
        <v>0</v>
      </c>
      <c r="L121" s="240"/>
      <c r="M121" s="356"/>
      <c r="N121" s="78" t="s">
        <v>481</v>
      </c>
      <c r="O121" s="80">
        <f>+IFERROR(O16/O7,0)</f>
        <v>0</v>
      </c>
      <c r="P121" s="80">
        <f>+IFERROR(P16/P7,0)</f>
        <v>0</v>
      </c>
      <c r="Q121" s="263"/>
      <c r="R121" s="263"/>
      <c r="S121" s="263"/>
      <c r="T121" s="263"/>
      <c r="U121" s="263"/>
      <c r="V121" s="263"/>
      <c r="W121" s="263"/>
      <c r="X121" s="263"/>
      <c r="Y121" s="263"/>
      <c r="Z121" s="263"/>
      <c r="AA121" s="263"/>
      <c r="AB121" s="263"/>
      <c r="AC121" s="263"/>
      <c r="AD121" s="263"/>
      <c r="AE121" s="263"/>
      <c r="AF121" s="263"/>
      <c r="AG121" s="263"/>
      <c r="AH121" s="263"/>
      <c r="AI121" s="263"/>
      <c r="AJ121" s="263"/>
      <c r="AK121" s="263"/>
      <c r="AL121" s="263"/>
      <c r="AM121" s="242"/>
    </row>
    <row r="122" spans="1:39" ht="18" customHeight="1" outlineLevel="2" x14ac:dyDescent="0.15">
      <c r="A122" s="240">
        <f t="shared" si="1"/>
        <v>119</v>
      </c>
      <c r="B122" s="356"/>
      <c r="C122" s="78" t="s">
        <v>482</v>
      </c>
      <c r="D122" s="263"/>
      <c r="E122" s="80">
        <f>+IFERROR(E36/E7,0)</f>
        <v>0</v>
      </c>
      <c r="F122" s="80">
        <f>+IFERROR(F36/F7,0)</f>
        <v>0</v>
      </c>
      <c r="G122" s="240"/>
      <c r="H122" s="356"/>
      <c r="I122" s="78" t="s">
        <v>482</v>
      </c>
      <c r="J122" s="80">
        <f>+IFERROR(J36/J7,0)</f>
        <v>0</v>
      </c>
      <c r="K122" s="80">
        <f>+IFERROR(K36/K7,0)</f>
        <v>0</v>
      </c>
      <c r="L122" s="240"/>
      <c r="M122" s="356"/>
      <c r="N122" s="78" t="s">
        <v>482</v>
      </c>
      <c r="O122" s="80">
        <f>+IFERROR(O36/O7,0)</f>
        <v>0</v>
      </c>
      <c r="P122" s="80">
        <f>+IFERROR(P36/P7,0)</f>
        <v>0</v>
      </c>
      <c r="Q122" s="263"/>
      <c r="R122" s="263"/>
      <c r="S122" s="263"/>
      <c r="T122" s="263"/>
      <c r="U122" s="263"/>
      <c r="V122" s="263"/>
      <c r="W122" s="263"/>
      <c r="X122" s="263"/>
      <c r="Y122" s="263"/>
      <c r="Z122" s="263"/>
      <c r="AA122" s="263"/>
      <c r="AB122" s="263"/>
      <c r="AC122" s="263"/>
      <c r="AD122" s="263"/>
      <c r="AE122" s="263"/>
      <c r="AF122" s="263"/>
      <c r="AG122" s="263"/>
      <c r="AH122" s="263"/>
      <c r="AI122" s="263"/>
      <c r="AJ122" s="263"/>
      <c r="AK122" s="263"/>
      <c r="AL122" s="263"/>
      <c r="AM122" s="242"/>
    </row>
    <row r="123" spans="1:39" ht="18" customHeight="1" outlineLevel="2" x14ac:dyDescent="0.15">
      <c r="A123" s="240">
        <f t="shared" si="1"/>
        <v>120</v>
      </c>
      <c r="B123" s="356"/>
      <c r="C123" s="78" t="s">
        <v>483</v>
      </c>
      <c r="D123" s="263"/>
      <c r="E123" s="80">
        <f>+IFERROR(E46/E7,0)</f>
        <v>0</v>
      </c>
      <c r="F123" s="80">
        <f>+IFERROR(F46/F7,0)</f>
        <v>0</v>
      </c>
      <c r="G123" s="240"/>
      <c r="H123" s="356"/>
      <c r="I123" s="78" t="s">
        <v>483</v>
      </c>
      <c r="J123" s="80">
        <f>+IFERROR(J46/J7,0)</f>
        <v>0</v>
      </c>
      <c r="K123" s="80">
        <f>+IFERROR(K46/K7,0)</f>
        <v>0</v>
      </c>
      <c r="L123" s="240"/>
      <c r="M123" s="356"/>
      <c r="N123" s="78" t="s">
        <v>483</v>
      </c>
      <c r="O123" s="80">
        <f>+IFERROR(O46/O7,0)</f>
        <v>0</v>
      </c>
      <c r="P123" s="80">
        <f>+IFERROR(P46/P7,0)</f>
        <v>0</v>
      </c>
      <c r="Q123" s="263"/>
      <c r="R123" s="263"/>
      <c r="S123" s="263"/>
      <c r="T123" s="263"/>
      <c r="U123" s="263"/>
      <c r="V123" s="263"/>
      <c r="W123" s="263"/>
      <c r="X123" s="263"/>
      <c r="Y123" s="263"/>
      <c r="Z123" s="263"/>
      <c r="AA123" s="263"/>
      <c r="AB123" s="263"/>
      <c r="AC123" s="263"/>
      <c r="AD123" s="263"/>
      <c r="AE123" s="263"/>
      <c r="AF123" s="263"/>
      <c r="AG123" s="263"/>
      <c r="AH123" s="263"/>
      <c r="AI123" s="263"/>
      <c r="AJ123" s="263"/>
      <c r="AK123" s="263"/>
      <c r="AL123" s="263"/>
      <c r="AM123" s="242"/>
    </row>
    <row r="124" spans="1:39" ht="18" customHeight="1" outlineLevel="2" x14ac:dyDescent="0.15">
      <c r="A124" s="240">
        <f t="shared" si="1"/>
        <v>121</v>
      </c>
      <c r="B124" s="356"/>
      <c r="C124" s="78" t="s">
        <v>484</v>
      </c>
      <c r="D124" s="263"/>
      <c r="E124" s="80">
        <f xml:space="preserve">
IFERROR(
E46/
((E73+E86
+ IFERROR(HLOOKUP(E$1-1,Table_BCTC_Nam[],$A$73,0),$D$73)
+ IFERROR(HLOOKUP(E$1-1,Table_BCTC_Nam[],$A$86,0),$D$86)
)/2),0)</f>
        <v>0</v>
      </c>
      <c r="F124" s="80">
        <f>IFERROR(F46/
((F73+F86
+ IFERROR(
HLOOKUP(DATE(YEAR(F$1),MONTH(F$1)-1,1),Table_BCTC_Thang[],$A$73,0),
$D$73)
+ IFERROR(HLOOKUP(DATE(YEAR(F$1),MONTH(F$1)-1,1),Table_BCTC_Thang[],$A$86,0),
$D$86)
)/2),0)</f>
        <v>0</v>
      </c>
      <c r="G124" s="240"/>
      <c r="H124" s="356"/>
      <c r="I124" s="78" t="s">
        <v>484</v>
      </c>
      <c r="J124" s="80">
        <f xml:space="preserve">
IFERROR(
J46/
((J73+J86
+ IFERROR(HLOOKUP(J$1-1,Table_BCTC_Nam[],$A$73,0),$D$73)
+ IFERROR(HLOOKUP(J$1-1,Table_BCTC_Nam[],$A$86,0),$D$86)
)/2),0)</f>
        <v>0</v>
      </c>
      <c r="K124" s="80">
        <f xml:space="preserve">
IFERROR(
K46/
((K73+K86
+ IFERROR(HLOOKUP(K$1-1,Table_BCTC_Nam[],$A$73,0),$D$73)
+ IFERROR(HLOOKUP(K$1-1,Table_BCTC_Nam[],$A$86,0),$D$86)
)/2),0)</f>
        <v>0</v>
      </c>
      <c r="L124" s="240"/>
      <c r="M124" s="356"/>
      <c r="N124" s="78" t="s">
        <v>484</v>
      </c>
      <c r="O124" s="80">
        <f ca="1">IFERROR(O46/
((O73+O86
+ IFERROR(
HLOOKUP(DATE(YEAR(O$1),MONTH(O$1)-1,1),Table_BCTC_Thang[],$A$73,0),
$D$73)
+ IFERROR(HLOOKUP(DATE(YEAR(O$1),MONTH(O$1)-1,1),Table_BCTC_Thang[],$A$86,0),
$D$86)
)/2),0)</f>
        <v>0</v>
      </c>
      <c r="P124" s="80">
        <f ca="1">IFERROR(P46/
((P73+P86
+ IFERROR(
HLOOKUP(DATE(YEAR(P$1),MONTH(P$1)-1,1),Table_BCTC_Thang[],$A$73,0),
$D$73)
+ IFERROR(HLOOKUP(DATE(YEAR(P$1),MONTH(P$1)-1,1),Table_BCTC_Thang[],$A$86,0),
$D$86)
)/2),0)</f>
        <v>0</v>
      </c>
      <c r="Q124" s="263"/>
      <c r="R124" s="263"/>
      <c r="S124" s="263"/>
      <c r="T124" s="263"/>
      <c r="U124" s="263"/>
      <c r="V124" s="263"/>
      <c r="W124" s="263"/>
      <c r="X124" s="263"/>
      <c r="Y124" s="263"/>
      <c r="Z124" s="263"/>
      <c r="AA124" s="263"/>
      <c r="AB124" s="263"/>
      <c r="AC124" s="263"/>
      <c r="AD124" s="263"/>
      <c r="AE124" s="263"/>
      <c r="AF124" s="263"/>
      <c r="AG124" s="263"/>
      <c r="AH124" s="263"/>
      <c r="AI124" s="263"/>
      <c r="AJ124" s="263"/>
      <c r="AK124" s="263"/>
      <c r="AL124" s="263"/>
      <c r="AM124" s="242"/>
    </row>
    <row r="125" spans="1:39" ht="18" customHeight="1" outlineLevel="2" x14ac:dyDescent="0.15">
      <c r="A125" s="240">
        <f t="shared" si="1"/>
        <v>122</v>
      </c>
      <c r="B125" s="356"/>
      <c r="C125" s="78" t="s">
        <v>485</v>
      </c>
      <c r="D125" s="263"/>
      <c r="E125" s="80">
        <f>IFERROR(E46/
((E111
+ IFERROR(HLOOKUP(E$1-1,Table_BCTC_Nam[],$A$111,0),$D$111)
)/2),0)</f>
        <v>0</v>
      </c>
      <c r="F125" s="80" t="e">
        <f>F46/
((F111
+ IFERROR(
HLOOKUP(DATE(YEAR(F$1),MONTH(F$1)-1,1),Table_BCTC_Thang[],$A$111,0),
$D$111)
)/2)</f>
        <v>#DIV/0!</v>
      </c>
      <c r="G125" s="240"/>
      <c r="H125" s="356"/>
      <c r="I125" s="78" t="s">
        <v>485</v>
      </c>
      <c r="J125" s="80">
        <f>IFERROR(J46/
((J111
+ IFERROR(HLOOKUP(J$1-1,Table_BCTC_Nam[],$A$111,0),$D$111)
)/2),0)</f>
        <v>0</v>
      </c>
      <c r="K125" s="80">
        <f>IFERROR(K46/
((K111
+ IFERROR(HLOOKUP(K$1-1,Table_BCTC_Nam[],$A$111,0),$D$111)
)/2),0)</f>
        <v>0</v>
      </c>
      <c r="L125" s="240"/>
      <c r="M125" s="356"/>
      <c r="N125" s="78" t="s">
        <v>485</v>
      </c>
      <c r="O125" s="80" t="e">
        <f>O46/
((O111
+ IFERROR(
HLOOKUP(DATE(YEAR(O$1),MONTH(O$1)-1,1),Table_BCTC_Thang[],$A$111,0),
$D$111)
)/2)</f>
        <v>#DIV/0!</v>
      </c>
      <c r="P125" s="80" t="e">
        <f>P46/
((P111
+ IFERROR(
HLOOKUP(DATE(YEAR(P$1),MONTH(P$1)-1,1),Table_BCTC_Thang[],$A$111,0),
$D$111)
)/2)</f>
        <v>#DIV/0!</v>
      </c>
      <c r="Q125" s="263"/>
      <c r="R125" s="263"/>
      <c r="S125" s="263"/>
      <c r="T125" s="263"/>
      <c r="U125" s="263"/>
      <c r="V125" s="263"/>
      <c r="W125" s="263"/>
      <c r="X125" s="263"/>
      <c r="Y125" s="263"/>
      <c r="Z125" s="263"/>
      <c r="AA125" s="263"/>
      <c r="AB125" s="263"/>
      <c r="AC125" s="263"/>
      <c r="AD125" s="263"/>
      <c r="AE125" s="263"/>
      <c r="AF125" s="263"/>
      <c r="AG125" s="263"/>
      <c r="AH125" s="263"/>
      <c r="AI125" s="263"/>
      <c r="AJ125" s="263"/>
      <c r="AK125" s="263"/>
      <c r="AL125" s="263"/>
      <c r="AM125" s="242"/>
    </row>
    <row r="126" spans="1:39" ht="18" customHeight="1" outlineLevel="2" x14ac:dyDescent="0.15">
      <c r="A126" s="240">
        <f t="shared" si="1"/>
        <v>123</v>
      </c>
      <c r="B126" s="356"/>
      <c r="C126" s="78" t="s">
        <v>486</v>
      </c>
      <c r="D126" s="263"/>
      <c r="E126" s="80">
        <f xml:space="preserve">
IFERROR(
(E$36-E$33-E$26-E$14)/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)/2),0)</f>
        <v>0</v>
      </c>
      <c r="F126" s="219">
        <f>(F$36-F$33-F$26-F$14)/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26" s="240"/>
      <c r="H126" s="356"/>
      <c r="I126" s="78" t="s">
        <v>486</v>
      </c>
      <c r="J126" s="80">
        <f xml:space="preserve">
IFERROR(
(J$36-J$33-J$26-J$14)/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)/2),0)</f>
        <v>0</v>
      </c>
      <c r="K126" s="80">
        <f xml:space="preserve">
IFERROR(
(K$36-K$33-K$26-K$14)/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)/2),0)</f>
        <v>0</v>
      </c>
      <c r="L126" s="240"/>
      <c r="M126" s="356"/>
      <c r="N126" s="78" t="s">
        <v>486</v>
      </c>
      <c r="O126" s="219">
        <f>(O$36-O$33-O$26-O$14)/
((O92+O83+O77+O78+O79+O88+O89+O90
+ IFERROR(HLOOKUP(DATE(YEAR(O$1),MONTH(O$1)-1,1),Table_BCTC_Thang[],$A$92,0),
$D$92)
+ IFERROR(HLOOKUP(DATE(YEAR(O$1),MONTH(O$1)-1,1),Table_BCTC_Thang[],$A$83,0),
$D$83)
+ IFERROR(HLOOKUP(DATE(YEAR(O$1),MONTH(O$1)-1,1),Table_BCTC_Thang[],$A$77,0),
$D$77)
+ IFERROR(HLOOKUP(DATE(YEAR(O$1),MONTH(O$1)-1,1),Table_BCTC_Thang[],$A$78,0),
$D$78)
+ IFERROR(HLOOKUP(DATE(YEAR(O$1),MONTH(O$1)-1,1),Table_BCTC_Thang[],$A$79,0),
$D$79)
+ IFERROR(HLOOKUP(DATE(YEAR(O$1),MONTH(O$1)-1,1),Table_BCTC_Thang[],$A$88,0),
$D$88)
+ IFERROR(HLOOKUP(DATE(YEAR(O$1),MONTH(O$1)-1,1),Table_BCTC_Thang[],$A$89,0),
$D$89)
+ IFERROR(HLOOKUP(DATE(YEAR(O$1),MONTH(O$1)-1,1),Table_BCTC_Thang[],$A$90,0),
$D$90)
)/2)</f>
        <v>0</v>
      </c>
      <c r="P126" s="219">
        <f>(P$36-P$33-P$26-P$14)/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26" s="263"/>
      <c r="R126" s="263"/>
      <c r="S126" s="263"/>
      <c r="T126" s="263"/>
      <c r="U126" s="263"/>
      <c r="V126" s="263"/>
      <c r="W126" s="263"/>
      <c r="X126" s="263"/>
      <c r="Y126" s="263"/>
      <c r="Z126" s="263"/>
      <c r="AA126" s="263"/>
      <c r="AB126" s="263"/>
      <c r="AC126" s="263"/>
      <c r="AD126" s="263"/>
      <c r="AE126" s="263"/>
      <c r="AF126" s="263"/>
      <c r="AG126" s="263"/>
      <c r="AH126" s="263"/>
      <c r="AI126" s="263"/>
      <c r="AJ126" s="263"/>
      <c r="AK126" s="263"/>
      <c r="AL126" s="263"/>
      <c r="AM126" s="242"/>
    </row>
    <row r="127" spans="1:39" ht="18" customHeight="1" outlineLevel="2" x14ac:dyDescent="0.15">
      <c r="A127" s="240">
        <f t="shared" si="1"/>
        <v>124</v>
      </c>
      <c r="B127" s="356"/>
      <c r="C127" s="78" t="s">
        <v>487</v>
      </c>
      <c r="D127" s="263"/>
      <c r="E127" s="80" t="e">
        <f>(E36-E33-E26-E14)/-(E8+E17+E28-E33-E26-E14-E19-E23-E21+E38)</f>
        <v>#DIV/0!</v>
      </c>
      <c r="F127" s="80" t="e">
        <f>(F36-F33-F26-F14)/-(F8+F17+F28-F33-F26-F14-F19-F23-F21+F38)</f>
        <v>#DIV/0!</v>
      </c>
      <c r="G127" s="240"/>
      <c r="H127" s="356"/>
      <c r="I127" s="78" t="s">
        <v>487</v>
      </c>
      <c r="J127" s="80" t="e">
        <f>(J36-J33-J26-J14)/-(J8+J17+J28-J33-J26-J14-J19-J23-J21+J38)</f>
        <v>#DIV/0!</v>
      </c>
      <c r="K127" s="80" t="e">
        <f>(K36-K33-K26-K14)/-(K8+K17+K28-K33-K26-K14-K19-K23-K21+K38)</f>
        <v>#DIV/0!</v>
      </c>
      <c r="L127" s="240"/>
      <c r="M127" s="356"/>
      <c r="N127" s="78" t="s">
        <v>487</v>
      </c>
      <c r="O127" s="80" t="e">
        <f>(O36-O33-O26-O14)/-(O8+O17+O28-O33-O26-O14-O19-O23-O21+O38)</f>
        <v>#DIV/0!</v>
      </c>
      <c r="P127" s="80" t="e">
        <f>(P36-P33-P26-P14)/-(P8+P17+P28-P33-P26-P14-P19-P23-P21+P38)</f>
        <v>#DIV/0!</v>
      </c>
      <c r="Q127" s="263"/>
      <c r="R127" s="263"/>
      <c r="S127" s="263"/>
      <c r="T127" s="263"/>
      <c r="U127" s="263"/>
      <c r="V127" s="263"/>
      <c r="W127" s="263"/>
      <c r="X127" s="263"/>
      <c r="Y127" s="263"/>
      <c r="Z127" s="263"/>
      <c r="AA127" s="263"/>
      <c r="AB127" s="263"/>
      <c r="AC127" s="263"/>
      <c r="AD127" s="263"/>
      <c r="AE127" s="263"/>
      <c r="AF127" s="263"/>
      <c r="AG127" s="263"/>
      <c r="AH127" s="263"/>
      <c r="AI127" s="263"/>
      <c r="AJ127" s="263"/>
      <c r="AK127" s="263"/>
      <c r="AL127" s="263"/>
      <c r="AM127" s="242"/>
    </row>
    <row r="128" spans="1:39" ht="18" customHeight="1" outlineLevel="2" x14ac:dyDescent="0.15">
      <c r="A128" s="240">
        <f t="shared" si="1"/>
        <v>125</v>
      </c>
      <c r="B128" s="356"/>
      <c r="C128" s="78" t="s">
        <v>488</v>
      </c>
      <c r="D128" s="263"/>
      <c r="E128" s="80">
        <f>IFERROR((E36-E33-E26-E14)/
(
-(E8+E17+E28-E33-E26-E14-E19-E23-E21+E38)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
),0)</f>
        <v>0</v>
      </c>
      <c r="F128" s="219">
        <f>(F36-F33-F26-F14)/
(-(F8+F17+F28-F33-F26-F14-F19-F23-F21+F38)+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28" s="240"/>
      <c r="H128" s="356"/>
      <c r="I128" s="78" t="s">
        <v>488</v>
      </c>
      <c r="J128" s="80">
        <f>IFERROR((J36-J33-J26-J14)/
(
-(J8+J17+J28-J33-J26-J14-J19-J23-J21+J38)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
),0)</f>
        <v>0</v>
      </c>
      <c r="K128" s="80">
        <f>IFERROR((K36-K33-K26-K14)/
(
-(K8+K17+K28-K33-K26-K14-K19-K23-K21+K38)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
),0)</f>
        <v>0</v>
      </c>
      <c r="L128" s="240"/>
      <c r="M128" s="356"/>
      <c r="N128" s="78" t="s">
        <v>488</v>
      </c>
      <c r="O128" s="219">
        <f>(O36-O33-O26-O14)/
(-(O8+O17+O28-O33-O26-O14-O19-O23-O21+O38)+
((O92+O83+O77+O78+O79+O88+O89+O90
+ IFERROR(HLOOKUP(DATE(YEAR(O$1),MONTH(O$1)-1,1),Table_BCTC_Thang[],$A$92,0),
$D$92)
+ IFERROR(HLOOKUP(DATE(YEAR(O$1),MONTH(O$1)-1,1),Table_BCTC_Thang[],$A$83,0),
$D$83)
+ IFERROR(HLOOKUP(DATE(YEAR(O$1),MONTH(O$1)-1,1),Table_BCTC_Thang[],$A$77,0),
$D$77)
+ IFERROR(HLOOKUP(DATE(YEAR(O$1),MONTH(O$1)-1,1),Table_BCTC_Thang[],$A$78,0),
$D$78)
+ IFERROR(HLOOKUP(DATE(YEAR(O$1),MONTH(O$1)-1,1),Table_BCTC_Thang[],$A$79,0),
$D$79)
+ IFERROR(HLOOKUP(DATE(YEAR(O$1),MONTH(O$1)-1,1),Table_BCTC_Thang[],$A$88,0),
$D$88)
+ IFERROR(HLOOKUP(DATE(YEAR(O$1),MONTH(O$1)-1,1),Table_BCTC_Thang[],$A$89,0),
$D$89)
+ IFERROR(HLOOKUP(DATE(YEAR(O$1),MONTH(O$1)-1,1),Table_BCTC_Thang[],$A$90,0),
$D$90)
)/2))</f>
        <v>0</v>
      </c>
      <c r="P128" s="219">
        <f>(P36-P33-P26-P14)/
(-(P8+P17+P28-P33-P26-P14-P19-P23-P21+P38)+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28" s="263"/>
      <c r="R128" s="263"/>
      <c r="S128" s="263"/>
      <c r="T128" s="263"/>
      <c r="U128" s="263"/>
      <c r="V128" s="263"/>
      <c r="W128" s="263"/>
      <c r="X128" s="263"/>
      <c r="Y128" s="263"/>
      <c r="Z128" s="263"/>
      <c r="AA128" s="263"/>
      <c r="AB128" s="263"/>
      <c r="AC128" s="263"/>
      <c r="AD128" s="263"/>
      <c r="AE128" s="263"/>
      <c r="AF128" s="263"/>
      <c r="AG128" s="263"/>
      <c r="AH128" s="263"/>
      <c r="AI128" s="263"/>
      <c r="AJ128" s="263"/>
      <c r="AK128" s="263"/>
      <c r="AL128" s="263"/>
      <c r="AM128" s="242"/>
    </row>
    <row r="129" spans="1:39" ht="18" customHeight="1" outlineLevel="1" x14ac:dyDescent="0.15">
      <c r="A129" s="240">
        <f t="shared" si="1"/>
        <v>126</v>
      </c>
      <c r="B129" s="356"/>
      <c r="C129" s="79" t="s">
        <v>489</v>
      </c>
      <c r="D129" s="263"/>
      <c r="E129" s="355"/>
      <c r="F129" s="240"/>
      <c r="G129" s="240"/>
      <c r="H129" s="356"/>
      <c r="I129" s="79" t="s">
        <v>489</v>
      </c>
      <c r="J129" s="355"/>
      <c r="K129" s="355"/>
      <c r="L129" s="240"/>
      <c r="M129" s="356"/>
      <c r="N129" s="79" t="s">
        <v>489</v>
      </c>
      <c r="O129" s="240"/>
      <c r="P129" s="240"/>
      <c r="Q129" s="263"/>
      <c r="R129" s="263"/>
      <c r="S129" s="263"/>
      <c r="T129" s="263"/>
      <c r="U129" s="263"/>
      <c r="V129" s="263"/>
      <c r="W129" s="263"/>
      <c r="X129" s="263"/>
      <c r="Y129" s="263"/>
      <c r="Z129" s="263"/>
      <c r="AA129" s="263"/>
      <c r="AB129" s="263"/>
      <c r="AC129" s="263"/>
      <c r="AD129" s="263"/>
      <c r="AE129" s="263"/>
      <c r="AF129" s="263"/>
      <c r="AG129" s="263"/>
      <c r="AH129" s="263"/>
      <c r="AI129" s="263"/>
      <c r="AJ129" s="263"/>
      <c r="AK129" s="263"/>
      <c r="AL129" s="263"/>
      <c r="AM129" s="242"/>
    </row>
    <row r="130" spans="1:39" ht="18" customHeight="1" outlineLevel="2" x14ac:dyDescent="0.15">
      <c r="A130" s="240">
        <f t="shared" si="1"/>
        <v>127</v>
      </c>
      <c r="B130" s="356"/>
      <c r="C130" s="78" t="s">
        <v>490</v>
      </c>
      <c r="D130" s="263"/>
      <c r="E130" s="80" t="e">
        <f>E49/E7</f>
        <v>#DIV/0!</v>
      </c>
      <c r="F130" s="80" t="e">
        <f>F49/F7</f>
        <v>#DIV/0!</v>
      </c>
      <c r="G130" s="240"/>
      <c r="H130" s="356"/>
      <c r="I130" s="78" t="s">
        <v>490</v>
      </c>
      <c r="J130" s="80" t="e">
        <f>J49/J7</f>
        <v>#DIV/0!</v>
      </c>
      <c r="K130" s="80" t="e">
        <f>K49/K7</f>
        <v>#DIV/0!</v>
      </c>
      <c r="L130" s="240"/>
      <c r="M130" s="356"/>
      <c r="N130" s="78" t="s">
        <v>490</v>
      </c>
      <c r="O130" s="80" t="e">
        <f>O49/O7</f>
        <v>#DIV/0!</v>
      </c>
      <c r="P130" s="80" t="e">
        <f>P49/P7</f>
        <v>#DIV/0!</v>
      </c>
      <c r="Q130" s="263"/>
      <c r="R130" s="263"/>
      <c r="S130" s="263"/>
      <c r="T130" s="263"/>
      <c r="U130" s="263"/>
      <c r="V130" s="263"/>
      <c r="W130" s="263"/>
      <c r="X130" s="263"/>
      <c r="Y130" s="263"/>
      <c r="Z130" s="263"/>
      <c r="AA130" s="263"/>
      <c r="AB130" s="263"/>
      <c r="AC130" s="263"/>
      <c r="AD130" s="263"/>
      <c r="AE130" s="263"/>
      <c r="AF130" s="263"/>
      <c r="AG130" s="263"/>
      <c r="AH130" s="263"/>
      <c r="AI130" s="263"/>
      <c r="AJ130" s="263"/>
      <c r="AK130" s="263"/>
      <c r="AL130" s="263"/>
      <c r="AM130" s="242"/>
    </row>
    <row r="131" spans="1:39" ht="18" customHeight="1" outlineLevel="2" x14ac:dyDescent="0.15">
      <c r="A131" s="240">
        <f t="shared" si="1"/>
        <v>128</v>
      </c>
      <c r="B131" s="356"/>
      <c r="C131" s="78" t="s">
        <v>491</v>
      </c>
      <c r="D131" s="263"/>
      <c r="E131" s="81" t="e">
        <f>E49/E36</f>
        <v>#DIV/0!</v>
      </c>
      <c r="F131" s="81" t="e">
        <f>F49/F36</f>
        <v>#DIV/0!</v>
      </c>
      <c r="G131" s="240"/>
      <c r="H131" s="356"/>
      <c r="I131" s="78" t="s">
        <v>491</v>
      </c>
      <c r="J131" s="81" t="e">
        <f>J49/J36</f>
        <v>#DIV/0!</v>
      </c>
      <c r="K131" s="81" t="e">
        <f>K49/K36</f>
        <v>#DIV/0!</v>
      </c>
      <c r="L131" s="240"/>
      <c r="M131" s="356"/>
      <c r="N131" s="78" t="s">
        <v>491</v>
      </c>
      <c r="O131" s="81" t="e">
        <f>O49/O36</f>
        <v>#DIV/0!</v>
      </c>
      <c r="P131" s="81" t="e">
        <f>P49/P36</f>
        <v>#DIV/0!</v>
      </c>
      <c r="Q131" s="263"/>
      <c r="R131" s="263"/>
      <c r="S131" s="263"/>
      <c r="T131" s="263"/>
      <c r="U131" s="263"/>
      <c r="V131" s="263"/>
      <c r="W131" s="263"/>
      <c r="X131" s="263"/>
      <c r="Y131" s="263"/>
      <c r="Z131" s="263"/>
      <c r="AA131" s="263"/>
      <c r="AB131" s="263"/>
      <c r="AC131" s="263"/>
      <c r="AD131" s="263"/>
      <c r="AE131" s="263"/>
      <c r="AF131" s="263"/>
      <c r="AG131" s="263"/>
      <c r="AH131" s="263"/>
      <c r="AI131" s="263"/>
      <c r="AJ131" s="263"/>
      <c r="AK131" s="263"/>
      <c r="AL131" s="263"/>
      <c r="AM131" s="242"/>
    </row>
    <row r="132" spans="1:39" ht="18" customHeight="1" outlineLevel="2" x14ac:dyDescent="0.15">
      <c r="A132" s="240">
        <f t="shared" si="1"/>
        <v>129</v>
      </c>
      <c r="B132" s="356"/>
      <c r="C132" s="78" t="s">
        <v>492</v>
      </c>
      <c r="D132" s="263"/>
      <c r="E132" s="81" t="e">
        <f>E49/(E36-E33-E26-E14)</f>
        <v>#DIV/0!</v>
      </c>
      <c r="F132" s="81" t="e">
        <f>F49/(F36-F33-F26-F14)</f>
        <v>#DIV/0!</v>
      </c>
      <c r="G132" s="240"/>
      <c r="H132" s="356"/>
      <c r="I132" s="78" t="s">
        <v>492</v>
      </c>
      <c r="J132" s="81" t="e">
        <f>J49/(J36-J33-J26-J14)</f>
        <v>#DIV/0!</v>
      </c>
      <c r="K132" s="81" t="e">
        <f>K49/(K36-K33-K26-K14)</f>
        <v>#DIV/0!</v>
      </c>
      <c r="L132" s="240"/>
      <c r="M132" s="356"/>
      <c r="N132" s="78" t="s">
        <v>492</v>
      </c>
      <c r="O132" s="81" t="e">
        <f>O49/(O36-O33-O26-O14)</f>
        <v>#DIV/0!</v>
      </c>
      <c r="P132" s="81" t="e">
        <f>P49/(P36-P33-P26-P14)</f>
        <v>#DIV/0!</v>
      </c>
      <c r="Q132" s="263"/>
      <c r="R132" s="263"/>
      <c r="S132" s="263"/>
      <c r="T132" s="263"/>
      <c r="U132" s="263"/>
      <c r="V132" s="263"/>
      <c r="W132" s="263"/>
      <c r="X132" s="263"/>
      <c r="Y132" s="263"/>
      <c r="Z132" s="263"/>
      <c r="AA132" s="263"/>
      <c r="AB132" s="263"/>
      <c r="AC132" s="263"/>
      <c r="AD132" s="263"/>
      <c r="AE132" s="263"/>
      <c r="AF132" s="263"/>
      <c r="AG132" s="263"/>
      <c r="AH132" s="263"/>
      <c r="AI132" s="263"/>
      <c r="AJ132" s="263"/>
      <c r="AK132" s="263"/>
      <c r="AL132" s="263"/>
      <c r="AM132" s="242"/>
    </row>
    <row r="133" spans="1:39" ht="18" customHeight="1" outlineLevel="2" x14ac:dyDescent="0.15">
      <c r="A133" s="240">
        <f t="shared" ref="A133:A166" si="2">+A132+1</f>
        <v>130</v>
      </c>
      <c r="B133" s="356"/>
      <c r="C133" s="78" t="s">
        <v>493</v>
      </c>
      <c r="D133" s="263"/>
      <c r="E133" s="80">
        <f xml:space="preserve">
IFERROR(E49/
((E73+E86
+ IFERROR(HLOOKUP(E$1-1,Table_BCTC_Nam[],$A$73,0),$D$73)
+ IFERROR(HLOOKUP(E$1-1,Table_BCTC_Nam[],$A$86,0),$D$86)
)/2),0)</f>
        <v>0</v>
      </c>
      <c r="F133" s="80">
        <f>F49/
((F73+F86
+ IFERROR(HLOOKUP(DATE(YEAR(F$1),MONTH(F$1)-1,1),Table_BCTC_Thang[],$A$73,0),
$D$73)
+ IFERROR(HLOOKUP(DATE(YEAR(F$1),MONTH(F$1)-1,1),Table_BCTC_Thang[],$A$86,0),
$D$86)
)/2)</f>
        <v>0</v>
      </c>
      <c r="G133" s="240"/>
      <c r="H133" s="356"/>
      <c r="I133" s="78" t="s">
        <v>493</v>
      </c>
      <c r="J133" s="80">
        <f xml:space="preserve">
IFERROR(J49/
((J73+J86
+ IFERROR(HLOOKUP(J$1-1,Table_BCTC_Nam[],$A$73,0),$D$73)
+ IFERROR(HLOOKUP(J$1-1,Table_BCTC_Nam[],$A$86,0),$D$86)
)/2),0)</f>
        <v>0</v>
      </c>
      <c r="K133" s="80">
        <f xml:space="preserve">
IFERROR(K49/
((K73+K86
+ IFERROR(HLOOKUP(K$1-1,Table_BCTC_Nam[],$A$73,0),$D$73)
+ IFERROR(HLOOKUP(K$1-1,Table_BCTC_Nam[],$A$86,0),$D$86)
)/2),0)</f>
        <v>0</v>
      </c>
      <c r="L133" s="240"/>
      <c r="M133" s="356"/>
      <c r="N133" s="78" t="s">
        <v>493</v>
      </c>
      <c r="O133" s="80">
        <f ca="1">O49/
((O73+O86
+ IFERROR(HLOOKUP(DATE(YEAR(O$1),MONTH(O$1)-1,1),Table_BCTC_Thang[],$A$73,0),
$D$73)
+ IFERROR(HLOOKUP(DATE(YEAR(O$1),MONTH(O$1)-1,1),Table_BCTC_Thang[],$A$86,0),
$D$86)
)/2)</f>
        <v>0</v>
      </c>
      <c r="P133" s="80">
        <f ca="1">P49/
((P73+P86
+ IFERROR(HLOOKUP(DATE(YEAR(P$1),MONTH(P$1)-1,1),Table_BCTC_Thang[],$A$73,0),
$D$73)
+ IFERROR(HLOOKUP(DATE(YEAR(P$1),MONTH(P$1)-1,1),Table_BCTC_Thang[],$A$86,0),
$D$86)
)/2)</f>
        <v>0</v>
      </c>
      <c r="Q133" s="263"/>
      <c r="R133" s="263"/>
      <c r="S133" s="263"/>
      <c r="T133" s="263"/>
      <c r="U133" s="263"/>
      <c r="V133" s="263"/>
      <c r="W133" s="263"/>
      <c r="X133" s="263"/>
      <c r="Y133" s="263"/>
      <c r="Z133" s="263"/>
      <c r="AA133" s="263"/>
      <c r="AB133" s="263"/>
      <c r="AC133" s="263"/>
      <c r="AD133" s="263"/>
      <c r="AE133" s="263"/>
      <c r="AF133" s="263"/>
      <c r="AG133" s="263"/>
      <c r="AH133" s="263"/>
      <c r="AI133" s="263"/>
      <c r="AJ133" s="263"/>
      <c r="AK133" s="263"/>
      <c r="AL133" s="263"/>
      <c r="AM133" s="242"/>
    </row>
    <row r="134" spans="1:39" ht="18" customHeight="1" outlineLevel="2" x14ac:dyDescent="0.15">
      <c r="A134" s="240">
        <f t="shared" si="2"/>
        <v>131</v>
      </c>
      <c r="B134" s="356"/>
      <c r="C134" s="78" t="s">
        <v>494</v>
      </c>
      <c r="D134" s="263"/>
      <c r="E134" s="80">
        <f>IFERROR(E49/
((E111
+ IFERROR(HLOOKUP(E$1-1,Table_BCTC_Nam[],$A$111,0),$D$111)
)/2),0)</f>
        <v>0</v>
      </c>
      <c r="F134" s="80" t="e">
        <f>F49/
((F111
+ IFERROR(HLOOKUP(DATE(YEAR(F$1),MONTH(F$1)-1,1),Table_BCTC_Thang[],$A$111,0),
$D$111)
)/2)</f>
        <v>#DIV/0!</v>
      </c>
      <c r="G134" s="240"/>
      <c r="H134" s="356"/>
      <c r="I134" s="78" t="s">
        <v>494</v>
      </c>
      <c r="J134" s="80">
        <f>IFERROR(J49/
((J111
+ IFERROR(HLOOKUP(J$1-1,Table_BCTC_Nam[],$A$111,0),$D$111)
)/2),0)</f>
        <v>0</v>
      </c>
      <c r="K134" s="80">
        <f>IFERROR(K49/
((K111
+ IFERROR(HLOOKUP(K$1-1,Table_BCTC_Nam[],$A$111,0),$D$111)
)/2),0)</f>
        <v>0</v>
      </c>
      <c r="L134" s="240"/>
      <c r="M134" s="356"/>
      <c r="N134" s="78" t="s">
        <v>494</v>
      </c>
      <c r="O134" s="80" t="e">
        <f>O49/
((O111
+ IFERROR(HLOOKUP(DATE(YEAR(O$1),MONTH(O$1)-1,1),Table_BCTC_Thang[],$A$111,0),
$D$111)
)/2)</f>
        <v>#DIV/0!</v>
      </c>
      <c r="P134" s="80" t="e">
        <f>P49/
((P111
+ IFERROR(HLOOKUP(DATE(YEAR(P$1),MONTH(P$1)-1,1),Table_BCTC_Thang[],$A$111,0),
$D$111)
)/2)</f>
        <v>#DIV/0!</v>
      </c>
      <c r="Q134" s="263"/>
      <c r="R134" s="263"/>
      <c r="S134" s="263"/>
      <c r="T134" s="263"/>
      <c r="U134" s="263"/>
      <c r="V134" s="263"/>
      <c r="W134" s="263"/>
      <c r="X134" s="263"/>
      <c r="Y134" s="263"/>
      <c r="Z134" s="263"/>
      <c r="AA134" s="263"/>
      <c r="AB134" s="263"/>
      <c r="AC134" s="263"/>
      <c r="AD134" s="263"/>
      <c r="AE134" s="263"/>
      <c r="AF134" s="263"/>
      <c r="AG134" s="263"/>
      <c r="AH134" s="263"/>
      <c r="AI134" s="263"/>
      <c r="AJ134" s="263"/>
      <c r="AK134" s="263"/>
      <c r="AL134" s="263"/>
      <c r="AM134" s="242"/>
    </row>
    <row r="135" spans="1:39" ht="18" customHeight="1" outlineLevel="2" x14ac:dyDescent="0.15">
      <c r="A135" s="240">
        <f t="shared" si="2"/>
        <v>132</v>
      </c>
      <c r="B135" s="356"/>
      <c r="C135" s="78" t="s">
        <v>495</v>
      </c>
      <c r="D135" s="263"/>
      <c r="E135" s="80">
        <f>IFERROR(E49/
((E$92+E$83+E$77+E$78+E$79+E$88+E$89+E$90+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)/2),0)</f>
        <v>0</v>
      </c>
      <c r="F135" s="219">
        <f>F49/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35" s="240"/>
      <c r="H135" s="356"/>
      <c r="I135" s="78" t="s">
        <v>495</v>
      </c>
      <c r="J135" s="80">
        <f>IFERROR(J49/
((J$92+J$83+J$77+J$78+J$79+J$88+J$89+J$90+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)/2),0)</f>
        <v>0</v>
      </c>
      <c r="K135" s="80">
        <f>IFERROR(K49/
((K$92+K$83+K$77+K$78+K$79+K$88+K$89+K$90+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)/2),0)</f>
        <v>0</v>
      </c>
      <c r="L135" s="240"/>
      <c r="M135" s="356"/>
      <c r="N135" s="78" t="s">
        <v>495</v>
      </c>
      <c r="O135" s="219">
        <f ca="1">O49/
((O73+O86-O75-O95-O74-O94-O93
+IFERROR(HLOOKUP(DATE(YEAR(O$1),MONTH(O$1)-1,1),Table_BCTC_Thang[],$A$73,0),
$D$73)
+IFERROR(HLOOKUP(DATE(YEAR(O$1),MONTH(O$1)-1,1),Table_BCTC_Thang[],$A$86,0),
$D$86)
-IFERROR(HLOOKUP(DATE(YEAR(O$1),MONTH(O$1)-1,1),Table_BCTC_Thang[],$A$75,0),
$D$75)
-IFERROR(HLOOKUP(DATE(YEAR(O$1),MONTH(O$1)-1,1),Table_BCTC_Thang[],$A$95,0),
$D$95)
-IFERROR(HLOOKUP(DATE(YEAR(O$1),MONTH(O$1)-1,1),Table_BCTC_Thang[],$A$74,0),
$D$74)
-IFERROR(HLOOKUP(DATE(YEAR(O$1),MONTH(O$1)-1,1),Table_BCTC_Thang[],$A$94,0),
$D$94)
-IFERROR(HLOOKUP(DATE(YEAR(O$1),MONTH(O$1)-1,1),Table_BCTC_Thang[],$A$93,0),
$D$93)
)/2)</f>
        <v>0</v>
      </c>
      <c r="P135" s="219">
        <f>P49/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35" s="263"/>
      <c r="R135" s="263"/>
      <c r="S135" s="263"/>
      <c r="T135" s="263"/>
      <c r="U135" s="263"/>
      <c r="V135" s="263"/>
      <c r="W135" s="263"/>
      <c r="X135" s="263"/>
      <c r="Y135" s="263"/>
      <c r="Z135" s="263"/>
      <c r="AA135" s="263"/>
      <c r="AB135" s="263"/>
      <c r="AC135" s="263"/>
      <c r="AD135" s="263"/>
      <c r="AE135" s="263"/>
      <c r="AF135" s="263"/>
      <c r="AG135" s="263"/>
      <c r="AH135" s="263"/>
      <c r="AI135" s="263"/>
      <c r="AJ135" s="263"/>
      <c r="AK135" s="263"/>
      <c r="AL135" s="263"/>
      <c r="AM135" s="242"/>
    </row>
    <row r="136" spans="1:39" ht="18" customHeight="1" outlineLevel="2" x14ac:dyDescent="0.15">
      <c r="A136" s="240">
        <f t="shared" si="2"/>
        <v>133</v>
      </c>
      <c r="B136" s="356"/>
      <c r="C136" s="78" t="s">
        <v>893</v>
      </c>
      <c r="D136" s="263"/>
      <c r="E136" s="80" t="e">
        <f>(E49)/
(-(E51+E57+E58+E69))</f>
        <v>#DIV/0!</v>
      </c>
      <c r="F136" s="80" t="e">
        <f>(F49)/
(-(F51+F57+F58+F69))</f>
        <v>#DIV/0!</v>
      </c>
      <c r="G136" s="240"/>
      <c r="H136" s="356"/>
      <c r="I136" s="78" t="s">
        <v>893</v>
      </c>
      <c r="J136" s="80" t="e">
        <f>(J49)/
(-(J51+J57+J58+J69))</f>
        <v>#DIV/0!</v>
      </c>
      <c r="K136" s="80" t="e">
        <f>(K49)/
(-(K51+K57+K58+K69))</f>
        <v>#DIV/0!</v>
      </c>
      <c r="L136" s="240"/>
      <c r="M136" s="356"/>
      <c r="N136" s="78" t="s">
        <v>893</v>
      </c>
      <c r="O136" s="80" t="e">
        <f>(O49)/
(-(O51+O57+O58+O69))</f>
        <v>#DIV/0!</v>
      </c>
      <c r="P136" s="80" t="e">
        <f>(P49)/
(-(P51+P57+P58+P69))</f>
        <v>#DIV/0!</v>
      </c>
      <c r="Q136" s="263"/>
      <c r="R136" s="263"/>
      <c r="S136" s="263"/>
      <c r="T136" s="263"/>
      <c r="U136" s="263"/>
      <c r="V136" s="263"/>
      <c r="W136" s="263"/>
      <c r="X136" s="263"/>
      <c r="Y136" s="263"/>
      <c r="Z136" s="263"/>
      <c r="AA136" s="263"/>
      <c r="AB136" s="263"/>
      <c r="AC136" s="263"/>
      <c r="AD136" s="263"/>
      <c r="AE136" s="263"/>
      <c r="AF136" s="263"/>
      <c r="AG136" s="263"/>
      <c r="AH136" s="263"/>
      <c r="AI136" s="263"/>
      <c r="AJ136" s="263"/>
      <c r="AK136" s="263"/>
      <c r="AL136" s="263"/>
      <c r="AM136" s="242"/>
    </row>
    <row r="137" spans="1:39" ht="18" customHeight="1" outlineLevel="2" x14ac:dyDescent="0.15">
      <c r="A137" s="240">
        <f t="shared" si="2"/>
        <v>134</v>
      </c>
      <c r="B137" s="356"/>
      <c r="C137" s="78" t="s">
        <v>496</v>
      </c>
      <c r="D137" s="263"/>
      <c r="E137" s="80">
        <f>IFERROR(E49/
(
-(E51+E57+E58+E69)
+ ((E$92+E$83+E$77+E$78+E$79+E$88+E$89+E$90
+ IFERROR(HLOOKUP(E$1-1,Table_BCTC_Nam[],$A$92,0),$D$92)
+ IFERROR(HLOOKUP(E$1-1,Table_BCTC_Nam[],$A$83,0),$D$83)
+ IFERROR(HLOOKUP(E$1-1,Table_BCTC_Nam[],$A$77,0),$D$77)
+ IFERROR(HLOOKUP(E$1-1,Table_BCTC_Nam[],$A$78,0),$D$78)
+ IFERROR(HLOOKUP(E$1-1,Table_BCTC_Nam[],$A$79,0),$D$79)
+ IFERROR(HLOOKUP(E$1-1,Table_BCTC_Nam[],$A$88,0),$D$88)
+ IFERROR(HLOOKUP(E$1-1,Table_BCTC_Nam[],$A$89,0),$D$89)
+ IFERROR(HLOOKUP(E$1-1,Table_BCTC_Nam[],$A$90,0),$D$90)
)/2)
),0)</f>
        <v>0</v>
      </c>
      <c r="F137" s="219">
        <f>(F49)/
(-(F51+F57+F58+F69)+
((F92+F83+F77+F78+F79+F88+F89+F90
+ IFERROR(HLOOKUP(DATE(YEAR(F$1),MONTH(F$1)-1,1),Table_BCTC_Thang[],$A$92,0),
$D$92)
+ IFERROR(HLOOKUP(DATE(YEAR(F$1),MONTH(F$1)-1,1),Table_BCTC_Thang[],$A$83,0),
$D$83)
+ IFERROR(HLOOKUP(DATE(YEAR(F$1),MONTH(F$1)-1,1),Table_BCTC_Thang[],$A$77,0),
$D$77)
+ IFERROR(HLOOKUP(DATE(YEAR(F$1),MONTH(F$1)-1,1),Table_BCTC_Thang[],$A$78,0),
$D$78)
+ IFERROR(HLOOKUP(DATE(YEAR(F$1),MONTH(F$1)-1,1),Table_BCTC_Thang[],$A$79,0),
$D$79)
+ IFERROR(HLOOKUP(DATE(YEAR(F$1),MONTH(F$1)-1,1),Table_BCTC_Thang[],$A$88,0),
$D$88)
+ IFERROR(HLOOKUP(DATE(YEAR(F$1),MONTH(F$1)-1,1),Table_BCTC_Thang[],$A$89,0),
$D$89)
+ IFERROR(HLOOKUP(DATE(YEAR(F$1),MONTH(F$1)-1,1),Table_BCTC_Thang[],$A$90,0),
$D$90)
)/2))</f>
        <v>0</v>
      </c>
      <c r="G137" s="240"/>
      <c r="H137" s="356"/>
      <c r="I137" s="78" t="s">
        <v>496</v>
      </c>
      <c r="J137" s="80">
        <f>IFERROR(J49/
(
-(J51+J57+J58+J69)
+ ((J$92+J$83+J$77+J$78+J$79+J$88+J$89+J$90
+ IFERROR(HLOOKUP(J$1-1,Table_BCTC_Nam[],$A$92,0),$D$92)
+ IFERROR(HLOOKUP(J$1-1,Table_BCTC_Nam[],$A$83,0),$D$83)
+ IFERROR(HLOOKUP(J$1-1,Table_BCTC_Nam[],$A$77,0),$D$77)
+ IFERROR(HLOOKUP(J$1-1,Table_BCTC_Nam[],$A$78,0),$D$78)
+ IFERROR(HLOOKUP(J$1-1,Table_BCTC_Nam[],$A$79,0),$D$79)
+ IFERROR(HLOOKUP(J$1-1,Table_BCTC_Nam[],$A$88,0),$D$88)
+ IFERROR(HLOOKUP(J$1-1,Table_BCTC_Nam[],$A$89,0),$D$89)
+ IFERROR(HLOOKUP(J$1-1,Table_BCTC_Nam[],$A$90,0),$D$90)
)/2)
),0)</f>
        <v>0</v>
      </c>
      <c r="K137" s="80">
        <f>IFERROR(K49/
(
-(K51+K57+K58+K69)
+ ((K$92+K$83+K$77+K$78+K$79+K$88+K$89+K$90
+ IFERROR(HLOOKUP(K$1-1,Table_BCTC_Nam[],$A$92,0),$D$92)
+ IFERROR(HLOOKUP(K$1-1,Table_BCTC_Nam[],$A$83,0),$D$83)
+ IFERROR(HLOOKUP(K$1-1,Table_BCTC_Nam[],$A$77,0),$D$77)
+ IFERROR(HLOOKUP(K$1-1,Table_BCTC_Nam[],$A$78,0),$D$78)
+ IFERROR(HLOOKUP(K$1-1,Table_BCTC_Nam[],$A$79,0),$D$79)
+ IFERROR(HLOOKUP(K$1-1,Table_BCTC_Nam[],$A$88,0),$D$88)
+ IFERROR(HLOOKUP(K$1-1,Table_BCTC_Nam[],$A$89,0),$D$89)
+ IFERROR(HLOOKUP(K$1-1,Table_BCTC_Nam[],$A$90,0),$D$90)
)/2)
),0)</f>
        <v>0</v>
      </c>
      <c r="L137" s="240"/>
      <c r="M137" s="356"/>
      <c r="N137" s="78" t="s">
        <v>496</v>
      </c>
      <c r="O137" s="219">
        <f ca="1">(O49)/
(-(O51+O57+O58+O69)+((O73+O86-O75-O95-O74-O94-O93
+IFERROR(HLOOKUP(DATE(YEAR(O$1),MONTH(O$1)-1,1),Table_BCTC_Thang[],$A$73,0),
$D$73)
+IFERROR(HLOOKUP(DATE(YEAR(O$1),MONTH(O$1)-1,1),Table_BCTC_Thang[],$A$86,0),
$D$86)
-IFERROR(HLOOKUP(DATE(YEAR(O$1),MONTH(O$1)-1,1),Table_BCTC_Thang[],$A$75,0),
$D$75)
-IFERROR(HLOOKUP(DATE(YEAR(O$1),MONTH(O$1)-1,1),Table_BCTC_Thang[],$A$95,0),
$D$95)
-IFERROR(HLOOKUP(DATE(YEAR(O$1),MONTH(O$1)-1,1),Table_BCTC_Thang[],$A$74,0),
$D$74)
-IFERROR(HLOOKUP(DATE(YEAR(O$1),MONTH(O$1)-1,1),Table_BCTC_Thang[],$A$94,0),
$D$94)
-IFERROR(HLOOKUP(DATE(YEAR(O$1),MONTH(O$1)-1,1),Table_BCTC_Thang[],$A$93,0),
$D$93)
)/2))</f>
        <v>0</v>
      </c>
      <c r="P137" s="219">
        <f>(P49)/
(-(P51+P57+P58+P69)+
((P92+P83+P77+P78+P79+P88+P89+P90
+ IFERROR(HLOOKUP(DATE(YEAR(P$1),MONTH(P$1)-1,1),Table_BCTC_Thang[],$A$92,0),
$D$92)
+ IFERROR(HLOOKUP(DATE(YEAR(P$1),MONTH(P$1)-1,1),Table_BCTC_Thang[],$A$83,0),
$D$83)
+ IFERROR(HLOOKUP(DATE(YEAR(P$1),MONTH(P$1)-1,1),Table_BCTC_Thang[],$A$77,0),
$D$77)
+ IFERROR(HLOOKUP(DATE(YEAR(P$1),MONTH(P$1)-1,1),Table_BCTC_Thang[],$A$78,0),
$D$78)
+ IFERROR(HLOOKUP(DATE(YEAR(P$1),MONTH(P$1)-1,1),Table_BCTC_Thang[],$A$79,0),
$D$79)
+ IFERROR(HLOOKUP(DATE(YEAR(P$1),MONTH(P$1)-1,1),Table_BCTC_Thang[],$A$88,0),
$D$88)
+ IFERROR(HLOOKUP(DATE(YEAR(P$1),MONTH(P$1)-1,1),Table_BCTC_Thang[],$A$89,0),
$D$89)
+ IFERROR(HLOOKUP(DATE(YEAR(P$1),MONTH(P$1)-1,1),Table_BCTC_Thang[],$A$90,0),
$D$90)
)/2))</f>
        <v>0</v>
      </c>
      <c r="Q137" s="263"/>
      <c r="R137" s="263"/>
      <c r="S137" s="263"/>
      <c r="T137" s="263"/>
      <c r="U137" s="263"/>
      <c r="V137" s="263"/>
      <c r="W137" s="263"/>
      <c r="X137" s="263"/>
      <c r="Y137" s="263"/>
      <c r="Z137" s="263"/>
      <c r="AA137" s="263"/>
      <c r="AB137" s="263"/>
      <c r="AC137" s="263"/>
      <c r="AD137" s="263"/>
      <c r="AE137" s="263"/>
      <c r="AF137" s="263"/>
      <c r="AG137" s="263"/>
      <c r="AH137" s="263"/>
      <c r="AI137" s="263"/>
      <c r="AJ137" s="263"/>
      <c r="AK137" s="263"/>
      <c r="AL137" s="263"/>
      <c r="AM137" s="242"/>
    </row>
    <row r="138" spans="1:39" ht="18" customHeight="1" outlineLevel="1" x14ac:dyDescent="0.15">
      <c r="A138" s="240">
        <f t="shared" si="2"/>
        <v>135</v>
      </c>
      <c r="B138" s="257"/>
      <c r="C138" s="79" t="s">
        <v>497</v>
      </c>
      <c r="D138" s="263"/>
      <c r="E138" s="355"/>
      <c r="F138" s="240"/>
      <c r="G138" s="240"/>
      <c r="H138" s="356"/>
      <c r="I138" s="79" t="s">
        <v>497</v>
      </c>
      <c r="J138" s="355"/>
      <c r="K138" s="355"/>
      <c r="L138" s="240"/>
      <c r="M138" s="362"/>
      <c r="N138" s="79" t="s">
        <v>497</v>
      </c>
      <c r="O138" s="240"/>
      <c r="P138" s="240"/>
      <c r="Q138" s="263"/>
      <c r="R138" s="263"/>
      <c r="S138" s="263"/>
      <c r="T138" s="263"/>
      <c r="U138" s="263"/>
      <c r="V138" s="263"/>
      <c r="W138" s="263"/>
      <c r="X138" s="263"/>
      <c r="Y138" s="263"/>
      <c r="Z138" s="263"/>
      <c r="AA138" s="263"/>
      <c r="AB138" s="263"/>
      <c r="AC138" s="263"/>
      <c r="AD138" s="263"/>
      <c r="AE138" s="263"/>
      <c r="AF138" s="263"/>
      <c r="AG138" s="263"/>
      <c r="AH138" s="263"/>
      <c r="AI138" s="263"/>
      <c r="AJ138" s="263"/>
      <c r="AK138" s="263"/>
      <c r="AL138" s="263"/>
      <c r="AM138" s="242"/>
    </row>
    <row r="139" spans="1:39" ht="18" customHeight="1" outlineLevel="2" x14ac:dyDescent="0.15">
      <c r="A139" s="240">
        <f t="shared" si="2"/>
        <v>136</v>
      </c>
      <c r="B139" s="356"/>
      <c r="C139" s="78" t="s">
        <v>498</v>
      </c>
      <c r="D139" s="263"/>
      <c r="E139" s="32">
        <f xml:space="preserve">
IFERROR(
-(E9+E11+E20+E30)/
((E82
+ IFERROR(HLOOKUP(E$1-1,Table_BCTC_Nam[],$A$82,0),$D$82)
)/2),0)</f>
        <v>0</v>
      </c>
      <c r="F139" s="219" t="e">
        <f>-(F9+F11+F20+F30)/
((F82
+ IFERROR(HLOOKUP(DATE(YEAR(F$1),MONTH(F$1)-1,1),Table_BCTC_Thang[],$A$82,0),
$D$82)
)/2)</f>
        <v>#DIV/0!</v>
      </c>
      <c r="G139" s="240"/>
      <c r="H139" s="356"/>
      <c r="I139" s="78" t="s">
        <v>498</v>
      </c>
      <c r="J139" s="32">
        <f xml:space="preserve">
IFERROR(
-(J9+J11+J20+J30)/
((J82
+ IFERROR(HLOOKUP(J$1-1,Table_BCTC_Nam[],$A$82,0),$D$82)
)/2),0)</f>
        <v>0</v>
      </c>
      <c r="K139" s="32">
        <f xml:space="preserve">
IFERROR(
-(K9+K11+K20+K30)/
((K82
+ IFERROR(HLOOKUP(K$1-1,Table_BCTC_Nam[],$A$82,0),$D$82)
)/2),0)</f>
        <v>0</v>
      </c>
      <c r="L139" s="240"/>
      <c r="M139" s="356"/>
      <c r="N139" s="78" t="s">
        <v>498</v>
      </c>
      <c r="O139" s="219" t="e">
        <f>-(O9+O11+O20+O30)/
((O82
+ IFERROR(HLOOKUP(DATE(YEAR(O$1),MONTH(O$1)-1,1),Table_BCTC_Thang[],$A$82,0),
$D$82)
)/2)</f>
        <v>#DIV/0!</v>
      </c>
      <c r="P139" s="219" t="e">
        <f>-(P9+P11+P20+P30)/
((P82
+ IFERROR(HLOOKUP(DATE(YEAR(P$1),MONTH(P$1)-1,1),Table_BCTC_Thang[],$A$82,0),
$D$82)
)/2)</f>
        <v>#DIV/0!</v>
      </c>
      <c r="Q139" s="263"/>
      <c r="R139" s="263"/>
      <c r="S139" s="263"/>
      <c r="T139" s="263"/>
      <c r="U139" s="263"/>
      <c r="V139" s="263"/>
      <c r="W139" s="263"/>
      <c r="X139" s="263"/>
      <c r="Y139" s="263"/>
      <c r="Z139" s="263"/>
      <c r="AA139" s="263"/>
      <c r="AB139" s="263"/>
      <c r="AC139" s="263"/>
      <c r="AD139" s="263"/>
      <c r="AE139" s="263"/>
      <c r="AF139" s="263"/>
      <c r="AG139" s="263"/>
      <c r="AH139" s="263"/>
      <c r="AI139" s="263"/>
      <c r="AJ139" s="263"/>
      <c r="AK139" s="263"/>
      <c r="AL139" s="263"/>
      <c r="AM139" s="242"/>
    </row>
    <row r="140" spans="1:39" ht="18" customHeight="1" outlineLevel="2" x14ac:dyDescent="0.15">
      <c r="A140" s="240">
        <f t="shared" si="2"/>
        <v>137</v>
      </c>
      <c r="B140" s="356"/>
      <c r="C140" s="78" t="s">
        <v>499</v>
      </c>
      <c r="D140" s="263"/>
      <c r="E140" s="32">
        <f>IFERROR(365/E139,0)</f>
        <v>0</v>
      </c>
      <c r="F140" s="81" t="e">
        <f>(365/12)/F139</f>
        <v>#DIV/0!</v>
      </c>
      <c r="G140" s="240"/>
      <c r="H140" s="356"/>
      <c r="I140" s="78" t="s">
        <v>499</v>
      </c>
      <c r="J140" s="32">
        <f>IFERROR(365/J139,0)</f>
        <v>0</v>
      </c>
      <c r="K140" s="32">
        <f>IFERROR(365/K139,0)</f>
        <v>0</v>
      </c>
      <c r="L140" s="240"/>
      <c r="M140" s="356"/>
      <c r="N140" s="78" t="s">
        <v>499</v>
      </c>
      <c r="O140" s="81" t="e">
        <f>(365/12)/O139</f>
        <v>#DIV/0!</v>
      </c>
      <c r="P140" s="81" t="e">
        <f>(365/12)/P139</f>
        <v>#DIV/0!</v>
      </c>
      <c r="Q140" s="263"/>
      <c r="R140" s="263"/>
      <c r="S140" s="263"/>
      <c r="T140" s="263"/>
      <c r="U140" s="263"/>
      <c r="V140" s="263"/>
      <c r="W140" s="263"/>
      <c r="X140" s="263"/>
      <c r="Y140" s="263"/>
      <c r="Z140" s="263"/>
      <c r="AA140" s="263"/>
      <c r="AB140" s="263"/>
      <c r="AC140" s="263"/>
      <c r="AD140" s="263"/>
      <c r="AE140" s="263"/>
      <c r="AF140" s="263"/>
      <c r="AG140" s="263"/>
      <c r="AH140" s="263"/>
      <c r="AI140" s="263"/>
      <c r="AJ140" s="263"/>
      <c r="AK140" s="263"/>
      <c r="AL140" s="263"/>
      <c r="AM140" s="242"/>
    </row>
    <row r="141" spans="1:39" ht="18" customHeight="1" outlineLevel="2" x14ac:dyDescent="0.15">
      <c r="A141" s="240">
        <f t="shared" si="2"/>
        <v>138</v>
      </c>
      <c r="B141" s="356"/>
      <c r="C141" s="78" t="s">
        <v>500</v>
      </c>
      <c r="D141" s="263"/>
      <c r="E141" s="32">
        <f>IFERROR(E7/
((E77+E88
+ IFERROR(HLOOKUP(E$1-1,Table_BCTC_Nam[],$A$77,0),$D$77)
+ IFERROR(HLOOKUP(E$1-1,Table_BCTC_Nam[],$A$88,0),$D$88)
)/2),0)</f>
        <v>0</v>
      </c>
      <c r="F141" s="81" t="e">
        <f>F7/
((F77 + F88
+ IFERROR(HLOOKUP(DATE(YEAR(F$1),MONTH(F$1)-1,1),Table_BCTC_Thang[],$A$77,0),
$D$77)
+ IFERROR(HLOOKUP(DATE(YEAR(F$1),MONTH(F$1)-1,1),Table_BCTC_Thang[],$A$88,0),
$D$88)
)/2)</f>
        <v>#DIV/0!</v>
      </c>
      <c r="G141" s="240"/>
      <c r="H141" s="356"/>
      <c r="I141" s="78" t="s">
        <v>500</v>
      </c>
      <c r="J141" s="32">
        <f>IFERROR(J7/
((J77+J88
+ IFERROR(HLOOKUP(J$1-1,Table_BCTC_Nam[],$A$77,0),$D$77)
+ IFERROR(HLOOKUP(J$1-1,Table_BCTC_Nam[],$A$88,0),$D$88)
)/2),0)</f>
        <v>0</v>
      </c>
      <c r="K141" s="32">
        <f>IFERROR(K7/
((K77+K88
+ IFERROR(HLOOKUP(K$1-1,Table_BCTC_Nam[],$A$77,0),$D$77)
+ IFERROR(HLOOKUP(K$1-1,Table_BCTC_Nam[],$A$88,0),$D$88)
)/2),0)</f>
        <v>0</v>
      </c>
      <c r="L141" s="240"/>
      <c r="M141" s="356"/>
      <c r="N141" s="78" t="s">
        <v>500</v>
      </c>
      <c r="O141" s="81" t="e">
        <f>O7/
((O77 + O88
+ IFERROR(HLOOKUP(DATE(YEAR(O$1),MONTH(O$1)-1,1),Table_BCTC_Thang[],$A$77,0),
$D$77)
+ IFERROR(HLOOKUP(DATE(YEAR(O$1),MONTH(O$1)-1,1),Table_BCTC_Thang[],$A$88,0),
$D$88)
)/2)</f>
        <v>#DIV/0!</v>
      </c>
      <c r="P141" s="81" t="e">
        <f>P7/
((P77 + P88
+ IFERROR(HLOOKUP(DATE(YEAR(P$1),MONTH(P$1)-1,1),Table_BCTC_Thang[],$A$77,0),
$D$77)
+ IFERROR(HLOOKUP(DATE(YEAR(P$1),MONTH(P$1)-1,1),Table_BCTC_Thang[],$A$88,0),
$D$88)
)/2)</f>
        <v>#DIV/0!</v>
      </c>
      <c r="Q141" s="263"/>
      <c r="R141" s="263"/>
      <c r="S141" s="263"/>
      <c r="T141" s="263"/>
      <c r="U141" s="263"/>
      <c r="V141" s="263"/>
      <c r="W141" s="263"/>
      <c r="X141" s="263"/>
      <c r="Y141" s="263"/>
      <c r="Z141" s="263"/>
      <c r="AA141" s="263"/>
      <c r="AB141" s="263"/>
      <c r="AC141" s="263"/>
      <c r="AD141" s="263"/>
      <c r="AE141" s="263"/>
      <c r="AF141" s="263"/>
      <c r="AG141" s="263"/>
      <c r="AH141" s="263"/>
      <c r="AI141" s="263"/>
      <c r="AJ141" s="263"/>
      <c r="AK141" s="263"/>
      <c r="AL141" s="263"/>
      <c r="AM141" s="242"/>
    </row>
    <row r="142" spans="1:39" ht="18" customHeight="1" outlineLevel="2" x14ac:dyDescent="0.15">
      <c r="A142" s="240">
        <f t="shared" si="2"/>
        <v>139</v>
      </c>
      <c r="B142" s="356"/>
      <c r="C142" s="78" t="s">
        <v>501</v>
      </c>
      <c r="D142" s="263"/>
      <c r="E142" s="32">
        <f>IFERROR(365/E141,0)</f>
        <v>0</v>
      </c>
      <c r="F142" s="81" t="e">
        <f>(365/12)/F141</f>
        <v>#DIV/0!</v>
      </c>
      <c r="G142" s="240"/>
      <c r="H142" s="356"/>
      <c r="I142" s="78" t="s">
        <v>501</v>
      </c>
      <c r="J142" s="32">
        <f>IFERROR(365/J141,0)</f>
        <v>0</v>
      </c>
      <c r="K142" s="32">
        <f>IFERROR(365/K141,0)</f>
        <v>0</v>
      </c>
      <c r="L142" s="240"/>
      <c r="M142" s="356"/>
      <c r="N142" s="78" t="s">
        <v>501</v>
      </c>
      <c r="O142" s="81" t="e">
        <f>(365/12)/O141</f>
        <v>#DIV/0!</v>
      </c>
      <c r="P142" s="81" t="e">
        <f>(365/12)/P141</f>
        <v>#DIV/0!</v>
      </c>
      <c r="Q142" s="263"/>
      <c r="R142" s="263"/>
      <c r="S142" s="263"/>
      <c r="T142" s="263"/>
      <c r="U142" s="263"/>
      <c r="V142" s="263"/>
      <c r="W142" s="263"/>
      <c r="X142" s="263"/>
      <c r="Y142" s="263"/>
      <c r="Z142" s="263"/>
      <c r="AA142" s="263"/>
      <c r="AB142" s="263"/>
      <c r="AC142" s="263"/>
      <c r="AD142" s="263"/>
      <c r="AE142" s="263"/>
      <c r="AF142" s="263"/>
      <c r="AG142" s="263"/>
      <c r="AH142" s="263"/>
      <c r="AI142" s="263"/>
      <c r="AJ142" s="263"/>
      <c r="AK142" s="263"/>
      <c r="AL142" s="263"/>
      <c r="AM142" s="242"/>
    </row>
    <row r="143" spans="1:39" ht="18" customHeight="1" outlineLevel="2" x14ac:dyDescent="0.15">
      <c r="A143" s="240">
        <f t="shared" si="2"/>
        <v>140</v>
      </c>
      <c r="B143" s="356"/>
      <c r="C143" s="78" t="s">
        <v>502</v>
      </c>
      <c r="D143" s="263"/>
      <c r="E143" s="32">
        <f xml:space="preserve">
IFERROR(
-(E8+E17+E28-E14-E26-E33-E34)/
((E99+E106+E102+E108
+ IFERROR(HLOOKUP(E$1-1,Table_BCTC_Nam[],$A$99,0),$D$99)
+ IFERROR(HLOOKUP(E$1-1,Table_BCTC_Nam[],$A$106,0),$D$106)
+ IFERROR(HLOOKUP(E$1-1,Table_BCTC_Nam[],$A$102,0),$D$102)
+ IFERROR(HLOOKUP(E$1-1,Table_BCTC_Nam[],$A$108,0),$D$108)
)/2),0)</f>
        <v>0</v>
      </c>
      <c r="F143" s="81" t="e">
        <f>-(F8+F17+F28-F14-F26-F33-F34)/
((F99 + F106 + F102 + F108
+ IFERROR(HLOOKUP(DATE(YEAR(F$1),MONTH(F$1)-1,1),Table_BCTC_Thang[],$A$99,0),
$D$99)
+ IFERROR(HLOOKUP(DATE(YEAR(F$1),MONTH(F$1)-1,1),Table_BCTC_Thang[],$A$106,0),
$D$106)
+ IFERROR(HLOOKUP(DATE(YEAR(F$1),MONTH(F$1)-1,1),Table_BCTC_Thang[],$A$102,0),
$D$102)
+ IFERROR(HLOOKUP(DATE(YEAR(F$1),MONTH(F$1)-1,1),Table_BCTC_Thang[],$A$108,0),
$D$108)
)/2)</f>
        <v>#DIV/0!</v>
      </c>
      <c r="G143" s="240"/>
      <c r="H143" s="356"/>
      <c r="I143" s="78" t="s">
        <v>502</v>
      </c>
      <c r="J143" s="32">
        <f xml:space="preserve">
IFERROR(
-(J8+J17+J28-J14-J26-J33-J34)/
((J99+J106+J102+J108
+ IFERROR(HLOOKUP(J$1-1,Table_BCTC_Nam[],$A$99,0),$D$99)
+ IFERROR(HLOOKUP(J$1-1,Table_BCTC_Nam[],$A$106,0),$D$106)
+ IFERROR(HLOOKUP(J$1-1,Table_BCTC_Nam[],$A$102,0),$D$102)
+ IFERROR(HLOOKUP(J$1-1,Table_BCTC_Nam[],$A$108,0),$D$108)
)/2),0)</f>
        <v>0</v>
      </c>
      <c r="K143" s="32">
        <f xml:space="preserve">
IFERROR(
-(K8+K17+K28-K14-K26-K33-K34)/
((K99+K106+K102+K108
+ IFERROR(HLOOKUP(K$1-1,Table_BCTC_Nam[],$A$99,0),$D$99)
+ IFERROR(HLOOKUP(K$1-1,Table_BCTC_Nam[],$A$106,0),$D$106)
+ IFERROR(HLOOKUP(K$1-1,Table_BCTC_Nam[],$A$102,0),$D$102)
+ IFERROR(HLOOKUP(K$1-1,Table_BCTC_Nam[],$A$108,0),$D$108)
)/2),0)</f>
        <v>0</v>
      </c>
      <c r="L143" s="240"/>
      <c r="M143" s="356"/>
      <c r="N143" s="78" t="s">
        <v>502</v>
      </c>
      <c r="O143" s="81" t="e">
        <f>-(O8+O17+O28-O14-O26-O33-O34)/
((O99 + O106 + O102 + O108
+ IFERROR(HLOOKUP(DATE(YEAR(O$1),MONTH(O$1)-1,1),Table_BCTC_Thang[],$A$99,0),
$D$99)
+ IFERROR(HLOOKUP(DATE(YEAR(O$1),MONTH(O$1)-1,1),Table_BCTC_Thang[],$A$106,0),
$D$106)
+ IFERROR(HLOOKUP(DATE(YEAR(O$1),MONTH(O$1)-1,1),Table_BCTC_Thang[],$A$102,0),
$D$102)
+ IFERROR(HLOOKUP(DATE(YEAR(O$1),MONTH(O$1)-1,1),Table_BCTC_Thang[],$A$108,0),
$D$108)
)/2)</f>
        <v>#DIV/0!</v>
      </c>
      <c r="P143" s="81" t="e">
        <f>-(P8+P17+P28-P14-P26-P33-P34)/
((P99 + P106 + P102 + P108
+ IFERROR(HLOOKUP(DATE(YEAR(P$1),MONTH(P$1)-1,1),Table_BCTC_Thang[],$A$99,0),
$D$99)
+ IFERROR(HLOOKUP(DATE(YEAR(P$1),MONTH(P$1)-1,1),Table_BCTC_Thang[],$A$106,0),
$D$106)
+ IFERROR(HLOOKUP(DATE(YEAR(P$1),MONTH(P$1)-1,1),Table_BCTC_Thang[],$A$102,0),
$D$102)
+ IFERROR(HLOOKUP(DATE(YEAR(P$1),MONTH(P$1)-1,1),Table_BCTC_Thang[],$A$108,0),
$D$108)
)/2)</f>
        <v>#DIV/0!</v>
      </c>
      <c r="Q143" s="263"/>
      <c r="R143" s="263"/>
      <c r="S143" s="263"/>
      <c r="T143" s="263"/>
      <c r="U143" s="263"/>
      <c r="V143" s="263"/>
      <c r="W143" s="263"/>
      <c r="X143" s="263"/>
      <c r="Y143" s="263"/>
      <c r="Z143" s="263"/>
      <c r="AA143" s="263"/>
      <c r="AB143" s="263"/>
      <c r="AC143" s="263"/>
      <c r="AD143" s="263"/>
      <c r="AE143" s="263"/>
      <c r="AF143" s="263"/>
      <c r="AG143" s="263"/>
      <c r="AH143" s="263"/>
      <c r="AI143" s="263"/>
      <c r="AJ143" s="263"/>
      <c r="AK143" s="263"/>
      <c r="AL143" s="263"/>
      <c r="AM143" s="242"/>
    </row>
    <row r="144" spans="1:39" ht="18" customHeight="1" outlineLevel="2" x14ac:dyDescent="0.15">
      <c r="A144" s="240">
        <f t="shared" si="2"/>
        <v>141</v>
      </c>
      <c r="B144" s="356"/>
      <c r="C144" s="78" t="s">
        <v>503</v>
      </c>
      <c r="D144" s="263"/>
      <c r="E144" s="32">
        <f>IFERROR(365/E143,0)</f>
        <v>0</v>
      </c>
      <c r="F144" s="81" t="e">
        <f>(365/12)/F143</f>
        <v>#DIV/0!</v>
      </c>
      <c r="G144" s="240"/>
      <c r="H144" s="356"/>
      <c r="I144" s="78" t="s">
        <v>503</v>
      </c>
      <c r="J144" s="32">
        <f>IFERROR(365/J143,0)</f>
        <v>0</v>
      </c>
      <c r="K144" s="32">
        <f>IFERROR(365/K143,0)</f>
        <v>0</v>
      </c>
      <c r="L144" s="240"/>
      <c r="M144" s="356"/>
      <c r="N144" s="78" t="s">
        <v>503</v>
      </c>
      <c r="O144" s="81" t="e">
        <f>(365/12)/O143</f>
        <v>#DIV/0!</v>
      </c>
      <c r="P144" s="81" t="e">
        <f>(365/12)/P143</f>
        <v>#DIV/0!</v>
      </c>
      <c r="Q144" s="263"/>
      <c r="R144" s="263"/>
      <c r="S144" s="263"/>
      <c r="T144" s="263"/>
      <c r="U144" s="263"/>
      <c r="V144" s="263"/>
      <c r="W144" s="263"/>
      <c r="X144" s="263"/>
      <c r="Y144" s="263"/>
      <c r="Z144" s="263"/>
      <c r="AA144" s="263"/>
      <c r="AB144" s="263"/>
      <c r="AC144" s="263"/>
      <c r="AD144" s="263"/>
      <c r="AE144" s="263"/>
      <c r="AF144" s="263"/>
      <c r="AG144" s="263"/>
      <c r="AH144" s="263"/>
      <c r="AI144" s="263"/>
      <c r="AJ144" s="263"/>
      <c r="AK144" s="263"/>
      <c r="AL144" s="263"/>
      <c r="AM144" s="242"/>
    </row>
    <row r="145" spans="1:39" ht="18" customHeight="1" outlineLevel="2" x14ac:dyDescent="0.15">
      <c r="A145" s="240">
        <f t="shared" si="2"/>
        <v>142</v>
      </c>
      <c r="B145" s="356"/>
      <c r="C145" s="78" t="s">
        <v>504</v>
      </c>
      <c r="D145" s="263"/>
      <c r="E145" s="32">
        <f>+E140+E142-E144</f>
        <v>0</v>
      </c>
      <c r="F145" s="81" t="e">
        <f>+F140+F142-F144</f>
        <v>#DIV/0!</v>
      </c>
      <c r="G145" s="240"/>
      <c r="H145" s="356"/>
      <c r="I145" s="78" t="s">
        <v>504</v>
      </c>
      <c r="J145" s="32">
        <f>+J140+J142-J144</f>
        <v>0</v>
      </c>
      <c r="K145" s="32">
        <f>+K140+K142-K144</f>
        <v>0</v>
      </c>
      <c r="L145" s="240"/>
      <c r="M145" s="356"/>
      <c r="N145" s="78" t="s">
        <v>504</v>
      </c>
      <c r="O145" s="81" t="e">
        <f>+O140+O142-O144</f>
        <v>#DIV/0!</v>
      </c>
      <c r="P145" s="81" t="e">
        <f>+P140+P142-P144</f>
        <v>#DIV/0!</v>
      </c>
      <c r="Q145" s="263"/>
      <c r="R145" s="263"/>
      <c r="S145" s="263"/>
      <c r="T145" s="263"/>
      <c r="U145" s="263"/>
      <c r="V145" s="263"/>
      <c r="W145" s="263"/>
      <c r="X145" s="263"/>
      <c r="Y145" s="263"/>
      <c r="Z145" s="263"/>
      <c r="AA145" s="263"/>
      <c r="AB145" s="263"/>
      <c r="AC145" s="263"/>
      <c r="AD145" s="263"/>
      <c r="AE145" s="263"/>
      <c r="AF145" s="263"/>
      <c r="AG145" s="263"/>
      <c r="AH145" s="263"/>
      <c r="AI145" s="263"/>
      <c r="AJ145" s="263"/>
      <c r="AK145" s="263"/>
      <c r="AL145" s="263"/>
      <c r="AM145" s="242"/>
    </row>
    <row r="146" spans="1:39" ht="18" customHeight="1" outlineLevel="1" x14ac:dyDescent="0.15">
      <c r="A146" s="240">
        <f t="shared" si="2"/>
        <v>143</v>
      </c>
      <c r="B146" s="356"/>
      <c r="C146" s="79" t="s">
        <v>505</v>
      </c>
      <c r="D146" s="263"/>
      <c r="E146" s="346"/>
      <c r="F146" s="240"/>
      <c r="G146" s="240"/>
      <c r="H146" s="356"/>
      <c r="I146" s="79" t="s">
        <v>505</v>
      </c>
      <c r="J146" s="346"/>
      <c r="K146" s="346"/>
      <c r="L146" s="240"/>
      <c r="M146" s="356"/>
      <c r="N146" s="79" t="s">
        <v>505</v>
      </c>
      <c r="O146" s="240"/>
      <c r="P146" s="240"/>
      <c r="Q146" s="263"/>
      <c r="R146" s="263"/>
      <c r="S146" s="263"/>
      <c r="T146" s="263"/>
      <c r="U146" s="263"/>
      <c r="V146" s="263"/>
      <c r="W146" s="263"/>
      <c r="X146" s="263"/>
      <c r="Y146" s="263"/>
      <c r="Z146" s="263"/>
      <c r="AA146" s="263"/>
      <c r="AB146" s="263"/>
      <c r="AC146" s="263"/>
      <c r="AD146" s="263"/>
      <c r="AE146" s="263"/>
      <c r="AF146" s="263"/>
      <c r="AG146" s="263"/>
      <c r="AH146" s="263"/>
      <c r="AI146" s="263"/>
      <c r="AJ146" s="263"/>
      <c r="AK146" s="263"/>
      <c r="AL146" s="263"/>
      <c r="AM146" s="242"/>
    </row>
    <row r="147" spans="1:39" ht="18" customHeight="1" outlineLevel="2" x14ac:dyDescent="0.15">
      <c r="A147" s="240">
        <f t="shared" si="2"/>
        <v>144</v>
      </c>
      <c r="B147" s="356"/>
      <c r="C147" s="78" t="s">
        <v>506</v>
      </c>
      <c r="D147" s="263"/>
      <c r="E147" s="32">
        <f>IFERROR(E74/E98,0)</f>
        <v>0</v>
      </c>
      <c r="F147" s="81">
        <f>F74/F98</f>
        <v>0</v>
      </c>
      <c r="G147" s="240"/>
      <c r="H147" s="356"/>
      <c r="I147" s="78" t="s">
        <v>506</v>
      </c>
      <c r="J147" s="32">
        <f>IFERROR(J74/J98,0)</f>
        <v>0</v>
      </c>
      <c r="K147" s="32">
        <f>IFERROR(K74/K98,0)</f>
        <v>0</v>
      </c>
      <c r="L147" s="240"/>
      <c r="M147" s="356"/>
      <c r="N147" s="78" t="s">
        <v>506</v>
      </c>
      <c r="O147" s="81">
        <f>O74/O98</f>
        <v>0</v>
      </c>
      <c r="P147" s="81">
        <f>P74/P98</f>
        <v>0</v>
      </c>
      <c r="Q147" s="263"/>
      <c r="R147" s="263"/>
      <c r="S147" s="263"/>
      <c r="T147" s="263"/>
      <c r="U147" s="263"/>
      <c r="V147" s="263"/>
      <c r="W147" s="263"/>
      <c r="X147" s="263"/>
      <c r="Y147" s="263"/>
      <c r="Z147" s="263"/>
      <c r="AA147" s="263"/>
      <c r="AB147" s="263"/>
      <c r="AC147" s="263"/>
      <c r="AD147" s="263"/>
      <c r="AE147" s="263"/>
      <c r="AF147" s="263"/>
      <c r="AG147" s="263"/>
      <c r="AH147" s="263"/>
      <c r="AI147" s="263"/>
      <c r="AJ147" s="263"/>
      <c r="AK147" s="263"/>
      <c r="AL147" s="263"/>
      <c r="AM147" s="242"/>
    </row>
    <row r="148" spans="1:39" ht="18" customHeight="1" outlineLevel="2" x14ac:dyDescent="0.15">
      <c r="A148" s="240">
        <f t="shared" si="2"/>
        <v>145</v>
      </c>
      <c r="B148" s="356"/>
      <c r="C148" s="78" t="s">
        <v>507</v>
      </c>
      <c r="D148" s="263"/>
      <c r="E148" s="32">
        <f>IFERROR((E73-E76-E82)/E98,0)</f>
        <v>0</v>
      </c>
      <c r="F148" s="81">
        <f>(F73-F76-F82)/F98</f>
        <v>0</v>
      </c>
      <c r="G148" s="240"/>
      <c r="H148" s="356"/>
      <c r="I148" s="78" t="s">
        <v>507</v>
      </c>
      <c r="J148" s="32">
        <f>IFERROR((J73-J76-J82)/J98,0)</f>
        <v>0</v>
      </c>
      <c r="K148" s="32">
        <f>IFERROR((K73-K76-K82)/K98,0)</f>
        <v>0</v>
      </c>
      <c r="L148" s="240"/>
      <c r="M148" s="356"/>
      <c r="N148" s="78" t="s">
        <v>507</v>
      </c>
      <c r="O148" s="81">
        <f ca="1">(O73-O76-O82)/O98</f>
        <v>0</v>
      </c>
      <c r="P148" s="81">
        <f ca="1">(P73-P76-P82)/P98</f>
        <v>0</v>
      </c>
      <c r="Q148" s="263"/>
      <c r="R148" s="263"/>
      <c r="S148" s="263"/>
      <c r="T148" s="263"/>
      <c r="U148" s="263"/>
      <c r="V148" s="263"/>
      <c r="W148" s="263"/>
      <c r="X148" s="263"/>
      <c r="Y148" s="263"/>
      <c r="Z148" s="263"/>
      <c r="AA148" s="263"/>
      <c r="AB148" s="263"/>
      <c r="AC148" s="263"/>
      <c r="AD148" s="263"/>
      <c r="AE148" s="263"/>
      <c r="AF148" s="263"/>
      <c r="AG148" s="263"/>
      <c r="AH148" s="263"/>
      <c r="AI148" s="263"/>
      <c r="AJ148" s="263"/>
      <c r="AK148" s="263"/>
      <c r="AL148" s="263"/>
      <c r="AM148" s="242"/>
    </row>
    <row r="149" spans="1:39" ht="18" customHeight="1" outlineLevel="2" x14ac:dyDescent="0.15">
      <c r="A149" s="240">
        <f t="shared" si="2"/>
        <v>146</v>
      </c>
      <c r="B149" s="356"/>
      <c r="C149" s="78" t="s">
        <v>508</v>
      </c>
      <c r="D149" s="263"/>
      <c r="E149" s="32">
        <f>IFERROR(E73/E98,0)</f>
        <v>0</v>
      </c>
      <c r="F149" s="81">
        <f>F73/F98</f>
        <v>0</v>
      </c>
      <c r="G149" s="240"/>
      <c r="H149" s="356"/>
      <c r="I149" s="78" t="s">
        <v>508</v>
      </c>
      <c r="J149" s="32">
        <f>IFERROR(J73/J98,0)</f>
        <v>7.4672783575185614E-2</v>
      </c>
      <c r="K149" s="32">
        <f>IFERROR(K73/K98,0)</f>
        <v>7.4672783575185614E-2</v>
      </c>
      <c r="L149" s="240"/>
      <c r="M149" s="356"/>
      <c r="N149" s="78" t="s">
        <v>508</v>
      </c>
      <c r="O149" s="81">
        <f ca="1">O73/O98</f>
        <v>0</v>
      </c>
      <c r="P149" s="81">
        <f ca="1">P73/P98</f>
        <v>0</v>
      </c>
      <c r="Q149" s="263"/>
      <c r="R149" s="263"/>
      <c r="S149" s="263"/>
      <c r="T149" s="263"/>
      <c r="U149" s="263"/>
      <c r="V149" s="263"/>
      <c r="W149" s="263"/>
      <c r="X149" s="263"/>
      <c r="Y149" s="263"/>
      <c r="Z149" s="263"/>
      <c r="AA149" s="263"/>
      <c r="AB149" s="263"/>
      <c r="AC149" s="263"/>
      <c r="AD149" s="263"/>
      <c r="AE149" s="263"/>
      <c r="AF149" s="263"/>
      <c r="AG149" s="263"/>
      <c r="AH149" s="263"/>
      <c r="AI149" s="263"/>
      <c r="AJ149" s="263"/>
      <c r="AK149" s="263"/>
      <c r="AL149" s="263"/>
      <c r="AM149" s="242"/>
    </row>
    <row r="150" spans="1:39" ht="18" customHeight="1" outlineLevel="2" x14ac:dyDescent="0.15">
      <c r="A150" s="240">
        <f t="shared" si="2"/>
        <v>147</v>
      </c>
      <c r="B150" s="356"/>
      <c r="C150" s="78" t="s">
        <v>509</v>
      </c>
      <c r="D150" s="263"/>
      <c r="E150" s="32">
        <f>IFERROR(E49/
((E98
+ IFERROR(HLOOKUP(E$1-1,Table_BCTC_Nam[],$A$98,0),$D$98)
)/2),0)</f>
        <v>0</v>
      </c>
      <c r="F150" s="219">
        <f>F49/
((F98
+ IFERROR(HLOOKUP(DATE(YEAR(F$1),MONTH(F$1)-1,1),Table_BCTC_Thang[],$A$98,0),
$D$98)
)/2)</f>
        <v>0</v>
      </c>
      <c r="G150" s="240"/>
      <c r="H150" s="356"/>
      <c r="I150" s="78" t="s">
        <v>509</v>
      </c>
      <c r="J150" s="32">
        <f>IFERROR(J49/
((J98
+ IFERROR(HLOOKUP(J$1-1,Table_BCTC_Nam[],$A$98,0),$D$98)
)/2),0)</f>
        <v>0</v>
      </c>
      <c r="K150" s="32">
        <f>IFERROR(K49/
((K98
+ IFERROR(HLOOKUP(K$1-1,Table_BCTC_Nam[],$A$98,0),$D$98)
)/2),0)</f>
        <v>0</v>
      </c>
      <c r="L150" s="240"/>
      <c r="M150" s="356"/>
      <c r="N150" s="78" t="s">
        <v>509</v>
      </c>
      <c r="O150" s="219">
        <f>O49/
((O98
+ IFERROR(HLOOKUP(DATE(YEAR(O$1),MONTH(O$1)-1,1),Table_BCTC_Thang[],$A$98,0),
$D$98)
)/2)</f>
        <v>0</v>
      </c>
      <c r="P150" s="219">
        <f>P49/
((P98
+ IFERROR(HLOOKUP(DATE(YEAR(P$1),MONTH(P$1)-1,1),Table_BCTC_Thang[],$A$98,0),
$D$98)
)/2)</f>
        <v>0</v>
      </c>
      <c r="Q150" s="263"/>
      <c r="R150" s="263"/>
      <c r="S150" s="263"/>
      <c r="T150" s="263"/>
      <c r="U150" s="263"/>
      <c r="V150" s="263"/>
      <c r="W150" s="263"/>
      <c r="X150" s="263"/>
      <c r="Y150" s="263"/>
      <c r="Z150" s="263"/>
      <c r="AA150" s="263"/>
      <c r="AB150" s="263"/>
      <c r="AC150" s="263"/>
      <c r="AD150" s="263"/>
      <c r="AE150" s="263"/>
      <c r="AF150" s="263"/>
      <c r="AG150" s="263"/>
      <c r="AH150" s="263"/>
      <c r="AI150" s="263"/>
      <c r="AJ150" s="263"/>
      <c r="AK150" s="263"/>
      <c r="AL150" s="263"/>
      <c r="AM150" s="242"/>
    </row>
    <row r="151" spans="1:39" ht="18" customHeight="1" outlineLevel="1" x14ac:dyDescent="0.15">
      <c r="A151" s="240">
        <f t="shared" si="2"/>
        <v>148</v>
      </c>
      <c r="B151" s="356"/>
      <c r="C151" s="79" t="s">
        <v>510</v>
      </c>
      <c r="D151" s="263"/>
      <c r="E151" s="355"/>
      <c r="F151" s="375"/>
      <c r="G151" s="240"/>
      <c r="H151" s="356"/>
      <c r="I151" s="79" t="s">
        <v>510</v>
      </c>
      <c r="J151" s="355"/>
      <c r="K151" s="355"/>
      <c r="L151" s="240"/>
      <c r="M151" s="356"/>
      <c r="N151" s="79" t="s">
        <v>510</v>
      </c>
      <c r="O151" s="375"/>
      <c r="P151" s="375"/>
      <c r="Q151" s="263"/>
      <c r="R151" s="263"/>
      <c r="S151" s="263"/>
      <c r="T151" s="263"/>
      <c r="U151" s="263"/>
      <c r="V151" s="263"/>
      <c r="W151" s="263"/>
      <c r="X151" s="263"/>
      <c r="Y151" s="263"/>
      <c r="Z151" s="263"/>
      <c r="AA151" s="263"/>
      <c r="AB151" s="263"/>
      <c r="AC151" s="263"/>
      <c r="AD151" s="263"/>
      <c r="AE151" s="263"/>
      <c r="AF151" s="263"/>
      <c r="AG151" s="263"/>
      <c r="AH151" s="263"/>
      <c r="AI151" s="263"/>
      <c r="AJ151" s="263"/>
      <c r="AK151" s="263"/>
      <c r="AL151" s="263"/>
      <c r="AM151" s="242"/>
    </row>
    <row r="152" spans="1:39" ht="18" customHeight="1" outlineLevel="2" x14ac:dyDescent="0.15">
      <c r="A152" s="240">
        <f t="shared" si="2"/>
        <v>149</v>
      </c>
      <c r="B152" s="356"/>
      <c r="C152" s="78" t="s">
        <v>511</v>
      </c>
      <c r="D152" s="263"/>
      <c r="E152" s="80">
        <f>IFERROR(E97/(E86+E73),0)</f>
        <v>0</v>
      </c>
      <c r="F152" s="80" t="e">
        <f>F97/(F86+F73)</f>
        <v>#DIV/0!</v>
      </c>
      <c r="G152" s="240"/>
      <c r="H152" s="356"/>
      <c r="I152" s="78" t="s">
        <v>511</v>
      </c>
      <c r="J152" s="80">
        <f>IFERROR(J97/(J86+J73),0)</f>
        <v>13.391760051279357</v>
      </c>
      <c r="K152" s="80">
        <f>IFERROR(K97/(K86+K73),0)</f>
        <v>13.391760051279357</v>
      </c>
      <c r="L152" s="240"/>
      <c r="M152" s="356"/>
      <c r="N152" s="78" t="s">
        <v>511</v>
      </c>
      <c r="O152" s="80" t="e">
        <f ca="1">O97/(O86+O73)</f>
        <v>#DIV/0!</v>
      </c>
      <c r="P152" s="80" t="e">
        <f ca="1">P97/(P86+P73)</f>
        <v>#DIV/0!</v>
      </c>
      <c r="Q152" s="263"/>
      <c r="R152" s="263"/>
      <c r="S152" s="263"/>
      <c r="T152" s="263"/>
      <c r="U152" s="263"/>
      <c r="V152" s="263"/>
      <c r="W152" s="263"/>
      <c r="X152" s="263"/>
      <c r="Y152" s="263"/>
      <c r="Z152" s="263"/>
      <c r="AA152" s="263"/>
      <c r="AB152" s="263"/>
      <c r="AC152" s="263"/>
      <c r="AD152" s="263"/>
      <c r="AE152" s="263"/>
      <c r="AF152" s="263"/>
      <c r="AG152" s="263"/>
      <c r="AH152" s="263"/>
      <c r="AI152" s="263"/>
      <c r="AJ152" s="263"/>
      <c r="AK152" s="263"/>
      <c r="AL152" s="263"/>
      <c r="AM152" s="242"/>
    </row>
    <row r="153" spans="1:39" ht="18" customHeight="1" outlineLevel="2" x14ac:dyDescent="0.15">
      <c r="A153" s="240">
        <f t="shared" si="2"/>
        <v>150</v>
      </c>
      <c r="B153" s="356"/>
      <c r="C153" s="78" t="s">
        <v>512</v>
      </c>
      <c r="D153" s="263"/>
      <c r="E153" s="80">
        <f>IFERROR((E110+E104)/(E86+E73),0)</f>
        <v>0</v>
      </c>
      <c r="F153" s="80" t="e">
        <f>(F110+F104)/(F86+F73)</f>
        <v>#DIV/0!</v>
      </c>
      <c r="G153" s="240"/>
      <c r="H153" s="356"/>
      <c r="I153" s="78" t="s">
        <v>512</v>
      </c>
      <c r="J153" s="80">
        <f>IFERROR((J110+J104)/(J86+J73),0)</f>
        <v>13.368812714323163</v>
      </c>
      <c r="K153" s="80">
        <f>IFERROR((K110+K104)/(K86+K73),0)</f>
        <v>13.368812714323163</v>
      </c>
      <c r="L153" s="240"/>
      <c r="M153" s="356"/>
      <c r="N153" s="78" t="s">
        <v>512</v>
      </c>
      <c r="O153" s="80" t="e">
        <f ca="1">(O110+O104)/(O86+O73)</f>
        <v>#DIV/0!</v>
      </c>
      <c r="P153" s="80" t="e">
        <f ca="1">(P110+P104)/(P86+P73)</f>
        <v>#DIV/0!</v>
      </c>
      <c r="Q153" s="263"/>
      <c r="R153" s="263"/>
      <c r="S153" s="263"/>
      <c r="T153" s="263"/>
      <c r="U153" s="263"/>
      <c r="V153" s="263"/>
      <c r="W153" s="263"/>
      <c r="X153" s="263"/>
      <c r="Y153" s="263"/>
      <c r="Z153" s="263"/>
      <c r="AA153" s="263"/>
      <c r="AB153" s="263"/>
      <c r="AC153" s="263"/>
      <c r="AD153" s="263"/>
      <c r="AE153" s="263"/>
      <c r="AF153" s="263"/>
      <c r="AG153" s="263"/>
      <c r="AH153" s="263"/>
      <c r="AI153" s="263"/>
      <c r="AJ153" s="263"/>
      <c r="AK153" s="263"/>
      <c r="AL153" s="263"/>
      <c r="AM153" s="242"/>
    </row>
    <row r="154" spans="1:39" ht="18" customHeight="1" outlineLevel="2" x14ac:dyDescent="0.15">
      <c r="A154" s="240">
        <f t="shared" si="2"/>
        <v>151</v>
      </c>
      <c r="B154" s="356"/>
      <c r="C154" s="78" t="s">
        <v>513</v>
      </c>
      <c r="D154" s="263"/>
      <c r="E154" s="80">
        <f>IFERROR((E110+E104)/E111,0)</f>
        <v>0</v>
      </c>
      <c r="F154" s="80" t="e">
        <f>(F110+F104)/F111</f>
        <v>#DIV/0!</v>
      </c>
      <c r="G154" s="240"/>
      <c r="H154" s="356"/>
      <c r="I154" s="78" t="s">
        <v>513</v>
      </c>
      <c r="J154" s="80">
        <f>IFERROR((J110+J104)/J111,0)</f>
        <v>0</v>
      </c>
      <c r="K154" s="80">
        <f>IFERROR((K110+K104)/K111,0)</f>
        <v>0</v>
      </c>
      <c r="L154" s="240"/>
      <c r="M154" s="356"/>
      <c r="N154" s="78" t="s">
        <v>513</v>
      </c>
      <c r="O154" s="80" t="e">
        <f>(O110+O104)/O111</f>
        <v>#DIV/0!</v>
      </c>
      <c r="P154" s="80" t="e">
        <f>(P110+P104)/P111</f>
        <v>#DIV/0!</v>
      </c>
      <c r="Q154" s="263"/>
      <c r="R154" s="263"/>
      <c r="S154" s="263"/>
      <c r="T154" s="263"/>
      <c r="U154" s="263"/>
      <c r="V154" s="263"/>
      <c r="W154" s="263"/>
      <c r="X154" s="263"/>
      <c r="Y154" s="263"/>
      <c r="Z154" s="263"/>
      <c r="AA154" s="263"/>
      <c r="AB154" s="263"/>
      <c r="AC154" s="263"/>
      <c r="AD154" s="263"/>
      <c r="AE154" s="263"/>
      <c r="AF154" s="263"/>
      <c r="AG154" s="263"/>
      <c r="AH154" s="263"/>
      <c r="AI154" s="263"/>
      <c r="AJ154" s="263"/>
      <c r="AK154" s="263"/>
      <c r="AL154" s="263"/>
      <c r="AM154" s="242"/>
    </row>
    <row r="155" spans="1:39" ht="18" customHeight="1" outlineLevel="2" x14ac:dyDescent="0.15">
      <c r="A155" s="240">
        <f t="shared" si="2"/>
        <v>152</v>
      </c>
      <c r="B155" s="356"/>
      <c r="C155" s="78" t="s">
        <v>514</v>
      </c>
      <c r="D155" s="263"/>
      <c r="E155" s="80">
        <f>IFERROR(E49/
((E97
+ IFERROR(HLOOKUP(E$1-1,Table_BCTC_Nam[],$A$97,0),$D$97)
)/2),0)</f>
        <v>0</v>
      </c>
      <c r="F155" s="219">
        <f>F49/
((F97
+  IFERROR(HLOOKUP(DATE(YEAR(F$1),MONTH(F$1)-1,1),Table_BCTC_Thang[],$A$97,0),
$D$97)
)/2)</f>
        <v>0</v>
      </c>
      <c r="G155" s="240"/>
      <c r="H155" s="356"/>
      <c r="I155" s="78" t="s">
        <v>514</v>
      </c>
      <c r="J155" s="80">
        <f>IFERROR(J49/
((J97
+ IFERROR(HLOOKUP(J$1-1,Table_BCTC_Nam[],$A$97,0),$D$97)
)/2),0)</f>
        <v>0</v>
      </c>
      <c r="K155" s="80">
        <f>IFERROR(K49/
((K97
+ IFERROR(HLOOKUP(K$1-1,Table_BCTC_Nam[],$A$97,0),$D$97)
)/2),0)</f>
        <v>0</v>
      </c>
      <c r="L155" s="240"/>
      <c r="M155" s="356"/>
      <c r="N155" s="78" t="s">
        <v>514</v>
      </c>
      <c r="O155" s="219">
        <f>O49/
((O97
+  IFERROR(HLOOKUP(DATE(YEAR(O$1),MONTH(O$1)-1,1),Table_BCTC_Thang[],$A$97,0),
$D$97)
)/2)</f>
        <v>0</v>
      </c>
      <c r="P155" s="219">
        <f>P49/
((P97
+  IFERROR(HLOOKUP(DATE(YEAR(P$1),MONTH(P$1)-1,1),Table_BCTC_Thang[],$A$97,0),
$D$97)
)/2)</f>
        <v>0</v>
      </c>
      <c r="Q155" s="263"/>
      <c r="R155" s="263"/>
      <c r="S155" s="263"/>
      <c r="T155" s="263"/>
      <c r="U155" s="263"/>
      <c r="V155" s="263"/>
      <c r="W155" s="263"/>
      <c r="X155" s="263"/>
      <c r="Y155" s="263"/>
      <c r="Z155" s="263"/>
      <c r="AA155" s="263"/>
      <c r="AB155" s="263"/>
      <c r="AC155" s="263"/>
      <c r="AD155" s="263"/>
      <c r="AE155" s="263"/>
      <c r="AF155" s="263"/>
      <c r="AG155" s="263"/>
      <c r="AH155" s="263"/>
      <c r="AI155" s="263"/>
      <c r="AJ155" s="263"/>
      <c r="AK155" s="263"/>
      <c r="AL155" s="263"/>
      <c r="AM155" s="242"/>
    </row>
    <row r="156" spans="1:39" ht="18" customHeight="1" outlineLevel="2" x14ac:dyDescent="0.15">
      <c r="A156" s="240">
        <f t="shared" si="2"/>
        <v>153</v>
      </c>
      <c r="B156" s="356"/>
      <c r="C156" s="78" t="s">
        <v>515</v>
      </c>
      <c r="D156" s="263"/>
      <c r="E156" s="80">
        <f>IFERROR(E49/
((E110+E104
+ IFERROR(HLOOKUP(E$1-1,Table_BCTC_Nam[],$A$110,0),$D$110)
+ IFERROR(HLOOKUP(E$1-1,Table_BCTC_Nam[],$A$104,0),$D$104)
)/2),0)</f>
        <v>0</v>
      </c>
      <c r="F156" s="80">
        <f>F49/
((F110+F104
+IFERROR(HLOOKUP(DATE(YEAR(F$1),MONTH(F$1)-1,1),Table_BCTC_Thang[],$A$110,0),
$D$110)
+IFERROR(HLOOKUP(DATE(YEAR(F$1),MONTH(F$1)-1,1),Table_BCTC_Thang[],$A$104,0),
$D$104)
)/2)</f>
        <v>0</v>
      </c>
      <c r="G156" s="240"/>
      <c r="H156" s="356"/>
      <c r="I156" s="78" t="s">
        <v>515</v>
      </c>
      <c r="J156" s="80">
        <f>IFERROR(J49/
((J110+J104
+ IFERROR(HLOOKUP(J$1-1,Table_BCTC_Nam[],$A$110,0),$D$110)
+ IFERROR(HLOOKUP(J$1-1,Table_BCTC_Nam[],$A$104,0),$D$104)
)/2),0)</f>
        <v>0</v>
      </c>
      <c r="K156" s="80">
        <f>IFERROR(K49/
((K110+K104
+ IFERROR(HLOOKUP(K$1-1,Table_BCTC_Nam[],$A$110,0),$D$110)
+ IFERROR(HLOOKUP(K$1-1,Table_BCTC_Nam[],$A$104,0),$D$104)
)/2),0)</f>
        <v>0</v>
      </c>
      <c r="L156" s="240"/>
      <c r="M156" s="356"/>
      <c r="N156" s="78" t="s">
        <v>515</v>
      </c>
      <c r="O156" s="80">
        <f>O49/
((O110+O104
+IFERROR(HLOOKUP(DATE(YEAR(O$1),MONTH(O$1)-1,1),Table_BCTC_Thang[],$A$110,0),
$D$110)
+IFERROR(HLOOKUP(DATE(YEAR(O$1),MONTH(O$1)-1,1),Table_BCTC_Thang[],$A$104,0),
$D$104)
)/2)</f>
        <v>0</v>
      </c>
      <c r="P156" s="80">
        <f>P49/
((P110+P104
+IFERROR(HLOOKUP(DATE(YEAR(P$1),MONTH(P$1)-1,1),Table_BCTC_Thang[],$A$110,0),
$D$110)
+IFERROR(HLOOKUP(DATE(YEAR(P$1),MONTH(P$1)-1,1),Table_BCTC_Thang[],$A$104,0),
$D$104)
)/2)</f>
        <v>0</v>
      </c>
      <c r="Q156" s="263"/>
      <c r="R156" s="263"/>
      <c r="S156" s="263"/>
      <c r="T156" s="263"/>
      <c r="U156" s="263"/>
      <c r="V156" s="263"/>
      <c r="W156" s="263"/>
      <c r="X156" s="263"/>
      <c r="Y156" s="263"/>
      <c r="Z156" s="263"/>
      <c r="AA156" s="263"/>
      <c r="AB156" s="263"/>
      <c r="AC156" s="263"/>
      <c r="AD156" s="263"/>
      <c r="AE156" s="263"/>
      <c r="AF156" s="263"/>
      <c r="AG156" s="263"/>
      <c r="AH156" s="263"/>
      <c r="AI156" s="263"/>
      <c r="AJ156" s="263"/>
      <c r="AK156" s="263"/>
      <c r="AL156" s="263"/>
      <c r="AM156" s="242"/>
    </row>
    <row r="157" spans="1:39" ht="18" customHeight="1" outlineLevel="1" x14ac:dyDescent="0.15">
      <c r="A157" s="240">
        <f t="shared" si="2"/>
        <v>154</v>
      </c>
      <c r="B157" s="356"/>
      <c r="C157" s="82" t="s">
        <v>516</v>
      </c>
      <c r="D157" s="263"/>
      <c r="E157" s="310"/>
      <c r="F157" s="240"/>
      <c r="G157" s="240"/>
      <c r="H157" s="356"/>
      <c r="I157" s="82" t="s">
        <v>516</v>
      </c>
      <c r="J157" s="310"/>
      <c r="K157" s="310"/>
      <c r="L157" s="240"/>
      <c r="M157" s="356"/>
      <c r="N157" s="82" t="s">
        <v>516</v>
      </c>
      <c r="O157" s="240"/>
      <c r="P157" s="240"/>
      <c r="Q157" s="263"/>
      <c r="R157" s="263"/>
      <c r="S157" s="263"/>
      <c r="T157" s="263"/>
      <c r="U157" s="263"/>
      <c r="V157" s="263"/>
      <c r="W157" s="263"/>
      <c r="X157" s="263"/>
      <c r="Y157" s="263"/>
      <c r="Z157" s="263"/>
      <c r="AA157" s="263"/>
      <c r="AB157" s="263"/>
      <c r="AC157" s="263"/>
      <c r="AD157" s="263"/>
      <c r="AE157" s="263"/>
      <c r="AF157" s="263"/>
      <c r="AG157" s="263"/>
      <c r="AH157" s="263"/>
      <c r="AI157" s="263"/>
      <c r="AJ157" s="263"/>
      <c r="AK157" s="263"/>
      <c r="AL157" s="263"/>
      <c r="AM157" s="242"/>
    </row>
    <row r="158" spans="1:39" ht="18" customHeight="1" outlineLevel="2" x14ac:dyDescent="0.15">
      <c r="A158" s="240">
        <f t="shared" si="2"/>
        <v>155</v>
      </c>
      <c r="B158" s="356"/>
      <c r="C158" s="78" t="s">
        <v>517</v>
      </c>
      <c r="D158" s="263"/>
      <c r="E158" s="80">
        <f xml:space="preserve">
IFERROR(E6/
HLOOKUP(
E$1 -1,Table_BCTC_Nam[],$A$6,0)-1,
0)</f>
        <v>0</v>
      </c>
      <c r="F158" s="80">
        <f xml:space="preserve">
IFERROR(
F6/
HLOOKUP(DATE(YEAR(F$1),MONTH(F$1)-1,1),Table_BCTC_Thang[],$A$6,0)
-1,
0)</f>
        <v>0</v>
      </c>
      <c r="G158" s="240"/>
      <c r="H158" s="356"/>
      <c r="I158" s="78" t="s">
        <v>517</v>
      </c>
      <c r="J158" s="80">
        <f xml:space="preserve">
IFERROR(J6/
HLOOKUP(
J$1 -1,Table_BCTC_Nam[],$A$6,0)-1,
0)</f>
        <v>0</v>
      </c>
      <c r="K158" s="80">
        <f xml:space="preserve">
IFERROR(K6/
HLOOKUP(
K$1 -1,Table_BCTC_Nam[],$A$6,0)-1,
0)</f>
        <v>0</v>
      </c>
      <c r="L158" s="240"/>
      <c r="M158" s="356"/>
      <c r="N158" s="78" t="s">
        <v>517</v>
      </c>
      <c r="O158" s="80">
        <f xml:space="preserve">
IFERROR(
O6/
HLOOKUP(DATE(YEAR(O$1),MONTH(O$1)-1,1),Table_BCTC_Thang[],$A$6,0)
-1,
0)</f>
        <v>0</v>
      </c>
      <c r="P158" s="80">
        <f xml:space="preserve">
IFERROR(
P6/
HLOOKUP(DATE(YEAR(P$1),MONTH(P$1)-1,1),Table_BCTC_Thang[],$A$6,0)
-1,
0)</f>
        <v>0</v>
      </c>
      <c r="Q158" s="263"/>
      <c r="R158" s="263"/>
      <c r="S158" s="263"/>
      <c r="T158" s="263"/>
      <c r="U158" s="263"/>
      <c r="V158" s="263"/>
      <c r="W158" s="263"/>
      <c r="X158" s="263"/>
      <c r="Y158" s="263"/>
      <c r="Z158" s="263"/>
      <c r="AA158" s="263"/>
      <c r="AB158" s="263"/>
      <c r="AC158" s="263"/>
      <c r="AD158" s="263"/>
      <c r="AE158" s="263"/>
      <c r="AF158" s="263"/>
      <c r="AG158" s="263"/>
      <c r="AH158" s="263"/>
      <c r="AI158" s="263"/>
      <c r="AJ158" s="263"/>
      <c r="AK158" s="263"/>
      <c r="AL158" s="263"/>
      <c r="AM158" s="242"/>
    </row>
    <row r="159" spans="1:39" ht="18" customHeight="1" outlineLevel="2" x14ac:dyDescent="0.15">
      <c r="A159" s="240">
        <f t="shared" si="2"/>
        <v>156</v>
      </c>
      <c r="B159" s="356"/>
      <c r="C159" s="78" t="s">
        <v>518</v>
      </c>
      <c r="D159" s="263"/>
      <c r="E159" s="80">
        <f xml:space="preserve">
IFERROR(E7/
HLOOKUP(
E$1 -1,Table_BCTC_Nam[],$A$7,0)-1,
0)</f>
        <v>0</v>
      </c>
      <c r="F159" s="80">
        <f xml:space="preserve">
IFERROR(
F7/
HLOOKUP(DATE(YEAR(F$1),MONTH(F$1)-1,1),Table_BCTC_Thang[],$A$7,0)-1,
0)</f>
        <v>0</v>
      </c>
      <c r="G159" s="240"/>
      <c r="H159" s="356"/>
      <c r="I159" s="78" t="s">
        <v>518</v>
      </c>
      <c r="J159" s="80">
        <f xml:space="preserve">
IFERROR(J7/
HLOOKUP(
J$1 -1,Table_BCTC_Nam[],$A$7,0)-1,
0)</f>
        <v>0</v>
      </c>
      <c r="K159" s="80">
        <f xml:space="preserve">
IFERROR(K7/
HLOOKUP(
K$1 -1,Table_BCTC_Nam[],$A$7,0)-1,
0)</f>
        <v>0</v>
      </c>
      <c r="L159" s="240"/>
      <c r="M159" s="356"/>
      <c r="N159" s="78" t="s">
        <v>518</v>
      </c>
      <c r="O159" s="80">
        <f xml:space="preserve">
IFERROR(
O7/
HLOOKUP(DATE(YEAR(O$1),MONTH(O$1)-1,1),Table_BCTC_Thang[],$A$7,0)-1,
0)</f>
        <v>0</v>
      </c>
      <c r="P159" s="80">
        <f xml:space="preserve">
IFERROR(
P7/
HLOOKUP(DATE(YEAR(P$1),MONTH(P$1)-1,1),Table_BCTC_Thang[],$A$7,0)-1,
0)</f>
        <v>0</v>
      </c>
      <c r="Q159" s="263"/>
      <c r="R159" s="263"/>
      <c r="S159" s="263"/>
      <c r="T159" s="263"/>
      <c r="U159" s="263"/>
      <c r="V159" s="263"/>
      <c r="W159" s="263"/>
      <c r="X159" s="263"/>
      <c r="Y159" s="263"/>
      <c r="Z159" s="263"/>
      <c r="AA159" s="263"/>
      <c r="AB159" s="263"/>
      <c r="AC159" s="263"/>
      <c r="AD159" s="263"/>
      <c r="AE159" s="263"/>
      <c r="AF159" s="263"/>
      <c r="AG159" s="263"/>
      <c r="AH159" s="263"/>
      <c r="AI159" s="263"/>
      <c r="AJ159" s="263"/>
      <c r="AK159" s="263"/>
      <c r="AL159" s="263"/>
      <c r="AM159" s="242"/>
    </row>
    <row r="160" spans="1:39" ht="18" customHeight="1" outlineLevel="2" x14ac:dyDescent="0.15">
      <c r="A160" s="240">
        <f t="shared" si="2"/>
        <v>157</v>
      </c>
      <c r="B160" s="356"/>
      <c r="C160" s="78" t="s">
        <v>519</v>
      </c>
      <c r="D160" s="263"/>
      <c r="E160" s="80">
        <f xml:space="preserve">
IFERROR(E16/
HLOOKUP(
E$1 -1,Table_BCTC_Nam[],$A$16,0)-1,
0)</f>
        <v>0</v>
      </c>
      <c r="F160" s="80">
        <f xml:space="preserve">
IFERROR(
F16/
HLOOKUP(DATE(YEAR(F$1),MONTH(F$1)-1,1),Table_BCTC_Thang[],$A$16,0)-1,
0)</f>
        <v>0</v>
      </c>
      <c r="G160" s="240"/>
      <c r="H160" s="356"/>
      <c r="I160" s="78" t="s">
        <v>519</v>
      </c>
      <c r="J160" s="80">
        <f xml:space="preserve">
IFERROR(J16/
HLOOKUP(
J$1 -1,Table_BCTC_Nam[],$A$16,0)-1,
0)</f>
        <v>0</v>
      </c>
      <c r="K160" s="80">
        <f xml:space="preserve">
IFERROR(K16/
HLOOKUP(
K$1 -1,Table_BCTC_Nam[],$A$16,0)-1,
0)</f>
        <v>0</v>
      </c>
      <c r="L160" s="240"/>
      <c r="M160" s="356"/>
      <c r="N160" s="78" t="s">
        <v>519</v>
      </c>
      <c r="O160" s="80">
        <f xml:space="preserve">
IFERROR(
O16/
HLOOKUP(DATE(YEAR(O$1),MONTH(O$1)-1,1),Table_BCTC_Thang[],$A$16,0)-1,
0)</f>
        <v>0</v>
      </c>
      <c r="P160" s="80">
        <f xml:space="preserve">
IFERROR(
P16/
HLOOKUP(DATE(YEAR(P$1),MONTH(P$1)-1,1),Table_BCTC_Thang[],$A$16,0)-1,
0)</f>
        <v>0</v>
      </c>
      <c r="Q160" s="263"/>
      <c r="R160" s="263"/>
      <c r="S160" s="263"/>
      <c r="T160" s="263"/>
      <c r="U160" s="263"/>
      <c r="V160" s="263"/>
      <c r="W160" s="263"/>
      <c r="X160" s="263"/>
      <c r="Y160" s="263"/>
      <c r="Z160" s="263"/>
      <c r="AA160" s="263"/>
      <c r="AB160" s="263"/>
      <c r="AC160" s="263"/>
      <c r="AD160" s="263"/>
      <c r="AE160" s="263"/>
      <c r="AF160" s="263"/>
      <c r="AG160" s="263"/>
      <c r="AH160" s="263"/>
      <c r="AI160" s="263"/>
      <c r="AJ160" s="263"/>
      <c r="AK160" s="263"/>
      <c r="AL160" s="263"/>
      <c r="AM160" s="242"/>
    </row>
    <row r="161" spans="1:39" ht="18" customHeight="1" outlineLevel="2" x14ac:dyDescent="0.15">
      <c r="A161" s="240">
        <f t="shared" si="2"/>
        <v>158</v>
      </c>
      <c r="B161" s="356"/>
      <c r="C161" s="78" t="s">
        <v>520</v>
      </c>
      <c r="D161" s="263"/>
      <c r="E161" s="80">
        <f xml:space="preserve">
IFERROR(E36/
HLOOKUP(
E$1 -1,Table_BCTC_Nam[],$A$36,0)-1,
0)</f>
        <v>0</v>
      </c>
      <c r="F161" s="80">
        <f xml:space="preserve">
IFERROR(
F36/
HLOOKUP(DATE(YEAR(F$1),MONTH(F$1)-1,1),Table_BCTC_Thang[],$A$36,0)-1,
0)</f>
        <v>0</v>
      </c>
      <c r="G161" s="240"/>
      <c r="H161" s="356"/>
      <c r="I161" s="78" t="s">
        <v>520</v>
      </c>
      <c r="J161" s="80">
        <f xml:space="preserve">
IFERROR(J36/
HLOOKUP(
J$1 -1,Table_BCTC_Nam[],$A$36,0)-1,
0)</f>
        <v>0</v>
      </c>
      <c r="K161" s="80">
        <f xml:space="preserve">
IFERROR(K36/
HLOOKUP(
K$1 -1,Table_BCTC_Nam[],$A$36,0)-1,
0)</f>
        <v>0</v>
      </c>
      <c r="L161" s="240"/>
      <c r="M161" s="356"/>
      <c r="N161" s="78" t="s">
        <v>520</v>
      </c>
      <c r="O161" s="80">
        <f xml:space="preserve">
IFERROR(
O36/
HLOOKUP(DATE(YEAR(O$1),MONTH(O$1)-1,1),Table_BCTC_Thang[],$A$36,0)-1,
0)</f>
        <v>0</v>
      </c>
      <c r="P161" s="80">
        <f xml:space="preserve">
IFERROR(
P36/
HLOOKUP(DATE(YEAR(P$1),MONTH(P$1)-1,1),Table_BCTC_Thang[],$A$36,0)-1,
0)</f>
        <v>0</v>
      </c>
      <c r="Q161" s="263"/>
      <c r="R161" s="263"/>
      <c r="S161" s="263"/>
      <c r="T161" s="263"/>
      <c r="U161" s="263"/>
      <c r="V161" s="263"/>
      <c r="W161" s="263"/>
      <c r="X161" s="263"/>
      <c r="Y161" s="263"/>
      <c r="Z161" s="263"/>
      <c r="AA161" s="263"/>
      <c r="AB161" s="263"/>
      <c r="AC161" s="263"/>
      <c r="AD161" s="263"/>
      <c r="AE161" s="263"/>
      <c r="AF161" s="263"/>
      <c r="AG161" s="263"/>
      <c r="AH161" s="263"/>
      <c r="AI161" s="263"/>
      <c r="AJ161" s="263"/>
      <c r="AK161" s="263"/>
      <c r="AL161" s="263"/>
      <c r="AM161" s="242"/>
    </row>
    <row r="162" spans="1:39" ht="18" customHeight="1" outlineLevel="2" x14ac:dyDescent="0.15">
      <c r="A162" s="240">
        <f t="shared" si="2"/>
        <v>159</v>
      </c>
      <c r="B162" s="356"/>
      <c r="C162" s="78" t="s">
        <v>521</v>
      </c>
      <c r="D162" s="263"/>
      <c r="E162" s="80">
        <f xml:space="preserve">
IFERROR(E46/
HLOOKUP(
E$1 -1,Table_BCTC_Nam[],$A$46,0)-1,
0)</f>
        <v>0</v>
      </c>
      <c r="F162" s="80">
        <f xml:space="preserve">
IFERROR(
F46/
HLOOKUP(DATE(YEAR(F$1),MONTH(F$1)-1,1),Table_BCTC_Thang[],$A$46,0)-1,
0)</f>
        <v>0</v>
      </c>
      <c r="G162" s="240"/>
      <c r="H162" s="356"/>
      <c r="I162" s="78" t="s">
        <v>521</v>
      </c>
      <c r="J162" s="80">
        <f xml:space="preserve">
IFERROR(J46/
HLOOKUP(
J$1 -1,Table_BCTC_Nam[],$A$46,0)-1,
0)</f>
        <v>0</v>
      </c>
      <c r="K162" s="80">
        <f xml:space="preserve">
IFERROR(K46/
HLOOKUP(
K$1 -1,Table_BCTC_Nam[],$A$46,0)-1,
0)</f>
        <v>0</v>
      </c>
      <c r="L162" s="240"/>
      <c r="M162" s="356"/>
      <c r="N162" s="78" t="s">
        <v>521</v>
      </c>
      <c r="O162" s="80">
        <f xml:space="preserve">
IFERROR(
O46/
HLOOKUP(DATE(YEAR(O$1),MONTH(O$1)-1,1),Table_BCTC_Thang[],$A$46,0)-1,
0)</f>
        <v>0</v>
      </c>
      <c r="P162" s="80">
        <f xml:space="preserve">
IFERROR(
P46/
HLOOKUP(DATE(YEAR(P$1),MONTH(P$1)-1,1),Table_BCTC_Thang[],$A$46,0)-1,
0)</f>
        <v>0</v>
      </c>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42"/>
    </row>
    <row r="163" spans="1:39" ht="18" customHeight="1" outlineLevel="2" x14ac:dyDescent="0.15">
      <c r="A163" s="240">
        <f t="shared" si="2"/>
        <v>160</v>
      </c>
      <c r="B163" s="356"/>
      <c r="C163" s="78" t="s">
        <v>522</v>
      </c>
      <c r="D163" s="263"/>
      <c r="E163" s="80">
        <f xml:space="preserve">
IFERROR(E49/
HLOOKUP(
E$1 -1,Table_BCTC_Nam[],$A$49,0)-1,
0)</f>
        <v>0</v>
      </c>
      <c r="F163" s="80">
        <f xml:space="preserve">
IFERROR(F49/
HLOOKUP(DATE(YEAR(F$1),MONTH(F$1)-1,1),Table_BCTC_Thang[],$A$49,0)-1,
0)</f>
        <v>0</v>
      </c>
      <c r="G163" s="242"/>
      <c r="H163" s="356"/>
      <c r="I163" s="78" t="s">
        <v>522</v>
      </c>
      <c r="J163" s="80">
        <f xml:space="preserve">
IFERROR(J49/
HLOOKUP(
J$1 -1,Table_BCTC_Nam[],$A$49,0)-1,
0)</f>
        <v>0</v>
      </c>
      <c r="K163" s="80">
        <f xml:space="preserve">
IFERROR(K49/
HLOOKUP(
K$1 -1,Table_BCTC_Nam[],$A$49,0)-1,
0)</f>
        <v>0</v>
      </c>
      <c r="L163" s="242"/>
      <c r="M163" s="356"/>
      <c r="N163" s="78" t="s">
        <v>522</v>
      </c>
      <c r="O163" s="80">
        <f xml:space="preserve">
IFERROR(O49/
HLOOKUP(DATE(YEAR(O$1),MONTH(O$1)-1,1),Table_BCTC_Thang[],$A$49,0)-1,
0)</f>
        <v>0</v>
      </c>
      <c r="P163" s="80">
        <f xml:space="preserve">
IFERROR(P49/
HLOOKUP(DATE(YEAR(P$1),MONTH(P$1)-1,1),Table_BCTC_Thang[],$A$49,0)-1,
0)</f>
        <v>0</v>
      </c>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42"/>
    </row>
    <row r="164" spans="1:39" ht="18" customHeight="1" outlineLevel="2" x14ac:dyDescent="0.15">
      <c r="A164" s="240">
        <f t="shared" si="2"/>
        <v>161</v>
      </c>
      <c r="B164" s="356"/>
      <c r="C164" s="78" t="s">
        <v>523</v>
      </c>
      <c r="D164" s="263"/>
      <c r="E164" s="80">
        <f xml:space="preserve">
IFERROR(E70/
HLOOKUP(
E$1 -1,Table_BCTC_Nam[],$A$70,0)-1,
0)</f>
        <v>0</v>
      </c>
      <c r="F164" s="80">
        <f xml:space="preserve">
IFERROR(F70/
HLOOKUP(DATE(YEAR(F$1),MONTH(F$1)-1,1),Table_BCTC_Thang[],$A$70,0)-1,
0)</f>
        <v>0</v>
      </c>
      <c r="G164" s="242"/>
      <c r="H164" s="356"/>
      <c r="I164" s="78" t="s">
        <v>523</v>
      </c>
      <c r="J164" s="80">
        <f xml:space="preserve">
IFERROR(J70/
HLOOKUP(
J$1 -1,Table_BCTC_Nam[],$A$70,0)-1,
0)</f>
        <v>0</v>
      </c>
      <c r="K164" s="80">
        <f xml:space="preserve">
IFERROR(K70/
HLOOKUP(
K$1 -1,Table_BCTC_Nam[],$A$70,0)-1,
0)</f>
        <v>0</v>
      </c>
      <c r="L164" s="242"/>
      <c r="M164" s="356"/>
      <c r="N164" s="78" t="s">
        <v>523</v>
      </c>
      <c r="O164" s="80">
        <f xml:space="preserve">
IFERROR(O70/
HLOOKUP(DATE(YEAR(O$1),MONTH(O$1)-1,1),Table_BCTC_Thang[],$A$70,0)-1,
0)</f>
        <v>0</v>
      </c>
      <c r="P164" s="80">
        <f xml:space="preserve">
IFERROR(P70/
HLOOKUP(DATE(YEAR(P$1),MONTH(P$1)-1,1),Table_BCTC_Thang[],$A$70,0)-1,
0)</f>
        <v>0</v>
      </c>
      <c r="Q164" s="263"/>
      <c r="R164" s="263"/>
      <c r="S164" s="263"/>
      <c r="T164" s="263"/>
      <c r="U164" s="263"/>
      <c r="V164" s="263"/>
      <c r="W164" s="263"/>
      <c r="X164" s="263"/>
      <c r="Y164" s="263"/>
      <c r="Z164" s="263"/>
      <c r="AA164" s="263"/>
      <c r="AB164" s="263"/>
      <c r="AC164" s="263"/>
      <c r="AD164" s="263"/>
      <c r="AE164" s="263"/>
      <c r="AF164" s="263"/>
      <c r="AG164" s="263"/>
      <c r="AH164" s="263"/>
      <c r="AI164" s="263"/>
      <c r="AJ164" s="263"/>
      <c r="AK164" s="263"/>
      <c r="AL164" s="263"/>
      <c r="AM164" s="242"/>
    </row>
    <row r="165" spans="1:39" ht="18" customHeight="1" outlineLevel="2" x14ac:dyDescent="0.15">
      <c r="A165" s="240">
        <f t="shared" si="2"/>
        <v>162</v>
      </c>
      <c r="B165" s="356"/>
      <c r="C165" s="78" t="s">
        <v>524</v>
      </c>
      <c r="D165" s="263"/>
      <c r="E165" s="80">
        <f xml:space="preserve">
IFERROR(
(E73+E86)/
(HLOOKUP(E$1 -1,Table_BCTC_Nam[],$A$73,$D$73)
+ HLOOKUP(E$1 -1,Table_BCTC_Nam[],$A$86,$D$86))-1, 0)</f>
        <v>0</v>
      </c>
      <c r="F165" s="80">
        <f xml:space="preserve">
IFERROR(
(F73+F86)/
(
IFERROR(HLOOKUP(DATE(YEAR(F$1),MONTH(F$1)-1,1),Table_BCTC_Thang[],$A$73,0),
$D$73)
+ IFERROR(HLOOKUP(DATE(YEAR(F$1),MONTH(F$1)-1,1),Table_BCTC_Thang[],$A$86,0),
$D$86)
)-1,0)</f>
        <v>-1</v>
      </c>
      <c r="G165" s="242"/>
      <c r="H165" s="356"/>
      <c r="I165" s="78" t="s">
        <v>524</v>
      </c>
      <c r="J165" s="80">
        <f xml:space="preserve">
IFERROR(
(J73+J86)/
(HLOOKUP(J$1 -1,Table_BCTC_Nam[],$A$73,$D$73)
+ HLOOKUP(J$1 -1,Table_BCTC_Nam[],$A$86,$D$86))-1, 0)</f>
        <v>0</v>
      </c>
      <c r="K165" s="80">
        <f xml:space="preserve">
IFERROR(
(K73+K86)/
(HLOOKUP(K$1 -1,Table_BCTC_Nam[],$A$73,$D$73)
+ HLOOKUP(K$1 -1,Table_BCTC_Nam[],$A$86,$D$86))-1, 0)</f>
        <v>0</v>
      </c>
      <c r="L165" s="242"/>
      <c r="M165" s="356"/>
      <c r="N165" s="78" t="s">
        <v>524</v>
      </c>
      <c r="O165" s="80">
        <f ca="1" xml:space="preserve">
IFERROR(
(O73+O86)/
(
IFERROR(HLOOKUP(DATE(YEAR(O$1),MONTH(O$1)-1,1),Table_BCTC_Thang[],$A$73,0),
$D$73)
+ IFERROR(HLOOKUP(DATE(YEAR(O$1),MONTH(O$1)-1,1),Table_BCTC_Thang[],$A$86,0),
$D$86)
)-1,0)</f>
        <v>-1</v>
      </c>
      <c r="P165" s="80">
        <f ca="1" xml:space="preserve">
IFERROR(
(P73+P86)/
(
IFERROR(HLOOKUP(DATE(YEAR(P$1),MONTH(P$1)-1,1),Table_BCTC_Thang[],$A$73,0),
$D$73)
+ IFERROR(HLOOKUP(DATE(YEAR(P$1),MONTH(P$1)-1,1),Table_BCTC_Thang[],$A$86,0),
$D$86)
)-1,0)</f>
        <v>-1</v>
      </c>
      <c r="Q165" s="263"/>
      <c r="R165" s="263"/>
      <c r="S165" s="263"/>
      <c r="T165" s="263"/>
      <c r="U165" s="263"/>
      <c r="V165" s="263"/>
      <c r="W165" s="263"/>
      <c r="X165" s="263"/>
      <c r="Y165" s="263"/>
      <c r="Z165" s="263"/>
      <c r="AA165" s="263"/>
      <c r="AB165" s="263"/>
      <c r="AC165" s="263"/>
      <c r="AD165" s="263"/>
      <c r="AE165" s="263"/>
      <c r="AF165" s="263"/>
      <c r="AG165" s="263"/>
      <c r="AH165" s="263"/>
      <c r="AI165" s="263"/>
      <c r="AJ165" s="263"/>
      <c r="AK165" s="263"/>
      <c r="AL165" s="263"/>
      <c r="AM165" s="242"/>
    </row>
    <row r="166" spans="1:39" ht="18" customHeight="1" outlineLevel="2" x14ac:dyDescent="0.15">
      <c r="A166" s="240">
        <f t="shared" si="2"/>
        <v>163</v>
      </c>
      <c r="B166" s="356"/>
      <c r="C166" s="78" t="s">
        <v>525</v>
      </c>
      <c r="D166" s="263"/>
      <c r="E166" s="80">
        <f xml:space="preserve">
IFERROR(
E111/
+ HLOOKUP(E$1 -1,Table_BCTC_Nam[],$A$111,$D$111)-1, 0)</f>
        <v>0</v>
      </c>
      <c r="F166" s="80">
        <f xml:space="preserve">
IFERROR(F111/
IFERROR(HLOOKUP(DATE(YEAR(F$1),MONTH(F$1)-1,1),Table_BCTC_Thang[],$A$111,0),
$D$111)-1,0)</f>
        <v>0</v>
      </c>
      <c r="G166" s="242"/>
      <c r="H166" s="356"/>
      <c r="I166" s="78" t="s">
        <v>525</v>
      </c>
      <c r="J166" s="80">
        <f xml:space="preserve">
IFERROR(
J111/
+ HLOOKUP(J$1 -1,Table_BCTC_Nam[],$A$111,$D$111)-1, 0)</f>
        <v>0</v>
      </c>
      <c r="K166" s="80">
        <f xml:space="preserve">
IFERROR(
K111/
+ HLOOKUP(K$1 -1,Table_BCTC_Nam[],$A$111,$D$111)-1, 0)</f>
        <v>0</v>
      </c>
      <c r="L166" s="242"/>
      <c r="M166" s="356"/>
      <c r="N166" s="78" t="s">
        <v>525</v>
      </c>
      <c r="O166" s="80">
        <f xml:space="preserve">
IFERROR(O111/
IFERROR(HLOOKUP(DATE(YEAR(O$1),MONTH(O$1)-1,1),Table_BCTC_Thang[],$A$111,0),
$D$111)-1,0)</f>
        <v>0</v>
      </c>
      <c r="P166" s="80">
        <f xml:space="preserve">
IFERROR(P111/
IFERROR(HLOOKUP(DATE(YEAR(P$1),MONTH(P$1)-1,1),Table_BCTC_Thang[],$A$111,0),
$D$111)-1,0)</f>
        <v>0</v>
      </c>
      <c r="Q166" s="263"/>
      <c r="R166" s="263"/>
      <c r="S166" s="263"/>
      <c r="T166" s="263"/>
      <c r="U166" s="263"/>
      <c r="V166" s="263"/>
      <c r="W166" s="263"/>
      <c r="X166" s="263"/>
      <c r="Y166" s="263"/>
      <c r="Z166" s="263"/>
      <c r="AA166" s="263"/>
      <c r="AB166" s="263"/>
      <c r="AC166" s="263"/>
      <c r="AD166" s="263"/>
      <c r="AE166" s="263"/>
      <c r="AF166" s="263"/>
      <c r="AG166" s="263"/>
      <c r="AH166" s="263"/>
      <c r="AI166" s="263"/>
      <c r="AJ166" s="263"/>
      <c r="AK166" s="263"/>
      <c r="AL166" s="263"/>
      <c r="AM166" s="242"/>
    </row>
    <row r="167" spans="1:39" ht="18" customHeight="1" x14ac:dyDescent="0.15">
      <c r="A167" s="240"/>
      <c r="B167" s="242"/>
      <c r="C167" s="240"/>
      <c r="D167" s="263"/>
      <c r="E167" s="242"/>
      <c r="F167" s="242"/>
      <c r="G167" s="242"/>
      <c r="H167" s="240"/>
      <c r="I167" s="263"/>
      <c r="J167" s="263"/>
      <c r="K167" s="263"/>
      <c r="L167" s="242"/>
      <c r="M167" s="242"/>
      <c r="N167" s="240"/>
      <c r="O167" s="240"/>
      <c r="P167" s="240"/>
      <c r="Q167" s="263"/>
      <c r="R167" s="263"/>
      <c r="S167" s="263"/>
      <c r="T167" s="263"/>
      <c r="U167" s="263"/>
      <c r="V167" s="263"/>
      <c r="W167" s="263"/>
      <c r="X167" s="263"/>
      <c r="Y167" s="263"/>
      <c r="Z167" s="263"/>
      <c r="AA167" s="263"/>
      <c r="AB167" s="263"/>
      <c r="AC167" s="263"/>
      <c r="AD167" s="263"/>
      <c r="AE167" s="263"/>
      <c r="AF167" s="263"/>
      <c r="AG167" s="263"/>
      <c r="AH167" s="263"/>
      <c r="AI167" s="263"/>
      <c r="AJ167" s="263"/>
      <c r="AK167" s="263"/>
      <c r="AL167" s="263"/>
      <c r="AM167" s="242"/>
    </row>
    <row r="168" spans="1:39" ht="18" customHeight="1" x14ac:dyDescent="0.15">
      <c r="A168" s="240"/>
      <c r="B168" s="242"/>
      <c r="C168" s="240"/>
      <c r="D168" s="263"/>
      <c r="E168" s="242"/>
      <c r="F168" s="242"/>
      <c r="G168" s="242"/>
      <c r="L168" s="242"/>
      <c r="M168" s="240"/>
      <c r="N168" s="263"/>
      <c r="O168" s="263"/>
      <c r="P168" s="263"/>
      <c r="Q168" s="263"/>
      <c r="R168" s="263"/>
      <c r="S168" s="263"/>
      <c r="T168" s="263"/>
      <c r="U168" s="263"/>
      <c r="V168" s="263"/>
      <c r="W168" s="263"/>
      <c r="X168" s="263"/>
      <c r="Y168" s="263"/>
      <c r="Z168" s="263"/>
      <c r="AA168" s="263"/>
      <c r="AB168" s="263"/>
      <c r="AC168" s="263"/>
      <c r="AD168" s="263"/>
      <c r="AE168" s="263"/>
      <c r="AF168" s="263"/>
      <c r="AG168" s="263"/>
      <c r="AH168" s="263"/>
      <c r="AI168" s="263"/>
      <c r="AJ168" s="263"/>
      <c r="AK168" s="263"/>
      <c r="AL168" s="263"/>
      <c r="AM168" s="242"/>
    </row>
    <row r="169" spans="1:39" ht="18" customHeight="1" x14ac:dyDescent="0.15">
      <c r="A169" s="240"/>
      <c r="B169" s="242"/>
      <c r="C169" s="240"/>
      <c r="D169" s="263"/>
      <c r="E169" s="242"/>
      <c r="F169" s="242"/>
      <c r="G169" s="242"/>
      <c r="L169" s="242"/>
      <c r="M169" s="240"/>
      <c r="N169" s="263"/>
      <c r="O169" s="263"/>
      <c r="P169" s="263"/>
      <c r="Q169" s="263"/>
      <c r="R169" s="263"/>
      <c r="S169" s="263"/>
      <c r="T169" s="263"/>
      <c r="U169" s="263"/>
      <c r="V169" s="263"/>
      <c r="W169" s="263"/>
      <c r="X169" s="263"/>
      <c r="Y169" s="263"/>
      <c r="Z169" s="263"/>
      <c r="AA169" s="263"/>
      <c r="AB169" s="263"/>
      <c r="AC169" s="263"/>
      <c r="AD169" s="263"/>
      <c r="AE169" s="263"/>
      <c r="AF169" s="263"/>
      <c r="AG169" s="263"/>
      <c r="AH169" s="263"/>
      <c r="AI169" s="263"/>
      <c r="AJ169" s="263"/>
      <c r="AK169" s="263"/>
      <c r="AL169" s="263"/>
      <c r="AM169" s="242"/>
    </row>
    <row r="170" spans="1:39" ht="18" customHeight="1" x14ac:dyDescent="0.15">
      <c r="A170" s="240"/>
      <c r="B170" s="242"/>
      <c r="C170" s="240"/>
      <c r="D170" s="263"/>
      <c r="E170" s="242"/>
      <c r="F170" s="242"/>
      <c r="G170" s="242"/>
      <c r="L170" s="242"/>
      <c r="M170" s="240"/>
      <c r="N170" s="263"/>
      <c r="O170" s="263"/>
      <c r="P170" s="263"/>
      <c r="Q170" s="263"/>
      <c r="R170" s="263"/>
      <c r="S170" s="263"/>
      <c r="T170" s="263"/>
      <c r="U170" s="263"/>
      <c r="V170" s="263"/>
      <c r="W170" s="263"/>
      <c r="X170" s="263"/>
      <c r="Y170" s="263"/>
      <c r="Z170" s="263"/>
      <c r="AA170" s="263"/>
      <c r="AB170" s="263"/>
      <c r="AC170" s="263"/>
      <c r="AD170" s="263"/>
      <c r="AE170" s="263"/>
      <c r="AF170" s="263"/>
      <c r="AG170" s="263"/>
      <c r="AH170" s="263"/>
      <c r="AI170" s="263"/>
      <c r="AJ170" s="263"/>
      <c r="AK170" s="263"/>
      <c r="AL170" s="263"/>
      <c r="AM170" s="242"/>
    </row>
    <row r="171" spans="1:39" ht="18" customHeight="1" x14ac:dyDescent="0.15">
      <c r="A171" s="240"/>
      <c r="B171" s="242"/>
      <c r="C171" s="240"/>
      <c r="D171" s="263"/>
      <c r="E171" s="242"/>
      <c r="F171" s="242"/>
      <c r="G171" s="242"/>
      <c r="L171" s="242"/>
      <c r="M171" s="240"/>
      <c r="N171" s="263"/>
      <c r="O171" s="263"/>
      <c r="P171" s="263"/>
      <c r="Q171" s="263"/>
      <c r="R171" s="263"/>
      <c r="S171" s="263"/>
      <c r="T171" s="263"/>
      <c r="U171" s="263"/>
      <c r="V171" s="263"/>
      <c r="W171" s="263"/>
      <c r="X171" s="263"/>
      <c r="Y171" s="263"/>
      <c r="Z171" s="263"/>
      <c r="AA171" s="263"/>
      <c r="AB171" s="263"/>
      <c r="AC171" s="263"/>
      <c r="AD171" s="263"/>
      <c r="AE171" s="263"/>
      <c r="AF171" s="263"/>
      <c r="AG171" s="263"/>
      <c r="AH171" s="263"/>
      <c r="AI171" s="263"/>
      <c r="AJ171" s="263"/>
      <c r="AK171" s="263"/>
      <c r="AL171" s="263"/>
      <c r="AM171" s="242"/>
    </row>
    <row r="172" spans="1:39" ht="18" customHeight="1" x14ac:dyDescent="0.15">
      <c r="A172" s="240"/>
      <c r="B172" s="242"/>
      <c r="C172" s="240"/>
      <c r="D172" s="263"/>
      <c r="E172" s="242"/>
      <c r="F172" s="242"/>
      <c r="G172" s="242"/>
      <c r="L172" s="242"/>
      <c r="M172" s="240"/>
      <c r="N172" s="263"/>
      <c r="O172" s="263"/>
      <c r="P172" s="263"/>
      <c r="Q172" s="263"/>
      <c r="R172" s="263"/>
      <c r="S172" s="263"/>
      <c r="T172" s="263"/>
      <c r="U172" s="263"/>
      <c r="V172" s="263"/>
      <c r="W172" s="263"/>
      <c r="X172" s="263"/>
      <c r="Y172" s="263"/>
      <c r="Z172" s="263"/>
      <c r="AA172" s="263"/>
      <c r="AB172" s="263"/>
      <c r="AC172" s="263"/>
      <c r="AD172" s="263"/>
      <c r="AE172" s="263"/>
      <c r="AF172" s="263"/>
      <c r="AG172" s="263"/>
      <c r="AH172" s="263"/>
      <c r="AI172" s="263"/>
      <c r="AJ172" s="263"/>
      <c r="AK172" s="263"/>
      <c r="AL172" s="263"/>
      <c r="AM172" s="242"/>
    </row>
    <row r="173" spans="1:39" ht="18" customHeight="1" x14ac:dyDescent="0.15">
      <c r="A173" s="263"/>
      <c r="B173" s="242"/>
      <c r="C173" s="240"/>
      <c r="D173" s="263"/>
      <c r="E173" s="242"/>
      <c r="F173" s="242"/>
      <c r="G173" s="242"/>
      <c r="L173" s="242"/>
      <c r="M173" s="240"/>
      <c r="N173" s="263"/>
      <c r="O173" s="263"/>
      <c r="P173" s="263"/>
      <c r="Q173" s="263"/>
      <c r="R173" s="263"/>
      <c r="S173" s="263"/>
      <c r="T173" s="263"/>
      <c r="U173" s="263"/>
      <c r="V173" s="263"/>
      <c r="W173" s="263"/>
      <c r="X173" s="263"/>
      <c r="Y173" s="263"/>
      <c r="Z173" s="263"/>
      <c r="AA173" s="263"/>
      <c r="AB173" s="263"/>
      <c r="AC173" s="263"/>
      <c r="AD173" s="263"/>
      <c r="AE173" s="263"/>
      <c r="AF173" s="263"/>
      <c r="AG173" s="263"/>
      <c r="AH173" s="263"/>
      <c r="AI173" s="263"/>
      <c r="AJ173" s="263"/>
      <c r="AK173" s="263"/>
      <c r="AL173" s="263"/>
      <c r="AM173" s="242"/>
    </row>
    <row r="174" spans="1:39" ht="18" customHeight="1" x14ac:dyDescent="0.15">
      <c r="A174" s="240"/>
      <c r="B174" s="242"/>
      <c r="C174" s="240"/>
      <c r="D174" s="263"/>
      <c r="E174" s="242"/>
      <c r="F174" s="242"/>
      <c r="G174" s="242"/>
      <c r="L174" s="242"/>
      <c r="M174" s="240"/>
      <c r="N174" s="263"/>
      <c r="O174" s="263"/>
      <c r="P174" s="263"/>
      <c r="Q174" s="263"/>
      <c r="R174" s="263"/>
      <c r="S174" s="263"/>
      <c r="T174" s="263"/>
      <c r="U174" s="263"/>
      <c r="V174" s="263"/>
      <c r="W174" s="263"/>
      <c r="X174" s="263"/>
      <c r="Y174" s="263"/>
      <c r="Z174" s="263"/>
      <c r="AA174" s="263"/>
      <c r="AB174" s="263"/>
      <c r="AC174" s="263"/>
      <c r="AD174" s="263"/>
      <c r="AE174" s="263"/>
      <c r="AF174" s="263"/>
      <c r="AG174" s="263"/>
      <c r="AH174" s="263"/>
      <c r="AI174" s="263"/>
      <c r="AJ174" s="263"/>
      <c r="AK174" s="263"/>
      <c r="AL174" s="263"/>
      <c r="AM174" s="242"/>
    </row>
    <row r="175" spans="1:39" ht="18" customHeight="1" x14ac:dyDescent="0.15">
      <c r="A175" s="240"/>
      <c r="B175" s="242"/>
      <c r="C175" s="240"/>
      <c r="D175" s="263"/>
      <c r="E175" s="242"/>
      <c r="F175" s="242"/>
      <c r="G175" s="242"/>
      <c r="L175" s="242"/>
      <c r="M175" s="240"/>
      <c r="N175" s="263"/>
      <c r="O175" s="263"/>
      <c r="P175" s="263"/>
      <c r="Q175" s="263"/>
      <c r="R175" s="263"/>
      <c r="S175" s="263"/>
      <c r="T175" s="263"/>
      <c r="U175" s="263"/>
      <c r="V175" s="263"/>
      <c r="W175" s="263"/>
      <c r="X175" s="263"/>
      <c r="Y175" s="263"/>
      <c r="Z175" s="263"/>
      <c r="AA175" s="263"/>
      <c r="AB175" s="263"/>
      <c r="AC175" s="263"/>
      <c r="AD175" s="263"/>
      <c r="AE175" s="263"/>
      <c r="AF175" s="263"/>
      <c r="AG175" s="263"/>
      <c r="AH175" s="263"/>
      <c r="AI175" s="263"/>
      <c r="AJ175" s="263"/>
      <c r="AK175" s="263"/>
      <c r="AL175" s="263"/>
      <c r="AM175" s="242"/>
    </row>
    <row r="176" spans="1:39" ht="18" customHeight="1" x14ac:dyDescent="0.15">
      <c r="A176" s="240"/>
      <c r="B176" s="242"/>
      <c r="C176" s="240"/>
      <c r="D176" s="263"/>
      <c r="E176" s="242"/>
      <c r="F176" s="242"/>
      <c r="G176" s="242"/>
      <c r="L176" s="242"/>
      <c r="M176" s="240"/>
      <c r="N176" s="263"/>
      <c r="O176" s="263"/>
      <c r="P176" s="263"/>
      <c r="Q176" s="263"/>
      <c r="R176" s="263"/>
      <c r="S176" s="263"/>
      <c r="T176" s="263"/>
      <c r="U176" s="263"/>
      <c r="V176" s="263"/>
      <c r="W176" s="263"/>
      <c r="X176" s="263"/>
      <c r="Y176" s="263"/>
      <c r="Z176" s="263"/>
      <c r="AA176" s="263"/>
      <c r="AB176" s="263"/>
      <c r="AC176" s="263"/>
      <c r="AD176" s="263"/>
      <c r="AE176" s="263"/>
      <c r="AF176" s="263"/>
      <c r="AG176" s="263"/>
      <c r="AH176" s="263"/>
      <c r="AI176" s="263"/>
      <c r="AJ176" s="263"/>
      <c r="AK176" s="263"/>
      <c r="AL176" s="263"/>
      <c r="AM176" s="242"/>
    </row>
    <row r="177" spans="1:39" ht="18" customHeight="1" x14ac:dyDescent="0.15">
      <c r="A177" s="240"/>
      <c r="B177" s="242"/>
      <c r="C177" s="240"/>
      <c r="D177" s="263"/>
      <c r="E177" s="242"/>
      <c r="F177" s="242"/>
      <c r="G177" s="242"/>
      <c r="L177" s="242"/>
      <c r="M177" s="240"/>
      <c r="N177" s="263"/>
      <c r="O177" s="263"/>
      <c r="P177" s="263"/>
      <c r="Q177" s="263"/>
      <c r="R177" s="263"/>
      <c r="S177" s="263"/>
      <c r="T177" s="263"/>
      <c r="U177" s="263"/>
      <c r="V177" s="263"/>
      <c r="W177" s="263"/>
      <c r="X177" s="263"/>
      <c r="Y177" s="263"/>
      <c r="Z177" s="263"/>
      <c r="AA177" s="263"/>
      <c r="AB177" s="263"/>
      <c r="AC177" s="263"/>
      <c r="AD177" s="263"/>
      <c r="AE177" s="263"/>
      <c r="AF177" s="263"/>
      <c r="AG177" s="263"/>
      <c r="AH177" s="263"/>
      <c r="AI177" s="263"/>
      <c r="AJ177" s="263"/>
      <c r="AK177" s="263"/>
      <c r="AL177" s="263"/>
      <c r="AM177" s="242"/>
    </row>
    <row r="178" spans="1:39" ht="18" customHeight="1" x14ac:dyDescent="0.15">
      <c r="A178" s="240"/>
      <c r="B178" s="242"/>
      <c r="C178" s="240"/>
      <c r="D178" s="263"/>
      <c r="E178" s="242"/>
      <c r="F178" s="242"/>
      <c r="G178" s="242"/>
      <c r="L178" s="242"/>
      <c r="M178" s="240"/>
      <c r="N178" s="263"/>
      <c r="O178" s="263"/>
      <c r="P178" s="263"/>
      <c r="Q178" s="263"/>
      <c r="R178" s="263"/>
      <c r="S178" s="263"/>
      <c r="T178" s="263"/>
      <c r="U178" s="263"/>
      <c r="V178" s="263"/>
      <c r="W178" s="263"/>
      <c r="X178" s="263"/>
      <c r="Y178" s="263"/>
      <c r="Z178" s="263"/>
      <c r="AA178" s="263"/>
      <c r="AB178" s="263"/>
      <c r="AC178" s="263"/>
      <c r="AD178" s="263"/>
      <c r="AE178" s="263"/>
      <c r="AF178" s="263"/>
      <c r="AG178" s="263"/>
      <c r="AH178" s="263"/>
      <c r="AI178" s="263"/>
      <c r="AJ178" s="263"/>
      <c r="AK178" s="263"/>
      <c r="AL178" s="263"/>
      <c r="AM178" s="242"/>
    </row>
    <row r="179" spans="1:39" ht="18" customHeight="1" x14ac:dyDescent="0.15">
      <c r="A179" s="240"/>
      <c r="B179" s="242"/>
      <c r="C179" s="240"/>
      <c r="D179" s="263"/>
      <c r="E179" s="242"/>
      <c r="F179" s="242"/>
      <c r="G179" s="242"/>
      <c r="L179" s="242"/>
      <c r="M179" s="240"/>
      <c r="N179" s="263"/>
      <c r="O179" s="263"/>
      <c r="P179" s="263"/>
      <c r="Q179" s="263"/>
      <c r="R179" s="263"/>
      <c r="S179" s="263"/>
      <c r="T179" s="263"/>
      <c r="U179" s="263"/>
      <c r="V179" s="263"/>
      <c r="W179" s="263"/>
      <c r="X179" s="263"/>
      <c r="Y179" s="263"/>
      <c r="Z179" s="263"/>
      <c r="AA179" s="263"/>
      <c r="AB179" s="263"/>
      <c r="AC179" s="263"/>
      <c r="AD179" s="263"/>
      <c r="AE179" s="263"/>
      <c r="AF179" s="263"/>
      <c r="AG179" s="263"/>
      <c r="AH179" s="263"/>
      <c r="AI179" s="263"/>
      <c r="AJ179" s="263"/>
      <c r="AK179" s="263"/>
      <c r="AL179" s="263"/>
      <c r="AM179" s="242"/>
    </row>
    <row r="180" spans="1:39" ht="18" customHeight="1" x14ac:dyDescent="0.15">
      <c r="A180" s="240"/>
      <c r="B180" s="242"/>
      <c r="C180" s="240"/>
      <c r="D180" s="263"/>
      <c r="E180" s="242"/>
      <c r="F180" s="242"/>
      <c r="G180" s="242"/>
      <c r="L180" s="242"/>
      <c r="M180" s="240"/>
      <c r="N180" s="263"/>
      <c r="O180" s="263"/>
      <c r="P180" s="263"/>
      <c r="Q180" s="263"/>
      <c r="R180" s="263"/>
      <c r="S180" s="263"/>
      <c r="T180" s="263"/>
      <c r="U180" s="263"/>
      <c r="V180" s="263"/>
      <c r="W180" s="263"/>
      <c r="X180" s="263"/>
      <c r="Y180" s="263"/>
      <c r="Z180" s="263"/>
      <c r="AA180" s="263"/>
      <c r="AB180" s="263"/>
      <c r="AC180" s="263"/>
      <c r="AD180" s="263"/>
      <c r="AE180" s="263"/>
      <c r="AF180" s="263"/>
      <c r="AG180" s="263"/>
      <c r="AH180" s="263"/>
      <c r="AI180" s="263"/>
      <c r="AJ180" s="263"/>
      <c r="AK180" s="263"/>
      <c r="AL180" s="263"/>
      <c r="AM180" s="242"/>
    </row>
    <row r="181" spans="1:39" ht="18" customHeight="1" x14ac:dyDescent="0.15">
      <c r="A181" s="240"/>
      <c r="B181" s="242"/>
      <c r="C181" s="240"/>
      <c r="D181" s="263"/>
      <c r="E181" s="242"/>
      <c r="F181" s="242"/>
      <c r="G181" s="242"/>
      <c r="L181" s="242"/>
      <c r="M181" s="240"/>
      <c r="N181" s="263"/>
      <c r="O181" s="263"/>
      <c r="P181" s="263"/>
      <c r="Q181" s="263"/>
      <c r="R181" s="263"/>
      <c r="S181" s="263"/>
      <c r="T181" s="263"/>
      <c r="U181" s="263"/>
      <c r="V181" s="263"/>
      <c r="W181" s="263"/>
      <c r="X181" s="263"/>
      <c r="Y181" s="263"/>
      <c r="Z181" s="263"/>
      <c r="AA181" s="263"/>
      <c r="AB181" s="263"/>
      <c r="AC181" s="263"/>
      <c r="AD181" s="263"/>
      <c r="AE181" s="263"/>
      <c r="AF181" s="263"/>
      <c r="AG181" s="263"/>
      <c r="AH181" s="263"/>
      <c r="AI181" s="263"/>
      <c r="AJ181" s="263"/>
      <c r="AK181" s="263"/>
      <c r="AL181" s="263"/>
      <c r="AM181" s="242"/>
    </row>
    <row r="182" spans="1:39" ht="18" customHeight="1" x14ac:dyDescent="0.15">
      <c r="A182" s="240"/>
      <c r="B182" s="242"/>
      <c r="C182" s="240"/>
      <c r="D182" s="263"/>
      <c r="E182" s="242"/>
      <c r="F182" s="242"/>
      <c r="G182" s="242"/>
      <c r="L182" s="242"/>
      <c r="M182" s="240"/>
      <c r="N182" s="263"/>
      <c r="O182" s="263"/>
      <c r="P182" s="263"/>
      <c r="Q182" s="263"/>
      <c r="R182" s="263"/>
      <c r="S182" s="263"/>
      <c r="T182" s="263"/>
      <c r="U182" s="263"/>
      <c r="V182" s="263"/>
      <c r="W182" s="263"/>
      <c r="X182" s="263"/>
      <c r="Y182" s="263"/>
      <c r="Z182" s="263"/>
      <c r="AA182" s="263"/>
      <c r="AB182" s="263"/>
      <c r="AC182" s="263"/>
      <c r="AD182" s="263"/>
      <c r="AE182" s="263"/>
      <c r="AF182" s="263"/>
      <c r="AG182" s="263"/>
      <c r="AH182" s="263"/>
      <c r="AI182" s="263"/>
      <c r="AJ182" s="263"/>
      <c r="AK182" s="263"/>
      <c r="AL182" s="263"/>
      <c r="AM182" s="242"/>
    </row>
    <row r="183" spans="1:39" ht="18" customHeight="1" x14ac:dyDescent="0.15">
      <c r="A183" s="240"/>
      <c r="B183" s="242"/>
      <c r="C183" s="240"/>
      <c r="D183" s="263"/>
      <c r="E183" s="242"/>
      <c r="F183" s="242"/>
      <c r="G183" s="242"/>
      <c r="L183" s="242"/>
      <c r="M183" s="240"/>
      <c r="N183" s="263"/>
      <c r="O183" s="263"/>
      <c r="P183" s="263"/>
      <c r="Q183" s="263"/>
      <c r="R183" s="263"/>
      <c r="S183" s="263"/>
      <c r="T183" s="263"/>
      <c r="U183" s="263"/>
      <c r="V183" s="263"/>
      <c r="W183" s="263"/>
      <c r="X183" s="263"/>
      <c r="Y183" s="263"/>
      <c r="Z183" s="263"/>
      <c r="AA183" s="263"/>
      <c r="AB183" s="263"/>
      <c r="AC183" s="263"/>
      <c r="AD183" s="263"/>
      <c r="AE183" s="263"/>
      <c r="AF183" s="263"/>
      <c r="AG183" s="263"/>
      <c r="AH183" s="263"/>
      <c r="AI183" s="263"/>
      <c r="AJ183" s="263"/>
      <c r="AK183" s="263"/>
      <c r="AL183" s="263"/>
      <c r="AM183" s="242"/>
    </row>
    <row r="184" spans="1:39" ht="18" customHeight="1" x14ac:dyDescent="0.15">
      <c r="A184" s="240"/>
      <c r="B184" s="242"/>
      <c r="C184" s="240"/>
      <c r="D184" s="263"/>
      <c r="E184" s="242"/>
      <c r="F184" s="242"/>
      <c r="G184" s="242"/>
      <c r="L184" s="242"/>
      <c r="M184" s="240"/>
      <c r="N184" s="263"/>
      <c r="O184" s="263"/>
      <c r="P184" s="263"/>
      <c r="Q184" s="263"/>
      <c r="R184" s="263"/>
      <c r="S184" s="263"/>
      <c r="T184" s="263"/>
      <c r="U184" s="263"/>
      <c r="V184" s="263"/>
      <c r="W184" s="263"/>
      <c r="X184" s="263"/>
      <c r="Y184" s="263"/>
      <c r="Z184" s="263"/>
      <c r="AA184" s="263"/>
      <c r="AB184" s="263"/>
      <c r="AC184" s="263"/>
      <c r="AD184" s="263"/>
      <c r="AE184" s="263"/>
      <c r="AF184" s="263"/>
      <c r="AG184" s="263"/>
      <c r="AH184" s="263"/>
      <c r="AI184" s="263"/>
      <c r="AJ184" s="263"/>
      <c r="AK184" s="263"/>
      <c r="AL184" s="263"/>
      <c r="AM184" s="242"/>
    </row>
    <row r="185" spans="1:39" ht="18" customHeight="1" x14ac:dyDescent="0.15">
      <c r="A185" s="240"/>
      <c r="B185" s="242"/>
      <c r="C185" s="240"/>
      <c r="D185" s="263"/>
      <c r="E185" s="242"/>
      <c r="F185" s="242"/>
      <c r="G185" s="242"/>
      <c r="L185" s="242"/>
      <c r="M185" s="240"/>
      <c r="N185" s="263"/>
      <c r="O185" s="263"/>
      <c r="P185" s="263"/>
      <c r="Q185" s="263"/>
      <c r="R185" s="263"/>
      <c r="S185" s="263"/>
      <c r="T185" s="263"/>
      <c r="U185" s="263"/>
      <c r="V185" s="263"/>
      <c r="W185" s="263"/>
      <c r="X185" s="263"/>
      <c r="Y185" s="263"/>
      <c r="Z185" s="263"/>
      <c r="AA185" s="263"/>
      <c r="AB185" s="263"/>
      <c r="AC185" s="263"/>
      <c r="AD185" s="263"/>
      <c r="AE185" s="263"/>
      <c r="AF185" s="263"/>
      <c r="AG185" s="263"/>
      <c r="AH185" s="263"/>
      <c r="AI185" s="263"/>
      <c r="AJ185" s="263"/>
      <c r="AK185" s="263"/>
      <c r="AL185" s="263"/>
      <c r="AM185" s="242"/>
    </row>
    <row r="186" spans="1:39" ht="18" customHeight="1" x14ac:dyDescent="0.15">
      <c r="A186" s="240"/>
      <c r="B186" s="242"/>
      <c r="C186" s="240"/>
      <c r="D186" s="263"/>
      <c r="E186" s="242"/>
      <c r="F186" s="242"/>
      <c r="G186" s="242"/>
      <c r="L186" s="242"/>
      <c r="M186" s="240"/>
      <c r="N186" s="263"/>
      <c r="O186" s="263"/>
      <c r="P186" s="263"/>
      <c r="Q186" s="263"/>
      <c r="R186" s="263"/>
      <c r="S186" s="263"/>
      <c r="T186" s="263"/>
      <c r="U186" s="263"/>
      <c r="V186" s="263"/>
      <c r="W186" s="263"/>
      <c r="X186" s="263"/>
      <c r="Y186" s="263"/>
      <c r="Z186" s="263"/>
      <c r="AA186" s="263"/>
      <c r="AB186" s="263"/>
      <c r="AC186" s="263"/>
      <c r="AD186" s="263"/>
      <c r="AE186" s="263"/>
      <c r="AF186" s="263"/>
      <c r="AG186" s="263"/>
      <c r="AH186" s="263"/>
      <c r="AI186" s="263"/>
      <c r="AJ186" s="263"/>
      <c r="AK186" s="263"/>
      <c r="AL186" s="263"/>
      <c r="AM186" s="242"/>
    </row>
    <row r="187" spans="1:39" ht="18" customHeight="1" x14ac:dyDescent="0.15">
      <c r="A187" s="240"/>
      <c r="B187" s="242"/>
      <c r="C187" s="240"/>
      <c r="D187" s="263"/>
      <c r="E187" s="242"/>
      <c r="F187" s="242"/>
      <c r="G187" s="242"/>
      <c r="L187" s="242"/>
      <c r="M187" s="240"/>
      <c r="N187" s="263"/>
      <c r="O187" s="263"/>
      <c r="P187" s="263"/>
      <c r="Q187" s="263"/>
      <c r="R187" s="263"/>
      <c r="S187" s="263"/>
      <c r="T187" s="263"/>
      <c r="U187" s="263"/>
      <c r="V187" s="263"/>
      <c r="W187" s="263"/>
      <c r="X187" s="263"/>
      <c r="Y187" s="263"/>
      <c r="Z187" s="263"/>
      <c r="AA187" s="263"/>
      <c r="AB187" s="263"/>
      <c r="AC187" s="263"/>
      <c r="AD187" s="263"/>
      <c r="AE187" s="263"/>
      <c r="AF187" s="263"/>
      <c r="AG187" s="263"/>
      <c r="AH187" s="263"/>
      <c r="AI187" s="263"/>
      <c r="AJ187" s="263"/>
      <c r="AK187" s="263"/>
      <c r="AL187" s="263"/>
      <c r="AM187" s="242"/>
    </row>
    <row r="188" spans="1:39" ht="18" customHeight="1" x14ac:dyDescent="0.15">
      <c r="A188" s="240"/>
      <c r="B188" s="242"/>
      <c r="C188" s="240"/>
      <c r="D188" s="263"/>
      <c r="E188" s="242"/>
      <c r="F188" s="242"/>
      <c r="G188" s="242"/>
      <c r="L188" s="242"/>
      <c r="M188" s="240"/>
      <c r="N188" s="263"/>
      <c r="O188" s="263"/>
      <c r="P188" s="263"/>
      <c r="Q188" s="263"/>
      <c r="R188" s="263"/>
      <c r="S188" s="263"/>
      <c r="T188" s="263"/>
      <c r="U188" s="263"/>
      <c r="V188" s="263"/>
      <c r="W188" s="263"/>
      <c r="X188" s="263"/>
      <c r="Y188" s="263"/>
      <c r="Z188" s="263"/>
      <c r="AA188" s="263"/>
      <c r="AB188" s="263"/>
      <c r="AC188" s="263"/>
      <c r="AD188" s="263"/>
      <c r="AE188" s="263"/>
      <c r="AF188" s="263"/>
      <c r="AG188" s="263"/>
      <c r="AH188" s="263"/>
      <c r="AI188" s="263"/>
      <c r="AJ188" s="263"/>
      <c r="AK188" s="263"/>
      <c r="AL188" s="263"/>
      <c r="AM188" s="242"/>
    </row>
    <row r="189" spans="1:39" ht="18" customHeight="1" x14ac:dyDescent="0.15">
      <c r="A189" s="240"/>
      <c r="B189" s="242"/>
      <c r="C189" s="240"/>
      <c r="D189" s="263"/>
      <c r="E189" s="242"/>
      <c r="F189" s="242"/>
      <c r="G189" s="242"/>
      <c r="L189" s="242"/>
      <c r="M189" s="240"/>
      <c r="N189" s="263"/>
      <c r="O189" s="263"/>
      <c r="P189" s="263"/>
      <c r="Q189" s="263"/>
      <c r="R189" s="263"/>
      <c r="S189" s="263"/>
      <c r="T189" s="263"/>
      <c r="U189" s="263"/>
      <c r="V189" s="263"/>
      <c r="W189" s="263"/>
      <c r="X189" s="263"/>
      <c r="Y189" s="263"/>
      <c r="Z189" s="263"/>
      <c r="AA189" s="263"/>
      <c r="AB189" s="263"/>
      <c r="AC189" s="263"/>
      <c r="AD189" s="263"/>
      <c r="AE189" s="263"/>
      <c r="AF189" s="263"/>
      <c r="AG189" s="263"/>
      <c r="AH189" s="263"/>
      <c r="AI189" s="263"/>
      <c r="AJ189" s="263"/>
      <c r="AK189" s="263"/>
      <c r="AL189" s="263"/>
      <c r="AM189" s="242"/>
    </row>
    <row r="190" spans="1:39" ht="18" customHeight="1" x14ac:dyDescent="0.15">
      <c r="A190" s="240"/>
      <c r="B190" s="242"/>
      <c r="C190" s="240"/>
      <c r="D190" s="263"/>
      <c r="E190" s="242"/>
      <c r="F190" s="242"/>
      <c r="G190" s="242"/>
      <c r="L190" s="242"/>
      <c r="M190" s="240"/>
      <c r="N190" s="263"/>
      <c r="O190" s="263"/>
      <c r="P190" s="263"/>
      <c r="Q190" s="263"/>
      <c r="R190" s="263"/>
      <c r="S190" s="263"/>
      <c r="T190" s="263"/>
      <c r="U190" s="263"/>
      <c r="V190" s="263"/>
      <c r="W190" s="263"/>
      <c r="X190" s="263"/>
      <c r="Y190" s="263"/>
      <c r="Z190" s="263"/>
      <c r="AA190" s="263"/>
      <c r="AB190" s="263"/>
      <c r="AC190" s="263"/>
      <c r="AD190" s="263"/>
      <c r="AE190" s="263"/>
      <c r="AF190" s="263"/>
      <c r="AG190" s="263"/>
      <c r="AH190" s="263"/>
      <c r="AI190" s="263"/>
      <c r="AJ190" s="263"/>
      <c r="AK190" s="263"/>
      <c r="AL190" s="263"/>
      <c r="AM190" s="242"/>
    </row>
    <row r="191" spans="1:39" ht="18" customHeight="1" x14ac:dyDescent="0.15">
      <c r="A191" s="240"/>
      <c r="B191" s="242"/>
      <c r="C191" s="240"/>
      <c r="D191" s="263"/>
      <c r="E191" s="242"/>
      <c r="F191" s="242"/>
      <c r="G191" s="242"/>
      <c r="L191" s="242"/>
      <c r="M191" s="240"/>
      <c r="N191" s="263"/>
      <c r="O191" s="263"/>
      <c r="P191" s="263"/>
      <c r="Q191" s="263"/>
      <c r="R191" s="263"/>
      <c r="S191" s="263"/>
      <c r="T191" s="263"/>
      <c r="U191" s="263"/>
      <c r="V191" s="263"/>
      <c r="W191" s="263"/>
      <c r="X191" s="263"/>
      <c r="Y191" s="263"/>
      <c r="Z191" s="263"/>
      <c r="AA191" s="263"/>
      <c r="AB191" s="263"/>
      <c r="AC191" s="263"/>
      <c r="AD191" s="263"/>
      <c r="AE191" s="263"/>
      <c r="AF191" s="263"/>
      <c r="AG191" s="263"/>
      <c r="AH191" s="263"/>
      <c r="AI191" s="263"/>
      <c r="AJ191" s="263"/>
      <c r="AK191" s="263"/>
      <c r="AL191" s="263"/>
      <c r="AM191" s="242"/>
    </row>
    <row r="192" spans="1:39" ht="18" customHeight="1" x14ac:dyDescent="0.15">
      <c r="A192" s="240"/>
      <c r="B192" s="242"/>
      <c r="C192" s="240"/>
      <c r="D192" s="263"/>
      <c r="E192" s="242"/>
      <c r="F192" s="242"/>
      <c r="G192" s="242"/>
      <c r="L192" s="242"/>
      <c r="M192" s="240"/>
      <c r="N192" s="263"/>
      <c r="O192" s="263"/>
      <c r="P192" s="263"/>
      <c r="Q192" s="263"/>
      <c r="R192" s="263"/>
      <c r="S192" s="263"/>
      <c r="T192" s="263"/>
      <c r="U192" s="263"/>
      <c r="V192" s="263"/>
      <c r="W192" s="263"/>
      <c r="X192" s="263"/>
      <c r="Y192" s="263"/>
      <c r="Z192" s="263"/>
      <c r="AA192" s="263"/>
      <c r="AB192" s="263"/>
      <c r="AC192" s="263"/>
      <c r="AD192" s="263"/>
      <c r="AE192" s="263"/>
      <c r="AF192" s="263"/>
      <c r="AG192" s="263"/>
      <c r="AH192" s="263"/>
      <c r="AI192" s="263"/>
      <c r="AJ192" s="263"/>
      <c r="AK192" s="263"/>
      <c r="AL192" s="263"/>
      <c r="AM192" s="242"/>
    </row>
    <row r="193" spans="1:39" ht="18" customHeight="1" x14ac:dyDescent="0.15">
      <c r="A193" s="240"/>
      <c r="B193" s="242"/>
      <c r="C193" s="240"/>
      <c r="D193" s="263"/>
      <c r="E193" s="242"/>
      <c r="F193" s="242"/>
      <c r="G193" s="242"/>
      <c r="L193" s="242"/>
      <c r="M193" s="240"/>
      <c r="N193" s="263"/>
      <c r="O193" s="263"/>
      <c r="P193" s="263"/>
      <c r="Q193" s="263"/>
      <c r="R193" s="263"/>
      <c r="S193" s="263"/>
      <c r="T193" s="263"/>
      <c r="U193" s="263"/>
      <c r="V193" s="263"/>
      <c r="W193" s="263"/>
      <c r="X193" s="263"/>
      <c r="Y193" s="263"/>
      <c r="Z193" s="263"/>
      <c r="AA193" s="263"/>
      <c r="AB193" s="263"/>
      <c r="AC193" s="263"/>
      <c r="AD193" s="263"/>
      <c r="AE193" s="263"/>
      <c r="AF193" s="263"/>
      <c r="AG193" s="263"/>
      <c r="AH193" s="263"/>
      <c r="AI193" s="263"/>
      <c r="AJ193" s="263"/>
      <c r="AK193" s="263"/>
      <c r="AL193" s="263"/>
      <c r="AM193" s="242"/>
    </row>
    <row r="194" spans="1:39" ht="18" customHeight="1" x14ac:dyDescent="0.15">
      <c r="A194" s="240"/>
      <c r="B194" s="242"/>
      <c r="C194" s="240"/>
      <c r="D194" s="263"/>
      <c r="E194" s="242"/>
      <c r="F194" s="242"/>
      <c r="G194" s="242"/>
      <c r="L194" s="242"/>
      <c r="M194" s="240"/>
      <c r="N194" s="263"/>
      <c r="O194" s="263"/>
      <c r="P194" s="263"/>
      <c r="Q194" s="263"/>
      <c r="R194" s="263"/>
      <c r="S194" s="263"/>
      <c r="T194" s="263"/>
      <c r="U194" s="263"/>
      <c r="V194" s="263"/>
      <c r="W194" s="263"/>
      <c r="X194" s="263"/>
      <c r="Y194" s="263"/>
      <c r="Z194" s="263"/>
      <c r="AA194" s="263"/>
      <c r="AB194" s="263"/>
      <c r="AC194" s="263"/>
      <c r="AD194" s="263"/>
      <c r="AE194" s="263"/>
      <c r="AF194" s="263"/>
      <c r="AG194" s="263"/>
      <c r="AH194" s="263"/>
      <c r="AI194" s="263"/>
      <c r="AJ194" s="263"/>
      <c r="AK194" s="263"/>
      <c r="AL194" s="263"/>
      <c r="AM194" s="242"/>
    </row>
    <row r="195" spans="1:39" ht="18" customHeight="1" x14ac:dyDescent="0.15">
      <c r="A195" s="240"/>
      <c r="B195" s="242"/>
      <c r="C195" s="240"/>
      <c r="D195" s="263"/>
      <c r="E195" s="242"/>
      <c r="F195" s="242"/>
      <c r="G195" s="242"/>
      <c r="L195" s="242"/>
      <c r="M195" s="240"/>
      <c r="N195" s="263"/>
      <c r="O195" s="263"/>
      <c r="P195" s="263"/>
      <c r="Q195" s="263"/>
      <c r="R195" s="263"/>
      <c r="S195" s="263"/>
      <c r="T195" s="263"/>
      <c r="U195" s="263"/>
      <c r="V195" s="263"/>
      <c r="W195" s="263"/>
      <c r="X195" s="263"/>
      <c r="Y195" s="263"/>
      <c r="Z195" s="263"/>
      <c r="AA195" s="263"/>
      <c r="AB195" s="263"/>
      <c r="AC195" s="263"/>
      <c r="AD195" s="263"/>
      <c r="AE195" s="263"/>
      <c r="AF195" s="263"/>
      <c r="AG195" s="263"/>
      <c r="AH195" s="263"/>
      <c r="AI195" s="263"/>
      <c r="AJ195" s="263"/>
      <c r="AK195" s="263"/>
      <c r="AL195" s="263"/>
      <c r="AM195" s="242"/>
    </row>
    <row r="196" spans="1:39" ht="18" customHeight="1" x14ac:dyDescent="0.15">
      <c r="A196" s="240"/>
      <c r="B196" s="242"/>
      <c r="C196" s="240"/>
      <c r="D196" s="263"/>
      <c r="E196" s="242"/>
      <c r="F196" s="242"/>
      <c r="G196" s="242"/>
      <c r="L196" s="242"/>
      <c r="M196" s="240"/>
      <c r="N196" s="263"/>
      <c r="O196" s="263"/>
      <c r="P196" s="263"/>
      <c r="Q196" s="263"/>
      <c r="R196" s="263"/>
      <c r="S196" s="263"/>
      <c r="T196" s="263"/>
      <c r="U196" s="263"/>
      <c r="V196" s="263"/>
      <c r="W196" s="263"/>
      <c r="X196" s="263"/>
      <c r="Y196" s="263"/>
      <c r="Z196" s="263"/>
      <c r="AA196" s="263"/>
      <c r="AB196" s="263"/>
      <c r="AC196" s="263"/>
      <c r="AD196" s="263"/>
      <c r="AE196" s="263"/>
      <c r="AF196" s="263"/>
      <c r="AG196" s="263"/>
      <c r="AH196" s="263"/>
      <c r="AI196" s="263"/>
      <c r="AJ196" s="263"/>
      <c r="AK196" s="263"/>
      <c r="AL196" s="263"/>
      <c r="AM196" s="242"/>
    </row>
    <row r="197" spans="1:39" ht="18" customHeight="1" x14ac:dyDescent="0.15">
      <c r="A197" s="240"/>
      <c r="B197" s="242"/>
      <c r="C197" s="240"/>
      <c r="D197" s="263"/>
      <c r="E197" s="242"/>
      <c r="F197" s="242"/>
      <c r="G197" s="242"/>
      <c r="L197" s="242"/>
      <c r="M197" s="240"/>
      <c r="N197" s="263"/>
      <c r="O197" s="263"/>
      <c r="P197" s="263"/>
      <c r="Q197" s="263"/>
      <c r="R197" s="263"/>
      <c r="S197" s="263"/>
      <c r="T197" s="263"/>
      <c r="U197" s="263"/>
      <c r="V197" s="263"/>
      <c r="W197" s="263"/>
      <c r="X197" s="263"/>
      <c r="Y197" s="263"/>
      <c r="Z197" s="263"/>
      <c r="AA197" s="263"/>
      <c r="AB197" s="263"/>
      <c r="AC197" s="263"/>
      <c r="AD197" s="263"/>
      <c r="AE197" s="263"/>
      <c r="AF197" s="263"/>
      <c r="AG197" s="263"/>
      <c r="AH197" s="263"/>
      <c r="AI197" s="263"/>
      <c r="AJ197" s="263"/>
      <c r="AK197" s="263"/>
      <c r="AL197" s="263"/>
      <c r="AM197" s="242"/>
    </row>
    <row r="198" spans="1:39" ht="18" customHeight="1" x14ac:dyDescent="0.15">
      <c r="A198" s="240"/>
      <c r="B198" s="242"/>
      <c r="C198" s="240"/>
      <c r="D198" s="263"/>
      <c r="E198" s="242"/>
      <c r="F198" s="242"/>
      <c r="G198" s="242"/>
      <c r="L198" s="242"/>
      <c r="M198" s="240"/>
      <c r="N198" s="263"/>
      <c r="O198" s="263"/>
      <c r="P198" s="263"/>
      <c r="Q198" s="263"/>
      <c r="R198" s="263"/>
      <c r="S198" s="263"/>
      <c r="T198" s="263"/>
      <c r="U198" s="263"/>
      <c r="V198" s="263"/>
      <c r="W198" s="263"/>
      <c r="X198" s="263"/>
      <c r="Y198" s="263"/>
      <c r="Z198" s="263"/>
      <c r="AA198" s="263"/>
      <c r="AB198" s="263"/>
      <c r="AC198" s="263"/>
      <c r="AD198" s="263"/>
      <c r="AE198" s="263"/>
      <c r="AF198" s="263"/>
      <c r="AG198" s="263"/>
      <c r="AH198" s="263"/>
      <c r="AI198" s="263"/>
      <c r="AJ198" s="263"/>
      <c r="AK198" s="263"/>
      <c r="AL198" s="263"/>
      <c r="AM198" s="242"/>
    </row>
    <row r="199" spans="1:39" ht="18" customHeight="1" x14ac:dyDescent="0.15">
      <c r="A199" s="240"/>
      <c r="B199" s="242"/>
      <c r="C199" s="240"/>
      <c r="D199" s="263"/>
      <c r="E199" s="242"/>
      <c r="F199" s="242"/>
      <c r="G199" s="242"/>
      <c r="L199" s="242"/>
      <c r="M199" s="240"/>
      <c r="N199" s="263"/>
      <c r="O199" s="263"/>
      <c r="P199" s="263"/>
      <c r="Q199" s="263"/>
      <c r="R199" s="263"/>
      <c r="S199" s="263"/>
      <c r="T199" s="263"/>
      <c r="U199" s="263"/>
      <c r="V199" s="263"/>
      <c r="W199" s="263"/>
      <c r="X199" s="263"/>
      <c r="Y199" s="263"/>
      <c r="Z199" s="263"/>
      <c r="AA199" s="263"/>
      <c r="AB199" s="263"/>
      <c r="AC199" s="263"/>
      <c r="AD199" s="263"/>
      <c r="AE199" s="263"/>
      <c r="AF199" s="263"/>
      <c r="AG199" s="263"/>
      <c r="AH199" s="263"/>
      <c r="AI199" s="263"/>
      <c r="AJ199" s="263"/>
      <c r="AK199" s="263"/>
      <c r="AL199" s="263"/>
      <c r="AM199" s="242"/>
    </row>
    <row r="200" spans="1:39" ht="18" customHeight="1" x14ac:dyDescent="0.15">
      <c r="A200" s="240"/>
      <c r="B200" s="242"/>
      <c r="C200" s="240"/>
      <c r="D200" s="263"/>
      <c r="E200" s="242"/>
      <c r="F200" s="242"/>
      <c r="G200" s="242"/>
      <c r="L200" s="242"/>
      <c r="M200" s="240"/>
      <c r="N200" s="263"/>
      <c r="O200" s="263"/>
      <c r="P200" s="263"/>
      <c r="Q200" s="263"/>
      <c r="R200" s="263"/>
      <c r="S200" s="263"/>
      <c r="T200" s="263"/>
      <c r="U200" s="263"/>
      <c r="V200" s="263"/>
      <c r="W200" s="263"/>
      <c r="X200" s="263"/>
      <c r="Y200" s="263"/>
      <c r="Z200" s="263"/>
      <c r="AA200" s="263"/>
      <c r="AB200" s="263"/>
      <c r="AC200" s="263"/>
      <c r="AD200" s="263"/>
      <c r="AE200" s="263"/>
      <c r="AF200" s="263"/>
      <c r="AG200" s="263"/>
      <c r="AH200" s="263"/>
      <c r="AI200" s="263"/>
      <c r="AJ200" s="263"/>
      <c r="AK200" s="263"/>
      <c r="AL200" s="263"/>
      <c r="AM200" s="242"/>
    </row>
    <row r="201" spans="1:39" ht="18" customHeight="1" x14ac:dyDescent="0.15">
      <c r="A201" s="240"/>
      <c r="B201" s="242"/>
      <c r="C201" s="240"/>
      <c r="D201" s="263"/>
      <c r="E201" s="242"/>
      <c r="F201" s="242"/>
      <c r="G201" s="242"/>
      <c r="L201" s="242"/>
      <c r="M201" s="240"/>
      <c r="N201" s="263"/>
      <c r="O201" s="263"/>
      <c r="P201" s="263"/>
      <c r="Q201" s="263"/>
      <c r="R201" s="263"/>
      <c r="S201" s="263"/>
      <c r="T201" s="263"/>
      <c r="U201" s="263"/>
      <c r="V201" s="263"/>
      <c r="W201" s="263"/>
      <c r="X201" s="263"/>
      <c r="Y201" s="263"/>
      <c r="Z201" s="263"/>
      <c r="AA201" s="263"/>
      <c r="AB201" s="263"/>
      <c r="AC201" s="263"/>
      <c r="AD201" s="263"/>
      <c r="AE201" s="263"/>
      <c r="AF201" s="263"/>
      <c r="AG201" s="263"/>
      <c r="AH201" s="263"/>
      <c r="AI201" s="263"/>
      <c r="AJ201" s="263"/>
      <c r="AK201" s="263"/>
      <c r="AL201" s="263"/>
      <c r="AM201" s="242"/>
    </row>
    <row r="202" spans="1:39" ht="18" customHeight="1" x14ac:dyDescent="0.15">
      <c r="A202" s="240"/>
      <c r="B202" s="242"/>
      <c r="C202" s="240"/>
      <c r="D202" s="263"/>
      <c r="E202" s="242"/>
      <c r="F202" s="242"/>
      <c r="G202" s="242"/>
      <c r="L202" s="242"/>
      <c r="M202" s="240"/>
      <c r="N202" s="263"/>
      <c r="O202" s="263"/>
      <c r="P202" s="263"/>
      <c r="Q202" s="263"/>
      <c r="R202" s="263"/>
      <c r="S202" s="263"/>
      <c r="T202" s="263"/>
      <c r="U202" s="263"/>
      <c r="V202" s="263"/>
      <c r="W202" s="263"/>
      <c r="X202" s="263"/>
      <c r="Y202" s="263"/>
      <c r="Z202" s="263"/>
      <c r="AA202" s="263"/>
      <c r="AB202" s="263"/>
      <c r="AC202" s="263"/>
      <c r="AD202" s="263"/>
      <c r="AE202" s="263"/>
      <c r="AF202" s="263"/>
      <c r="AG202" s="263"/>
      <c r="AH202" s="263"/>
      <c r="AI202" s="263"/>
      <c r="AJ202" s="263"/>
      <c r="AK202" s="263"/>
      <c r="AL202" s="263"/>
      <c r="AM202" s="242"/>
    </row>
    <row r="203" spans="1:39" ht="18" customHeight="1" x14ac:dyDescent="0.15">
      <c r="A203" s="240"/>
      <c r="B203" s="242"/>
      <c r="C203" s="240"/>
      <c r="D203" s="263"/>
      <c r="E203" s="242"/>
      <c r="F203" s="242"/>
      <c r="G203" s="242"/>
      <c r="L203" s="242"/>
      <c r="M203" s="240"/>
      <c r="N203" s="263"/>
      <c r="O203" s="263"/>
      <c r="P203" s="263"/>
      <c r="Q203" s="263"/>
      <c r="R203" s="263"/>
      <c r="S203" s="263"/>
      <c r="T203" s="263"/>
      <c r="U203" s="263"/>
      <c r="V203" s="263"/>
      <c r="W203" s="263"/>
      <c r="X203" s="263"/>
      <c r="Y203" s="263"/>
      <c r="Z203" s="263"/>
      <c r="AA203" s="263"/>
      <c r="AB203" s="263"/>
      <c r="AC203" s="263"/>
      <c r="AD203" s="263"/>
      <c r="AE203" s="263"/>
      <c r="AF203" s="263"/>
      <c r="AG203" s="263"/>
      <c r="AH203" s="263"/>
      <c r="AI203" s="263"/>
      <c r="AJ203" s="263"/>
      <c r="AK203" s="263"/>
      <c r="AL203" s="263"/>
      <c r="AM203" s="242"/>
    </row>
    <row r="204" spans="1:39" ht="18" customHeight="1" x14ac:dyDescent="0.15">
      <c r="A204" s="240"/>
      <c r="B204" s="242"/>
      <c r="C204" s="240"/>
      <c r="D204" s="263"/>
      <c r="E204" s="242"/>
      <c r="F204" s="242"/>
      <c r="G204" s="242"/>
      <c r="L204" s="242"/>
      <c r="M204" s="240"/>
      <c r="N204" s="263"/>
      <c r="O204" s="263"/>
      <c r="P204" s="263"/>
      <c r="Q204" s="263"/>
      <c r="R204" s="263"/>
      <c r="S204" s="263"/>
      <c r="T204" s="263"/>
      <c r="U204" s="263"/>
      <c r="V204" s="263"/>
      <c r="W204" s="263"/>
      <c r="X204" s="263"/>
      <c r="Y204" s="263"/>
      <c r="Z204" s="263"/>
      <c r="AA204" s="263"/>
      <c r="AB204" s="263"/>
      <c r="AC204" s="263"/>
      <c r="AD204" s="263"/>
      <c r="AE204" s="263"/>
      <c r="AF204" s="263"/>
      <c r="AG204" s="263"/>
      <c r="AH204" s="263"/>
      <c r="AI204" s="263"/>
      <c r="AJ204" s="263"/>
      <c r="AK204" s="263"/>
      <c r="AL204" s="263"/>
      <c r="AM204" s="242"/>
    </row>
    <row r="205" spans="1:39" ht="18" customHeight="1" x14ac:dyDescent="0.15">
      <c r="A205" s="240"/>
      <c r="B205" s="242"/>
      <c r="C205" s="240"/>
      <c r="D205" s="263"/>
      <c r="E205" s="242"/>
      <c r="F205" s="242"/>
      <c r="G205" s="242"/>
      <c r="L205" s="242"/>
      <c r="M205" s="240"/>
      <c r="N205" s="263"/>
      <c r="O205" s="263"/>
      <c r="P205" s="263"/>
      <c r="Q205" s="263"/>
      <c r="R205" s="263"/>
      <c r="S205" s="263"/>
      <c r="T205" s="263"/>
      <c r="U205" s="263"/>
      <c r="V205" s="263"/>
      <c r="W205" s="263"/>
      <c r="X205" s="263"/>
      <c r="Y205" s="263"/>
      <c r="Z205" s="263"/>
      <c r="AA205" s="263"/>
      <c r="AB205" s="263"/>
      <c r="AC205" s="263"/>
      <c r="AD205" s="263"/>
      <c r="AE205" s="263"/>
      <c r="AF205" s="263"/>
      <c r="AG205" s="263"/>
      <c r="AH205" s="263"/>
      <c r="AI205" s="263"/>
      <c r="AJ205" s="263"/>
      <c r="AK205" s="263"/>
      <c r="AL205" s="263"/>
      <c r="AM205" s="242"/>
    </row>
    <row r="206" spans="1:39" ht="18" customHeight="1" x14ac:dyDescent="0.15">
      <c r="A206" s="240"/>
      <c r="B206" s="242"/>
      <c r="C206" s="240"/>
      <c r="D206" s="263"/>
      <c r="E206" s="242"/>
      <c r="F206" s="242"/>
      <c r="G206" s="242"/>
      <c r="L206" s="242"/>
      <c r="M206" s="240"/>
      <c r="N206" s="263"/>
      <c r="O206" s="263"/>
      <c r="P206" s="263"/>
      <c r="Q206" s="263"/>
      <c r="R206" s="263"/>
      <c r="S206" s="263"/>
      <c r="T206" s="263"/>
      <c r="U206" s="263"/>
      <c r="V206" s="263"/>
      <c r="W206" s="263"/>
      <c r="X206" s="263"/>
      <c r="Y206" s="263"/>
      <c r="Z206" s="263"/>
      <c r="AA206" s="263"/>
      <c r="AB206" s="263"/>
      <c r="AC206" s="263"/>
      <c r="AD206" s="263"/>
      <c r="AE206" s="263"/>
      <c r="AF206" s="263"/>
      <c r="AG206" s="263"/>
      <c r="AH206" s="263"/>
      <c r="AI206" s="263"/>
      <c r="AJ206" s="263"/>
      <c r="AK206" s="263"/>
      <c r="AL206" s="263"/>
      <c r="AM206" s="242"/>
    </row>
    <row r="207" spans="1:39" ht="18" customHeight="1" x14ac:dyDescent="0.15">
      <c r="A207" s="240"/>
      <c r="B207" s="242"/>
      <c r="C207" s="240"/>
      <c r="D207" s="263"/>
      <c r="E207" s="242"/>
      <c r="F207" s="242"/>
      <c r="G207" s="242"/>
      <c r="L207" s="242"/>
      <c r="M207" s="240"/>
      <c r="N207" s="263"/>
      <c r="O207" s="263"/>
      <c r="P207" s="263"/>
      <c r="Q207" s="263"/>
      <c r="R207" s="263"/>
      <c r="S207" s="263"/>
      <c r="T207" s="263"/>
      <c r="U207" s="263"/>
      <c r="V207" s="263"/>
      <c r="W207" s="263"/>
      <c r="X207" s="263"/>
      <c r="Y207" s="263"/>
      <c r="Z207" s="263"/>
      <c r="AA207" s="263"/>
      <c r="AB207" s="263"/>
      <c r="AC207" s="263"/>
      <c r="AD207" s="263"/>
      <c r="AE207" s="263"/>
      <c r="AF207" s="263"/>
      <c r="AG207" s="263"/>
      <c r="AH207" s="263"/>
      <c r="AI207" s="263"/>
      <c r="AJ207" s="263"/>
      <c r="AK207" s="263"/>
      <c r="AL207" s="263"/>
      <c r="AM207" s="242"/>
    </row>
    <row r="208" spans="1:39" ht="18" customHeight="1" x14ac:dyDescent="0.15">
      <c r="A208" s="240"/>
      <c r="B208" s="242"/>
      <c r="C208" s="240"/>
      <c r="D208" s="263"/>
      <c r="E208" s="242"/>
      <c r="F208" s="242"/>
      <c r="G208" s="242"/>
      <c r="L208" s="242"/>
      <c r="M208" s="240"/>
      <c r="N208" s="263"/>
      <c r="O208" s="263"/>
      <c r="P208" s="263"/>
      <c r="Q208" s="263"/>
      <c r="R208" s="263"/>
      <c r="S208" s="263"/>
      <c r="T208" s="263"/>
      <c r="U208" s="263"/>
      <c r="V208" s="263"/>
      <c r="W208" s="263"/>
      <c r="X208" s="263"/>
      <c r="Y208" s="263"/>
      <c r="Z208" s="263"/>
      <c r="AA208" s="263"/>
      <c r="AB208" s="263"/>
      <c r="AC208" s="263"/>
      <c r="AD208" s="263"/>
      <c r="AE208" s="263"/>
      <c r="AF208" s="263"/>
      <c r="AG208" s="263"/>
      <c r="AH208" s="263"/>
      <c r="AI208" s="263"/>
      <c r="AJ208" s="263"/>
      <c r="AK208" s="263"/>
      <c r="AL208" s="263"/>
      <c r="AM208" s="242"/>
    </row>
    <row r="209" spans="1:39" ht="18" customHeight="1" x14ac:dyDescent="0.15">
      <c r="A209" s="240"/>
      <c r="B209" s="242"/>
      <c r="C209" s="240"/>
      <c r="D209" s="263"/>
      <c r="E209" s="242"/>
      <c r="F209" s="242"/>
      <c r="G209" s="242"/>
      <c r="L209" s="242"/>
      <c r="M209" s="240"/>
      <c r="N209" s="263"/>
      <c r="O209" s="263"/>
      <c r="P209" s="263"/>
      <c r="Q209" s="263"/>
      <c r="R209" s="263"/>
      <c r="S209" s="263"/>
      <c r="T209" s="263"/>
      <c r="U209" s="263"/>
      <c r="V209" s="263"/>
      <c r="W209" s="263"/>
      <c r="X209" s="263"/>
      <c r="Y209" s="263"/>
      <c r="Z209" s="263"/>
      <c r="AA209" s="263"/>
      <c r="AB209" s="263"/>
      <c r="AC209" s="263"/>
      <c r="AD209" s="263"/>
      <c r="AE209" s="263"/>
      <c r="AF209" s="263"/>
      <c r="AG209" s="263"/>
      <c r="AH209" s="263"/>
      <c r="AI209" s="263"/>
      <c r="AJ209" s="263"/>
      <c r="AK209" s="263"/>
      <c r="AL209" s="263"/>
      <c r="AM209" s="242"/>
    </row>
    <row r="210" spans="1:39" ht="18" customHeight="1" x14ac:dyDescent="0.15">
      <c r="A210" s="240"/>
      <c r="B210" s="242"/>
      <c r="C210" s="240"/>
      <c r="D210" s="263"/>
      <c r="E210" s="242"/>
      <c r="F210" s="242"/>
      <c r="G210" s="242"/>
      <c r="L210" s="242"/>
      <c r="M210" s="240"/>
      <c r="N210" s="263"/>
      <c r="O210" s="263"/>
      <c r="P210" s="263"/>
      <c r="Q210" s="263"/>
      <c r="R210" s="263"/>
      <c r="S210" s="263"/>
      <c r="T210" s="263"/>
      <c r="U210" s="263"/>
      <c r="V210" s="263"/>
      <c r="W210" s="263"/>
      <c r="X210" s="263"/>
      <c r="Y210" s="263"/>
      <c r="Z210" s="263"/>
      <c r="AA210" s="263"/>
      <c r="AB210" s="263"/>
      <c r="AC210" s="263"/>
      <c r="AD210" s="263"/>
      <c r="AE210" s="263"/>
      <c r="AF210" s="263"/>
      <c r="AG210" s="263"/>
      <c r="AH210" s="263"/>
      <c r="AI210" s="263"/>
      <c r="AJ210" s="263"/>
      <c r="AK210" s="263"/>
      <c r="AL210" s="263"/>
      <c r="AM210" s="242"/>
    </row>
    <row r="211" spans="1:39" ht="18" customHeight="1" x14ac:dyDescent="0.15">
      <c r="A211" s="240"/>
      <c r="B211" s="242"/>
      <c r="C211" s="240"/>
      <c r="D211" s="263"/>
      <c r="E211" s="242"/>
      <c r="F211" s="242"/>
      <c r="G211" s="242"/>
      <c r="L211" s="242"/>
      <c r="M211" s="240"/>
      <c r="N211" s="263"/>
      <c r="O211" s="263"/>
      <c r="P211" s="263"/>
      <c r="Q211" s="263"/>
      <c r="R211" s="263"/>
      <c r="S211" s="263"/>
      <c r="T211" s="263"/>
      <c r="U211" s="263"/>
      <c r="V211" s="263"/>
      <c r="W211" s="263"/>
      <c r="X211" s="263"/>
      <c r="Y211" s="263"/>
      <c r="Z211" s="263"/>
      <c r="AA211" s="263"/>
      <c r="AB211" s="263"/>
      <c r="AC211" s="263"/>
      <c r="AD211" s="263"/>
      <c r="AE211" s="263"/>
      <c r="AF211" s="263"/>
      <c r="AG211" s="263"/>
      <c r="AH211" s="263"/>
      <c r="AI211" s="263"/>
      <c r="AJ211" s="263"/>
      <c r="AK211" s="263"/>
      <c r="AL211" s="263"/>
      <c r="AM211" s="242"/>
    </row>
    <row r="212" spans="1:39" ht="18" customHeight="1" x14ac:dyDescent="0.15">
      <c r="A212" s="240"/>
      <c r="B212" s="242"/>
      <c r="C212" s="240"/>
      <c r="D212" s="263"/>
      <c r="E212" s="242"/>
      <c r="F212" s="242"/>
      <c r="G212" s="242"/>
      <c r="L212" s="242"/>
      <c r="M212" s="240"/>
      <c r="N212" s="263"/>
      <c r="O212" s="263"/>
      <c r="P212" s="263"/>
      <c r="Q212" s="263"/>
      <c r="R212" s="263"/>
      <c r="S212" s="263"/>
      <c r="T212" s="263"/>
      <c r="U212" s="263"/>
      <c r="V212" s="263"/>
      <c r="W212" s="263"/>
      <c r="X212" s="263"/>
      <c r="Y212" s="263"/>
      <c r="Z212" s="263"/>
      <c r="AA212" s="263"/>
      <c r="AB212" s="263"/>
      <c r="AC212" s="263"/>
      <c r="AD212" s="263"/>
      <c r="AE212" s="263"/>
      <c r="AF212" s="263"/>
      <c r="AG212" s="263"/>
      <c r="AH212" s="263"/>
      <c r="AI212" s="263"/>
      <c r="AJ212" s="263"/>
      <c r="AK212" s="263"/>
      <c r="AL212" s="263"/>
      <c r="AM212" s="242"/>
    </row>
    <row r="213" spans="1:39" ht="18" customHeight="1" x14ac:dyDescent="0.15">
      <c r="A213" s="240"/>
      <c r="B213" s="242"/>
      <c r="C213" s="240"/>
      <c r="D213" s="263"/>
      <c r="E213" s="242"/>
      <c r="F213" s="242"/>
      <c r="G213" s="242"/>
      <c r="L213" s="242"/>
      <c r="M213" s="240"/>
      <c r="N213" s="263"/>
      <c r="O213" s="263"/>
      <c r="P213" s="263"/>
      <c r="Q213" s="263"/>
      <c r="R213" s="263"/>
      <c r="S213" s="263"/>
      <c r="T213" s="263"/>
      <c r="U213" s="263"/>
      <c r="V213" s="263"/>
      <c r="W213" s="263"/>
      <c r="X213" s="263"/>
      <c r="Y213" s="263"/>
      <c r="Z213" s="263"/>
      <c r="AA213" s="263"/>
      <c r="AB213" s="263"/>
      <c r="AC213" s="263"/>
      <c r="AD213" s="263"/>
      <c r="AE213" s="263"/>
      <c r="AF213" s="263"/>
      <c r="AG213" s="263"/>
      <c r="AH213" s="263"/>
      <c r="AI213" s="263"/>
      <c r="AJ213" s="263"/>
      <c r="AK213" s="263"/>
      <c r="AL213" s="263"/>
      <c r="AM213" s="242"/>
    </row>
    <row r="214" spans="1:39" ht="18" customHeight="1" x14ac:dyDescent="0.15">
      <c r="A214" s="240"/>
      <c r="B214" s="242"/>
      <c r="C214" s="240"/>
      <c r="D214" s="263"/>
      <c r="E214" s="242"/>
      <c r="F214" s="242"/>
      <c r="G214" s="242"/>
      <c r="L214" s="242"/>
      <c r="M214" s="240"/>
      <c r="N214" s="263"/>
      <c r="O214" s="263"/>
      <c r="P214" s="263"/>
      <c r="Q214" s="263"/>
      <c r="R214" s="263"/>
      <c r="S214" s="263"/>
      <c r="T214" s="263"/>
      <c r="U214" s="263"/>
      <c r="V214" s="263"/>
      <c r="W214" s="263"/>
      <c r="X214" s="263"/>
      <c r="Y214" s="263"/>
      <c r="Z214" s="263"/>
      <c r="AA214" s="263"/>
      <c r="AB214" s="263"/>
      <c r="AC214" s="263"/>
      <c r="AD214" s="263"/>
      <c r="AE214" s="263"/>
      <c r="AF214" s="263"/>
      <c r="AG214" s="263"/>
      <c r="AH214" s="263"/>
      <c r="AI214" s="263"/>
      <c r="AJ214" s="263"/>
      <c r="AK214" s="263"/>
      <c r="AL214" s="263"/>
      <c r="AM214" s="242"/>
    </row>
    <row r="215" spans="1:39" ht="18" customHeight="1" x14ac:dyDescent="0.15">
      <c r="A215" s="240"/>
      <c r="B215" s="242"/>
      <c r="C215" s="240"/>
      <c r="D215" s="263"/>
      <c r="E215" s="242"/>
      <c r="F215" s="242"/>
      <c r="G215" s="242"/>
      <c r="L215" s="242"/>
      <c r="M215" s="240"/>
      <c r="N215" s="263"/>
      <c r="O215" s="263"/>
      <c r="P215" s="263"/>
      <c r="Q215" s="263"/>
      <c r="R215" s="263"/>
      <c r="S215" s="263"/>
      <c r="T215" s="263"/>
      <c r="U215" s="263"/>
      <c r="V215" s="263"/>
      <c r="W215" s="263"/>
      <c r="X215" s="263"/>
      <c r="Y215" s="263"/>
      <c r="Z215" s="263"/>
      <c r="AA215" s="263"/>
      <c r="AB215" s="263"/>
      <c r="AC215" s="263"/>
      <c r="AD215" s="263"/>
      <c r="AE215" s="263"/>
      <c r="AF215" s="263"/>
      <c r="AG215" s="263"/>
      <c r="AH215" s="263"/>
      <c r="AI215" s="263"/>
      <c r="AJ215" s="263"/>
      <c r="AK215" s="263"/>
      <c r="AL215" s="263"/>
      <c r="AM215" s="242"/>
    </row>
    <row r="216" spans="1:39" ht="18" customHeight="1" x14ac:dyDescent="0.15">
      <c r="A216" s="240"/>
      <c r="B216" s="242"/>
      <c r="C216" s="240"/>
      <c r="D216" s="263"/>
      <c r="E216" s="242"/>
      <c r="F216" s="242"/>
      <c r="G216" s="242"/>
      <c r="L216" s="242"/>
      <c r="M216" s="240"/>
      <c r="N216" s="263"/>
      <c r="O216" s="263"/>
      <c r="P216" s="263"/>
      <c r="Q216" s="263"/>
      <c r="R216" s="263"/>
      <c r="S216" s="263"/>
      <c r="T216" s="263"/>
      <c r="U216" s="263"/>
      <c r="V216" s="263"/>
      <c r="W216" s="263"/>
      <c r="X216" s="263"/>
      <c r="Y216" s="263"/>
      <c r="Z216" s="263"/>
      <c r="AA216" s="263"/>
      <c r="AB216" s="263"/>
      <c r="AC216" s="263"/>
      <c r="AD216" s="263"/>
      <c r="AE216" s="263"/>
      <c r="AF216" s="263"/>
      <c r="AG216" s="263"/>
      <c r="AH216" s="263"/>
      <c r="AI216" s="263"/>
      <c r="AJ216" s="263"/>
      <c r="AK216" s="263"/>
      <c r="AL216" s="263"/>
      <c r="AM216" s="242"/>
    </row>
    <row r="217" spans="1:39" ht="18" customHeight="1" x14ac:dyDescent="0.15">
      <c r="A217" s="240"/>
      <c r="B217" s="242"/>
      <c r="C217" s="240"/>
      <c r="D217" s="263"/>
      <c r="E217" s="242"/>
      <c r="F217" s="242"/>
      <c r="G217" s="242"/>
      <c r="L217" s="242"/>
      <c r="M217" s="240"/>
      <c r="N217" s="263"/>
      <c r="O217" s="263"/>
      <c r="P217" s="263"/>
      <c r="Q217" s="263"/>
      <c r="R217" s="263"/>
      <c r="S217" s="263"/>
      <c r="T217" s="263"/>
      <c r="U217" s="263"/>
      <c r="V217" s="263"/>
      <c r="W217" s="263"/>
      <c r="X217" s="263"/>
      <c r="Y217" s="263"/>
      <c r="Z217" s="263"/>
      <c r="AA217" s="263"/>
      <c r="AB217" s="263"/>
      <c r="AC217" s="263"/>
      <c r="AD217" s="263"/>
      <c r="AE217" s="263"/>
      <c r="AF217" s="263"/>
      <c r="AG217" s="263"/>
      <c r="AH217" s="263"/>
      <c r="AI217" s="263"/>
      <c r="AJ217" s="263"/>
      <c r="AK217" s="263"/>
      <c r="AL217" s="263"/>
      <c r="AM217" s="242"/>
    </row>
    <row r="218" spans="1:39" ht="18" customHeight="1" x14ac:dyDescent="0.15">
      <c r="A218" s="240"/>
      <c r="B218" s="242"/>
      <c r="C218" s="240"/>
      <c r="D218" s="263"/>
      <c r="E218" s="242"/>
      <c r="F218" s="242"/>
      <c r="G218" s="242"/>
      <c r="L218" s="242"/>
      <c r="M218" s="240"/>
      <c r="N218" s="263"/>
      <c r="O218" s="263"/>
      <c r="P218" s="263"/>
      <c r="Q218" s="263"/>
      <c r="R218" s="263"/>
      <c r="S218" s="263"/>
      <c r="T218" s="263"/>
      <c r="U218" s="263"/>
      <c r="V218" s="263"/>
      <c r="W218" s="263"/>
      <c r="X218" s="263"/>
      <c r="Y218" s="263"/>
      <c r="Z218" s="263"/>
      <c r="AA218" s="263"/>
      <c r="AB218" s="263"/>
      <c r="AC218" s="263"/>
      <c r="AD218" s="263"/>
      <c r="AE218" s="263"/>
      <c r="AF218" s="263"/>
      <c r="AG218" s="263"/>
      <c r="AH218" s="263"/>
      <c r="AI218" s="263"/>
      <c r="AJ218" s="263"/>
      <c r="AK218" s="263"/>
      <c r="AL218" s="263"/>
      <c r="AM218" s="242"/>
    </row>
    <row r="219" spans="1:39" ht="18" customHeight="1" x14ac:dyDescent="0.15">
      <c r="A219" s="240"/>
      <c r="B219" s="242"/>
      <c r="C219" s="240"/>
      <c r="D219" s="263"/>
      <c r="E219" s="242"/>
      <c r="F219" s="242"/>
      <c r="G219" s="242"/>
      <c r="L219" s="242"/>
      <c r="M219" s="240"/>
      <c r="N219" s="263"/>
      <c r="O219" s="263"/>
      <c r="P219" s="263"/>
      <c r="Q219" s="263"/>
      <c r="R219" s="263"/>
      <c r="S219" s="263"/>
      <c r="T219" s="263"/>
      <c r="U219" s="263"/>
      <c r="V219" s="263"/>
      <c r="W219" s="263"/>
      <c r="X219" s="263"/>
      <c r="Y219" s="263"/>
      <c r="Z219" s="263"/>
      <c r="AA219" s="263"/>
      <c r="AB219" s="263"/>
      <c r="AC219" s="263"/>
      <c r="AD219" s="263"/>
      <c r="AE219" s="263"/>
      <c r="AF219" s="263"/>
      <c r="AG219" s="263"/>
      <c r="AH219" s="263"/>
      <c r="AI219" s="263"/>
      <c r="AJ219" s="263"/>
      <c r="AK219" s="263"/>
      <c r="AL219" s="263"/>
      <c r="AM219" s="242"/>
    </row>
    <row r="220" spans="1:39" ht="18" customHeight="1" x14ac:dyDescent="0.15">
      <c r="A220" s="240"/>
      <c r="B220" s="242"/>
      <c r="C220" s="240"/>
      <c r="D220" s="263"/>
      <c r="E220" s="242"/>
      <c r="F220" s="242"/>
      <c r="G220" s="242"/>
      <c r="L220" s="242"/>
      <c r="M220" s="240"/>
      <c r="N220" s="263"/>
      <c r="O220" s="263"/>
      <c r="P220" s="263"/>
      <c r="Q220" s="263"/>
      <c r="R220" s="263"/>
      <c r="S220" s="263"/>
      <c r="T220" s="263"/>
      <c r="U220" s="263"/>
      <c r="V220" s="263"/>
      <c r="W220" s="263"/>
      <c r="X220" s="263"/>
      <c r="Y220" s="263"/>
      <c r="Z220" s="263"/>
      <c r="AA220" s="263"/>
      <c r="AB220" s="263"/>
      <c r="AC220" s="263"/>
      <c r="AD220" s="263"/>
      <c r="AE220" s="263"/>
      <c r="AF220" s="263"/>
      <c r="AG220" s="263"/>
      <c r="AH220" s="263"/>
      <c r="AI220" s="263"/>
      <c r="AJ220" s="263"/>
      <c r="AK220" s="263"/>
      <c r="AL220" s="263"/>
      <c r="AM220" s="242"/>
    </row>
    <row r="221" spans="1:39" ht="18" customHeight="1" x14ac:dyDescent="0.15">
      <c r="A221" s="240"/>
      <c r="B221" s="242"/>
      <c r="C221" s="240"/>
      <c r="D221" s="263"/>
      <c r="E221" s="242"/>
      <c r="F221" s="242"/>
      <c r="G221" s="242"/>
      <c r="L221" s="242"/>
      <c r="M221" s="240"/>
      <c r="N221" s="263"/>
      <c r="O221" s="263"/>
      <c r="P221" s="263"/>
      <c r="Q221" s="263"/>
      <c r="R221" s="263"/>
      <c r="S221" s="263"/>
      <c r="T221" s="263"/>
      <c r="U221" s="263"/>
      <c r="V221" s="263"/>
      <c r="W221" s="263"/>
      <c r="X221" s="263"/>
      <c r="Y221" s="263"/>
      <c r="Z221" s="263"/>
      <c r="AA221" s="263"/>
      <c r="AB221" s="263"/>
      <c r="AC221" s="263"/>
      <c r="AD221" s="263"/>
      <c r="AE221" s="263"/>
      <c r="AF221" s="263"/>
      <c r="AG221" s="263"/>
      <c r="AH221" s="263"/>
      <c r="AI221" s="263"/>
      <c r="AJ221" s="263"/>
      <c r="AK221" s="263"/>
      <c r="AL221" s="263"/>
      <c r="AM221" s="242"/>
    </row>
    <row r="222" spans="1:39" ht="18" customHeight="1" x14ac:dyDescent="0.15">
      <c r="A222" s="240"/>
      <c r="B222" s="242"/>
      <c r="C222" s="240"/>
      <c r="D222" s="263"/>
      <c r="E222" s="242"/>
      <c r="F222" s="242"/>
      <c r="G222" s="242"/>
      <c r="L222" s="242"/>
      <c r="M222" s="240"/>
      <c r="N222" s="263"/>
      <c r="O222" s="263"/>
      <c r="P222" s="263"/>
      <c r="Q222" s="263"/>
      <c r="R222" s="263"/>
      <c r="S222" s="263"/>
      <c r="T222" s="263"/>
      <c r="U222" s="263"/>
      <c r="V222" s="263"/>
      <c r="W222" s="263"/>
      <c r="X222" s="263"/>
      <c r="Y222" s="263"/>
      <c r="Z222" s="263"/>
      <c r="AA222" s="263"/>
      <c r="AB222" s="263"/>
      <c r="AC222" s="263"/>
      <c r="AD222" s="263"/>
      <c r="AE222" s="263"/>
      <c r="AF222" s="263"/>
      <c r="AG222" s="263"/>
      <c r="AH222" s="263"/>
      <c r="AI222" s="263"/>
      <c r="AJ222" s="263"/>
      <c r="AK222" s="263"/>
      <c r="AL222" s="263"/>
      <c r="AM222" s="242"/>
    </row>
    <row r="223" spans="1:39" ht="18" customHeight="1" x14ac:dyDescent="0.15">
      <c r="A223" s="240"/>
      <c r="B223" s="242"/>
      <c r="C223" s="240"/>
      <c r="D223" s="263"/>
      <c r="E223" s="242"/>
      <c r="F223" s="242"/>
      <c r="G223" s="242"/>
      <c r="L223" s="242"/>
      <c r="M223" s="240"/>
      <c r="N223" s="263"/>
      <c r="O223" s="263"/>
      <c r="P223" s="263"/>
      <c r="Q223" s="263"/>
      <c r="R223" s="263"/>
      <c r="S223" s="263"/>
      <c r="T223" s="263"/>
      <c r="U223" s="263"/>
      <c r="V223" s="263"/>
      <c r="W223" s="263"/>
      <c r="X223" s="263"/>
      <c r="Y223" s="263"/>
      <c r="Z223" s="263"/>
      <c r="AA223" s="263"/>
      <c r="AB223" s="263"/>
      <c r="AC223" s="263"/>
      <c r="AD223" s="263"/>
      <c r="AE223" s="263"/>
      <c r="AF223" s="263"/>
      <c r="AG223" s="263"/>
      <c r="AH223" s="263"/>
      <c r="AI223" s="263"/>
      <c r="AJ223" s="263"/>
      <c r="AK223" s="263"/>
      <c r="AL223" s="263"/>
      <c r="AM223" s="242"/>
    </row>
    <row r="224" spans="1:39" ht="18" customHeight="1" x14ac:dyDescent="0.15">
      <c r="A224" s="240"/>
      <c r="B224" s="242"/>
      <c r="C224" s="240"/>
      <c r="D224" s="263"/>
      <c r="E224" s="242"/>
      <c r="F224" s="242"/>
      <c r="G224" s="242"/>
      <c r="L224" s="242"/>
      <c r="M224" s="240"/>
      <c r="N224" s="263"/>
      <c r="O224" s="263"/>
      <c r="P224" s="263"/>
      <c r="Q224" s="263"/>
      <c r="R224" s="263"/>
      <c r="S224" s="263"/>
      <c r="T224" s="263"/>
      <c r="U224" s="263"/>
      <c r="V224" s="263"/>
      <c r="W224" s="263"/>
      <c r="X224" s="263"/>
      <c r="Y224" s="263"/>
      <c r="Z224" s="263"/>
      <c r="AA224" s="263"/>
      <c r="AB224" s="263"/>
      <c r="AC224" s="263"/>
      <c r="AD224" s="263"/>
      <c r="AE224" s="263"/>
      <c r="AF224" s="263"/>
      <c r="AG224" s="263"/>
      <c r="AH224" s="263"/>
      <c r="AI224" s="263"/>
      <c r="AJ224" s="263"/>
      <c r="AK224" s="263"/>
      <c r="AL224" s="263"/>
      <c r="AM224" s="242"/>
    </row>
    <row r="225" spans="1:39" ht="18" customHeight="1" x14ac:dyDescent="0.15">
      <c r="A225" s="240"/>
      <c r="B225" s="242"/>
      <c r="C225" s="240"/>
      <c r="D225" s="263"/>
      <c r="E225" s="242"/>
      <c r="F225" s="242"/>
      <c r="G225" s="242"/>
      <c r="L225" s="242"/>
      <c r="M225" s="240"/>
      <c r="N225" s="263"/>
      <c r="O225" s="263"/>
      <c r="P225" s="263"/>
      <c r="Q225" s="263"/>
      <c r="R225" s="263"/>
      <c r="S225" s="263"/>
      <c r="T225" s="263"/>
      <c r="U225" s="263"/>
      <c r="V225" s="263"/>
      <c r="W225" s="263"/>
      <c r="X225" s="263"/>
      <c r="Y225" s="263"/>
      <c r="Z225" s="263"/>
      <c r="AA225" s="263"/>
      <c r="AB225" s="263"/>
      <c r="AC225" s="263"/>
      <c r="AD225" s="263"/>
      <c r="AE225" s="263"/>
      <c r="AF225" s="263"/>
      <c r="AG225" s="263"/>
      <c r="AH225" s="263"/>
      <c r="AI225" s="263"/>
      <c r="AJ225" s="263"/>
      <c r="AK225" s="263"/>
      <c r="AL225" s="263"/>
      <c r="AM225" s="242"/>
    </row>
    <row r="226" spans="1:39" ht="18" customHeight="1" x14ac:dyDescent="0.15">
      <c r="A226" s="240"/>
      <c r="B226" s="242"/>
      <c r="C226" s="240"/>
      <c r="D226" s="263"/>
      <c r="E226" s="242"/>
      <c r="F226" s="242"/>
      <c r="G226" s="242"/>
      <c r="L226" s="242"/>
      <c r="M226" s="240"/>
      <c r="N226" s="263"/>
      <c r="O226" s="263"/>
      <c r="P226" s="263"/>
      <c r="Q226" s="263"/>
      <c r="R226" s="263"/>
      <c r="S226" s="263"/>
      <c r="T226" s="263"/>
      <c r="U226" s="263"/>
      <c r="V226" s="263"/>
      <c r="W226" s="263"/>
      <c r="X226" s="263"/>
      <c r="Y226" s="263"/>
      <c r="Z226" s="263"/>
      <c r="AA226" s="263"/>
      <c r="AB226" s="263"/>
      <c r="AC226" s="263"/>
      <c r="AD226" s="263"/>
      <c r="AE226" s="263"/>
      <c r="AF226" s="263"/>
      <c r="AG226" s="263"/>
      <c r="AH226" s="263"/>
      <c r="AI226" s="263"/>
      <c r="AJ226" s="263"/>
      <c r="AK226" s="263"/>
      <c r="AL226" s="263"/>
      <c r="AM226" s="242"/>
    </row>
    <row r="227" spans="1:39" ht="18" customHeight="1" x14ac:dyDescent="0.15">
      <c r="A227" s="240"/>
      <c r="B227" s="242"/>
      <c r="C227" s="240"/>
      <c r="D227" s="263"/>
      <c r="E227" s="242"/>
      <c r="F227" s="242"/>
      <c r="G227" s="242"/>
      <c r="L227" s="242"/>
      <c r="M227" s="240"/>
      <c r="N227" s="263"/>
      <c r="O227" s="263"/>
      <c r="P227" s="263"/>
      <c r="Q227" s="263"/>
      <c r="R227" s="263"/>
      <c r="S227" s="263"/>
      <c r="T227" s="263"/>
      <c r="U227" s="263"/>
      <c r="V227" s="263"/>
      <c r="W227" s="263"/>
      <c r="X227" s="263"/>
      <c r="Y227" s="263"/>
      <c r="Z227" s="263"/>
      <c r="AA227" s="263"/>
      <c r="AB227" s="263"/>
      <c r="AC227" s="263"/>
      <c r="AD227" s="263"/>
      <c r="AE227" s="263"/>
      <c r="AF227" s="263"/>
      <c r="AG227" s="263"/>
      <c r="AH227" s="263"/>
      <c r="AI227" s="263"/>
      <c r="AJ227" s="263"/>
      <c r="AK227" s="263"/>
      <c r="AL227" s="263"/>
      <c r="AM227" s="242"/>
    </row>
    <row r="228" spans="1:39" ht="18" customHeight="1" x14ac:dyDescent="0.15">
      <c r="A228" s="240"/>
      <c r="B228" s="242"/>
      <c r="C228" s="240"/>
      <c r="D228" s="263"/>
      <c r="E228" s="242"/>
      <c r="F228" s="242"/>
      <c r="G228" s="242"/>
      <c r="L228" s="242"/>
      <c r="M228" s="240"/>
      <c r="N228" s="263"/>
      <c r="O228" s="263"/>
      <c r="P228" s="263"/>
      <c r="Q228" s="263"/>
      <c r="R228" s="263"/>
      <c r="S228" s="263"/>
      <c r="T228" s="263"/>
      <c r="U228" s="263"/>
      <c r="V228" s="263"/>
      <c r="W228" s="263"/>
      <c r="X228" s="263"/>
      <c r="Y228" s="263"/>
      <c r="Z228" s="263"/>
      <c r="AA228" s="263"/>
      <c r="AB228" s="263"/>
      <c r="AC228" s="263"/>
      <c r="AD228" s="263"/>
      <c r="AE228" s="263"/>
      <c r="AF228" s="263"/>
      <c r="AG228" s="263"/>
      <c r="AH228" s="263"/>
      <c r="AI228" s="263"/>
      <c r="AJ228" s="263"/>
      <c r="AK228" s="263"/>
      <c r="AL228" s="263"/>
      <c r="AM228" s="242"/>
    </row>
    <row r="229" spans="1:39" ht="18" customHeight="1" x14ac:dyDescent="0.15">
      <c r="A229" s="240"/>
      <c r="B229" s="242"/>
      <c r="C229" s="240"/>
      <c r="D229" s="263"/>
      <c r="E229" s="242"/>
      <c r="F229" s="242"/>
      <c r="G229" s="242"/>
      <c r="L229" s="242"/>
      <c r="M229" s="240"/>
      <c r="N229" s="263"/>
      <c r="O229" s="263"/>
      <c r="P229" s="263"/>
      <c r="Q229" s="263"/>
      <c r="R229" s="263"/>
      <c r="S229" s="263"/>
      <c r="T229" s="263"/>
      <c r="U229" s="263"/>
      <c r="V229" s="263"/>
      <c r="W229" s="263"/>
      <c r="X229" s="263"/>
      <c r="Y229" s="263"/>
      <c r="Z229" s="263"/>
      <c r="AA229" s="263"/>
      <c r="AB229" s="263"/>
      <c r="AC229" s="263"/>
      <c r="AD229" s="263"/>
      <c r="AE229" s="263"/>
      <c r="AF229" s="263"/>
      <c r="AG229" s="263"/>
      <c r="AH229" s="263"/>
      <c r="AI229" s="263"/>
      <c r="AJ229" s="263"/>
      <c r="AK229" s="263"/>
      <c r="AL229" s="263"/>
      <c r="AM229" s="242"/>
    </row>
    <row r="230" spans="1:39" ht="18" customHeight="1" x14ac:dyDescent="0.15">
      <c r="A230" s="240"/>
      <c r="B230" s="242"/>
      <c r="C230" s="240"/>
      <c r="D230" s="263"/>
      <c r="E230" s="242"/>
      <c r="F230" s="242"/>
      <c r="G230" s="242"/>
      <c r="L230" s="242"/>
      <c r="M230" s="240"/>
      <c r="N230" s="263"/>
      <c r="O230" s="263"/>
      <c r="P230" s="263"/>
      <c r="Q230" s="263"/>
      <c r="R230" s="263"/>
      <c r="S230" s="263"/>
      <c r="T230" s="263"/>
      <c r="U230" s="263"/>
      <c r="V230" s="263"/>
      <c r="W230" s="263"/>
      <c r="X230" s="263"/>
      <c r="Y230" s="263"/>
      <c r="Z230" s="263"/>
      <c r="AA230" s="263"/>
      <c r="AB230" s="263"/>
      <c r="AC230" s="263"/>
      <c r="AD230" s="263"/>
      <c r="AE230" s="263"/>
      <c r="AF230" s="263"/>
      <c r="AG230" s="263"/>
      <c r="AH230" s="263"/>
      <c r="AI230" s="263"/>
      <c r="AJ230" s="263"/>
      <c r="AK230" s="263"/>
      <c r="AL230" s="263"/>
      <c r="AM230" s="242"/>
    </row>
    <row r="231" spans="1:39" ht="18" customHeight="1" x14ac:dyDescent="0.15">
      <c r="A231" s="240"/>
      <c r="B231" s="242"/>
      <c r="C231" s="240"/>
      <c r="D231" s="263"/>
      <c r="E231" s="242"/>
      <c r="F231" s="242"/>
      <c r="G231" s="242"/>
      <c r="L231" s="242"/>
      <c r="M231" s="240"/>
      <c r="N231" s="263"/>
      <c r="O231" s="263"/>
      <c r="P231" s="263"/>
      <c r="Q231" s="263"/>
      <c r="R231" s="263"/>
      <c r="S231" s="263"/>
      <c r="T231" s="263"/>
      <c r="U231" s="263"/>
      <c r="V231" s="263"/>
      <c r="W231" s="263"/>
      <c r="X231" s="263"/>
      <c r="Y231" s="263"/>
      <c r="Z231" s="263"/>
      <c r="AA231" s="263"/>
      <c r="AB231" s="263"/>
      <c r="AC231" s="263"/>
      <c r="AD231" s="263"/>
      <c r="AE231" s="263"/>
      <c r="AF231" s="263"/>
      <c r="AG231" s="263"/>
      <c r="AH231" s="263"/>
      <c r="AI231" s="263"/>
      <c r="AJ231" s="263"/>
      <c r="AK231" s="263"/>
      <c r="AL231" s="263"/>
      <c r="AM231" s="242"/>
    </row>
    <row r="232" spans="1:39" ht="18" customHeight="1" x14ac:dyDescent="0.15">
      <c r="A232" s="240"/>
      <c r="B232" s="242"/>
      <c r="C232" s="240"/>
      <c r="D232" s="263"/>
      <c r="E232" s="242"/>
      <c r="F232" s="242"/>
      <c r="G232" s="242"/>
      <c r="L232" s="242"/>
      <c r="M232" s="240"/>
      <c r="N232" s="263"/>
      <c r="O232" s="263"/>
      <c r="P232" s="263"/>
      <c r="Q232" s="263"/>
      <c r="R232" s="263"/>
      <c r="S232" s="263"/>
      <c r="T232" s="263"/>
      <c r="U232" s="263"/>
      <c r="V232" s="263"/>
      <c r="W232" s="263"/>
      <c r="X232" s="263"/>
      <c r="Y232" s="263"/>
      <c r="Z232" s="263"/>
      <c r="AA232" s="263"/>
      <c r="AB232" s="263"/>
      <c r="AC232" s="263"/>
      <c r="AD232" s="263"/>
      <c r="AE232" s="263"/>
      <c r="AF232" s="263"/>
      <c r="AG232" s="263"/>
      <c r="AH232" s="263"/>
      <c r="AI232" s="263"/>
      <c r="AJ232" s="263"/>
      <c r="AK232" s="263"/>
      <c r="AL232" s="263"/>
      <c r="AM232" s="242"/>
    </row>
    <row r="233" spans="1:39" ht="18" customHeight="1" x14ac:dyDescent="0.15">
      <c r="A233" s="240"/>
      <c r="B233" s="242"/>
      <c r="C233" s="240"/>
      <c r="D233" s="263"/>
      <c r="E233" s="242"/>
      <c r="F233" s="242"/>
      <c r="G233" s="242"/>
      <c r="L233" s="242"/>
      <c r="M233" s="240"/>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42"/>
    </row>
    <row r="234" spans="1:39" ht="18" customHeight="1" x14ac:dyDescent="0.15">
      <c r="A234" s="240"/>
      <c r="B234" s="242"/>
      <c r="C234" s="240"/>
      <c r="D234" s="263"/>
      <c r="E234" s="242"/>
      <c r="F234" s="242"/>
      <c r="G234" s="242"/>
      <c r="L234" s="242"/>
      <c r="M234" s="240"/>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42"/>
    </row>
    <row r="235" spans="1:39" ht="18" customHeight="1" x14ac:dyDescent="0.15">
      <c r="A235" s="240"/>
      <c r="B235" s="242"/>
      <c r="C235" s="240"/>
      <c r="D235" s="263"/>
      <c r="E235" s="242"/>
      <c r="F235" s="242"/>
      <c r="G235" s="242"/>
      <c r="L235" s="242"/>
      <c r="M235" s="240"/>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42"/>
    </row>
    <row r="236" spans="1:39" ht="18" customHeight="1" x14ac:dyDescent="0.15">
      <c r="A236" s="240"/>
      <c r="B236" s="242"/>
      <c r="C236" s="240"/>
      <c r="D236" s="263"/>
      <c r="E236" s="242"/>
      <c r="F236" s="242"/>
      <c r="G236" s="242"/>
      <c r="L236" s="242"/>
      <c r="M236" s="240"/>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42"/>
    </row>
    <row r="237" spans="1:39" ht="18" customHeight="1" x14ac:dyDescent="0.15">
      <c r="A237" s="240"/>
      <c r="B237" s="242"/>
      <c r="C237" s="240"/>
      <c r="D237" s="263"/>
      <c r="E237" s="242"/>
      <c r="F237" s="242"/>
      <c r="G237" s="242"/>
      <c r="L237" s="242"/>
      <c r="M237" s="240"/>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42"/>
    </row>
    <row r="238" spans="1:39" ht="18" customHeight="1" x14ac:dyDescent="0.15">
      <c r="A238" s="240"/>
      <c r="B238" s="242"/>
      <c r="C238" s="240"/>
      <c r="D238" s="263"/>
      <c r="E238" s="242"/>
      <c r="F238" s="242"/>
      <c r="G238" s="242"/>
      <c r="L238" s="242"/>
      <c r="M238" s="240"/>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42"/>
    </row>
    <row r="239" spans="1:39" ht="18" customHeight="1" x14ac:dyDescent="0.15">
      <c r="A239" s="240"/>
      <c r="B239" s="242"/>
      <c r="C239" s="240"/>
      <c r="D239" s="263"/>
      <c r="E239" s="242"/>
      <c r="F239" s="242"/>
      <c r="G239" s="242"/>
      <c r="L239" s="242"/>
      <c r="M239" s="240"/>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42"/>
    </row>
    <row r="240" spans="1:39" ht="18" customHeight="1" x14ac:dyDescent="0.15">
      <c r="A240" s="240"/>
      <c r="B240" s="242"/>
      <c r="C240" s="240"/>
      <c r="D240" s="263"/>
      <c r="E240" s="242"/>
      <c r="F240" s="242"/>
      <c r="G240" s="242"/>
      <c r="L240" s="242"/>
      <c r="M240" s="240"/>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42"/>
    </row>
    <row r="241" spans="1:39" ht="18" customHeight="1" x14ac:dyDescent="0.15">
      <c r="A241" s="240"/>
      <c r="B241" s="242"/>
      <c r="C241" s="240"/>
      <c r="D241" s="263"/>
      <c r="E241" s="242"/>
      <c r="F241" s="242"/>
      <c r="G241" s="242"/>
      <c r="L241" s="242"/>
      <c r="M241" s="240"/>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42"/>
    </row>
    <row r="242" spans="1:39" ht="18" customHeight="1" x14ac:dyDescent="0.15">
      <c r="A242" s="240"/>
      <c r="B242" s="242"/>
      <c r="C242" s="240"/>
      <c r="D242" s="263"/>
      <c r="E242" s="242"/>
      <c r="F242" s="242"/>
      <c r="G242" s="242"/>
      <c r="L242" s="242"/>
      <c r="M242" s="240"/>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42"/>
    </row>
    <row r="243" spans="1:39" ht="18" customHeight="1" x14ac:dyDescent="0.15">
      <c r="A243" s="240"/>
      <c r="B243" s="242"/>
      <c r="C243" s="240"/>
      <c r="D243" s="263"/>
      <c r="E243" s="242"/>
      <c r="F243" s="242"/>
      <c r="G243" s="242"/>
      <c r="L243" s="242"/>
      <c r="M243" s="240"/>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42"/>
    </row>
    <row r="244" spans="1:39" ht="18" customHeight="1" x14ac:dyDescent="0.15">
      <c r="A244" s="240"/>
      <c r="B244" s="242"/>
      <c r="C244" s="240"/>
      <c r="D244" s="263"/>
      <c r="E244" s="242"/>
      <c r="F244" s="242"/>
      <c r="G244" s="242"/>
      <c r="L244" s="242"/>
      <c r="M244" s="240"/>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42"/>
    </row>
    <row r="245" spans="1:39" ht="18" customHeight="1" x14ac:dyDescent="0.15">
      <c r="A245" s="240"/>
      <c r="B245" s="242"/>
      <c r="C245" s="240"/>
      <c r="D245" s="263"/>
      <c r="E245" s="242"/>
      <c r="F245" s="242"/>
      <c r="G245" s="242"/>
      <c r="L245" s="242"/>
      <c r="M245" s="240"/>
      <c r="N245" s="263"/>
      <c r="O245" s="263"/>
      <c r="P245" s="263"/>
      <c r="Q245" s="263"/>
      <c r="R245" s="263"/>
      <c r="S245" s="263"/>
      <c r="T245" s="263"/>
      <c r="U245" s="263"/>
      <c r="V245" s="263"/>
      <c r="W245" s="263"/>
      <c r="X245" s="263"/>
      <c r="Y245" s="263"/>
      <c r="Z245" s="263"/>
      <c r="AA245" s="263"/>
      <c r="AB245" s="263"/>
      <c r="AC245" s="263"/>
      <c r="AD245" s="263"/>
      <c r="AE245" s="263"/>
      <c r="AF245" s="263"/>
      <c r="AG245" s="263"/>
      <c r="AH245" s="263"/>
      <c r="AI245" s="263"/>
      <c r="AJ245" s="263"/>
      <c r="AK245" s="263"/>
      <c r="AL245" s="263"/>
      <c r="AM245" s="242"/>
    </row>
    <row r="246" spans="1:39" ht="18" customHeight="1" x14ac:dyDescent="0.15">
      <c r="A246" s="240"/>
      <c r="B246" s="242"/>
      <c r="C246" s="240"/>
      <c r="D246" s="263"/>
      <c r="E246" s="242"/>
      <c r="F246" s="242"/>
      <c r="G246" s="242"/>
      <c r="L246" s="242"/>
      <c r="M246" s="240"/>
      <c r="N246" s="263"/>
      <c r="O246" s="263"/>
      <c r="P246" s="263"/>
      <c r="Q246" s="263"/>
      <c r="R246" s="263"/>
      <c r="S246" s="263"/>
      <c r="T246" s="263"/>
      <c r="U246" s="263"/>
      <c r="V246" s="263"/>
      <c r="W246" s="263"/>
      <c r="X246" s="263"/>
      <c r="Y246" s="263"/>
      <c r="Z246" s="263"/>
      <c r="AA246" s="263"/>
      <c r="AB246" s="263"/>
      <c r="AC246" s="263"/>
      <c r="AD246" s="263"/>
      <c r="AE246" s="263"/>
      <c r="AF246" s="263"/>
      <c r="AG246" s="263"/>
      <c r="AH246" s="263"/>
      <c r="AI246" s="263"/>
      <c r="AJ246" s="263"/>
      <c r="AK246" s="263"/>
      <c r="AL246" s="263"/>
      <c r="AM246" s="242"/>
    </row>
    <row r="247" spans="1:39" ht="18" customHeight="1" x14ac:dyDescent="0.15">
      <c r="A247" s="240"/>
      <c r="B247" s="242"/>
      <c r="C247" s="240"/>
      <c r="D247" s="263"/>
      <c r="E247" s="242"/>
      <c r="F247" s="242"/>
      <c r="G247" s="242"/>
      <c r="L247" s="242"/>
      <c r="M247" s="240"/>
      <c r="N247" s="263"/>
      <c r="O247" s="263"/>
      <c r="P247" s="263"/>
      <c r="Q247" s="263"/>
      <c r="R247" s="263"/>
      <c r="S247" s="263"/>
      <c r="T247" s="263"/>
      <c r="U247" s="263"/>
      <c r="V247" s="263"/>
      <c r="W247" s="263"/>
      <c r="X247" s="263"/>
      <c r="Y247" s="263"/>
      <c r="Z247" s="263"/>
      <c r="AA247" s="263"/>
      <c r="AB247" s="263"/>
      <c r="AC247" s="263"/>
      <c r="AD247" s="263"/>
      <c r="AE247" s="263"/>
      <c r="AF247" s="263"/>
      <c r="AG247" s="263"/>
      <c r="AH247" s="263"/>
      <c r="AI247" s="263"/>
      <c r="AJ247" s="263"/>
      <c r="AK247" s="263"/>
      <c r="AL247" s="263"/>
      <c r="AM247" s="242"/>
    </row>
    <row r="248" spans="1:39" ht="18" customHeight="1" x14ac:dyDescent="0.15">
      <c r="A248" s="240"/>
      <c r="B248" s="242"/>
      <c r="C248" s="240"/>
      <c r="D248" s="263"/>
      <c r="E248" s="242"/>
      <c r="F248" s="242"/>
      <c r="G248" s="242"/>
      <c r="L248" s="242"/>
      <c r="M248" s="240"/>
      <c r="N248" s="263"/>
      <c r="O248" s="263"/>
      <c r="P248" s="263"/>
      <c r="Q248" s="263"/>
      <c r="R248" s="263"/>
      <c r="S248" s="263"/>
      <c r="T248" s="263"/>
      <c r="U248" s="263"/>
      <c r="V248" s="263"/>
      <c r="W248" s="263"/>
      <c r="X248" s="263"/>
      <c r="Y248" s="263"/>
      <c r="Z248" s="263"/>
      <c r="AA248" s="263"/>
      <c r="AB248" s="263"/>
      <c r="AC248" s="263"/>
      <c r="AD248" s="263"/>
      <c r="AE248" s="263"/>
      <c r="AF248" s="263"/>
      <c r="AG248" s="263"/>
      <c r="AH248" s="263"/>
      <c r="AI248" s="263"/>
      <c r="AJ248" s="263"/>
      <c r="AK248" s="263"/>
      <c r="AL248" s="263"/>
      <c r="AM248" s="242"/>
    </row>
    <row r="249" spans="1:39" ht="18" customHeight="1" x14ac:dyDescent="0.15">
      <c r="A249" s="240"/>
      <c r="B249" s="242"/>
      <c r="C249" s="240"/>
      <c r="D249" s="263"/>
      <c r="E249" s="242"/>
      <c r="F249" s="242"/>
      <c r="G249" s="242"/>
      <c r="L249" s="242"/>
      <c r="M249" s="240"/>
      <c r="N249" s="263"/>
      <c r="O249" s="263"/>
      <c r="P249" s="263"/>
      <c r="Q249" s="263"/>
      <c r="R249" s="263"/>
      <c r="S249" s="263"/>
      <c r="T249" s="263"/>
      <c r="U249" s="263"/>
      <c r="V249" s="263"/>
      <c r="W249" s="263"/>
      <c r="X249" s="263"/>
      <c r="Y249" s="263"/>
      <c r="Z249" s="263"/>
      <c r="AA249" s="263"/>
      <c r="AB249" s="263"/>
      <c r="AC249" s="263"/>
      <c r="AD249" s="263"/>
      <c r="AE249" s="263"/>
      <c r="AF249" s="263"/>
      <c r="AG249" s="263"/>
      <c r="AH249" s="263"/>
      <c r="AI249" s="263"/>
      <c r="AJ249" s="263"/>
      <c r="AK249" s="263"/>
      <c r="AL249" s="263"/>
      <c r="AM249" s="242"/>
    </row>
    <row r="250" spans="1:39" ht="18" customHeight="1" x14ac:dyDescent="0.15">
      <c r="A250" s="240"/>
      <c r="B250" s="242"/>
      <c r="C250" s="240"/>
      <c r="D250" s="263"/>
      <c r="E250" s="242"/>
      <c r="F250" s="242"/>
      <c r="G250" s="242"/>
      <c r="L250" s="242"/>
      <c r="M250" s="240"/>
      <c r="N250" s="263"/>
      <c r="O250" s="263"/>
      <c r="P250" s="263"/>
      <c r="Q250" s="263"/>
      <c r="R250" s="263"/>
      <c r="S250" s="263"/>
      <c r="T250" s="263"/>
      <c r="U250" s="263"/>
      <c r="V250" s="263"/>
      <c r="W250" s="263"/>
      <c r="X250" s="263"/>
      <c r="Y250" s="263"/>
      <c r="Z250" s="263"/>
      <c r="AA250" s="263"/>
      <c r="AB250" s="263"/>
      <c r="AC250" s="263"/>
      <c r="AD250" s="263"/>
      <c r="AE250" s="263"/>
      <c r="AF250" s="263"/>
      <c r="AG250" s="263"/>
      <c r="AH250" s="263"/>
      <c r="AI250" s="263"/>
      <c r="AJ250" s="263"/>
      <c r="AK250" s="263"/>
      <c r="AL250" s="263"/>
      <c r="AM250" s="242"/>
    </row>
    <row r="251" spans="1:39" ht="18" customHeight="1" x14ac:dyDescent="0.15">
      <c r="A251" s="240"/>
      <c r="B251" s="242"/>
      <c r="C251" s="240"/>
      <c r="D251" s="263"/>
      <c r="E251" s="242"/>
      <c r="F251" s="242"/>
      <c r="G251" s="242"/>
      <c r="L251" s="242"/>
      <c r="M251" s="240"/>
      <c r="N251" s="263"/>
      <c r="O251" s="263"/>
      <c r="P251" s="263"/>
      <c r="Q251" s="263"/>
      <c r="R251" s="263"/>
      <c r="S251" s="263"/>
      <c r="T251" s="263"/>
      <c r="U251" s="263"/>
      <c r="V251" s="263"/>
      <c r="W251" s="263"/>
      <c r="X251" s="263"/>
      <c r="Y251" s="263"/>
      <c r="Z251" s="263"/>
      <c r="AA251" s="263"/>
      <c r="AB251" s="263"/>
      <c r="AC251" s="263"/>
      <c r="AD251" s="263"/>
      <c r="AE251" s="263"/>
      <c r="AF251" s="263"/>
      <c r="AG251" s="263"/>
      <c r="AH251" s="263"/>
      <c r="AI251" s="263"/>
      <c r="AJ251" s="263"/>
      <c r="AK251" s="263"/>
      <c r="AL251" s="263"/>
      <c r="AM251" s="242"/>
    </row>
    <row r="252" spans="1:39" ht="18" customHeight="1" x14ac:dyDescent="0.15">
      <c r="A252" s="240"/>
      <c r="B252" s="242"/>
      <c r="C252" s="240"/>
      <c r="D252" s="263"/>
      <c r="E252" s="242"/>
      <c r="F252" s="242"/>
      <c r="G252" s="242"/>
      <c r="L252" s="242"/>
      <c r="M252" s="240"/>
      <c r="N252" s="263"/>
      <c r="O252" s="263"/>
      <c r="P252" s="263"/>
      <c r="Q252" s="263"/>
      <c r="R252" s="263"/>
      <c r="S252" s="263"/>
      <c r="T252" s="263"/>
      <c r="U252" s="263"/>
      <c r="V252" s="263"/>
      <c r="W252" s="263"/>
      <c r="X252" s="263"/>
      <c r="Y252" s="263"/>
      <c r="Z252" s="263"/>
      <c r="AA252" s="263"/>
      <c r="AB252" s="263"/>
      <c r="AC252" s="263"/>
      <c r="AD252" s="263"/>
      <c r="AE252" s="263"/>
      <c r="AF252" s="263"/>
      <c r="AG252" s="263"/>
      <c r="AH252" s="263"/>
      <c r="AI252" s="263"/>
      <c r="AJ252" s="263"/>
      <c r="AK252" s="263"/>
      <c r="AL252" s="263"/>
      <c r="AM252" s="242"/>
    </row>
    <row r="253" spans="1:39" ht="18" customHeight="1" x14ac:dyDescent="0.15">
      <c r="A253" s="240"/>
      <c r="B253" s="242"/>
      <c r="C253" s="240"/>
      <c r="D253" s="263"/>
      <c r="E253" s="242"/>
      <c r="F253" s="242"/>
      <c r="G253" s="242"/>
      <c r="L253" s="242"/>
      <c r="M253" s="240"/>
      <c r="N253" s="263"/>
      <c r="O253" s="263"/>
      <c r="P253" s="263"/>
      <c r="Q253" s="263"/>
      <c r="R253" s="263"/>
      <c r="S253" s="263"/>
      <c r="T253" s="263"/>
      <c r="U253" s="263"/>
      <c r="V253" s="263"/>
      <c r="W253" s="263"/>
      <c r="X253" s="263"/>
      <c r="Y253" s="263"/>
      <c r="Z253" s="263"/>
      <c r="AA253" s="263"/>
      <c r="AB253" s="263"/>
      <c r="AC253" s="263"/>
      <c r="AD253" s="263"/>
      <c r="AE253" s="263"/>
      <c r="AF253" s="263"/>
      <c r="AG253" s="263"/>
      <c r="AH253" s="263"/>
      <c r="AI253" s="263"/>
      <c r="AJ253" s="263"/>
      <c r="AK253" s="263"/>
      <c r="AL253" s="263"/>
      <c r="AM253" s="242"/>
    </row>
    <row r="254" spans="1:39" ht="18" customHeight="1" x14ac:dyDescent="0.15">
      <c r="A254" s="240"/>
      <c r="B254" s="242"/>
      <c r="C254" s="240"/>
      <c r="D254" s="263"/>
      <c r="E254" s="242"/>
      <c r="F254" s="242"/>
      <c r="G254" s="242"/>
      <c r="L254" s="242"/>
      <c r="M254" s="240"/>
      <c r="N254" s="263"/>
      <c r="O254" s="263"/>
      <c r="P254" s="263"/>
      <c r="Q254" s="263"/>
      <c r="R254" s="263"/>
      <c r="S254" s="263"/>
      <c r="T254" s="263"/>
      <c r="U254" s="263"/>
      <c r="V254" s="263"/>
      <c r="W254" s="263"/>
      <c r="X254" s="263"/>
      <c r="Y254" s="263"/>
      <c r="Z254" s="263"/>
      <c r="AA254" s="263"/>
      <c r="AB254" s="263"/>
      <c r="AC254" s="263"/>
      <c r="AD254" s="263"/>
      <c r="AE254" s="263"/>
      <c r="AF254" s="263"/>
      <c r="AG254" s="263"/>
      <c r="AH254" s="263"/>
      <c r="AI254" s="263"/>
      <c r="AJ254" s="263"/>
      <c r="AK254" s="263"/>
      <c r="AL254" s="263"/>
      <c r="AM254" s="242"/>
    </row>
    <row r="255" spans="1:39" ht="18" customHeight="1" x14ac:dyDescent="0.15">
      <c r="A255" s="240"/>
      <c r="B255" s="242"/>
      <c r="C255" s="240"/>
      <c r="D255" s="263"/>
      <c r="E255" s="242"/>
      <c r="F255" s="242"/>
      <c r="G255" s="242"/>
      <c r="L255" s="242"/>
      <c r="M255" s="240"/>
      <c r="N255" s="263"/>
      <c r="O255" s="263"/>
      <c r="P255" s="263"/>
      <c r="Q255" s="263"/>
      <c r="R255" s="263"/>
      <c r="S255" s="263"/>
      <c r="T255" s="263"/>
      <c r="U255" s="263"/>
      <c r="V255" s="263"/>
      <c r="W255" s="263"/>
      <c r="X255" s="263"/>
      <c r="Y255" s="263"/>
      <c r="Z255" s="263"/>
      <c r="AA255" s="263"/>
      <c r="AB255" s="263"/>
      <c r="AC255" s="263"/>
      <c r="AD255" s="263"/>
      <c r="AE255" s="263"/>
      <c r="AF255" s="263"/>
      <c r="AG255" s="263"/>
      <c r="AH255" s="263"/>
      <c r="AI255" s="263"/>
      <c r="AJ255" s="263"/>
      <c r="AK255" s="263"/>
      <c r="AL255" s="263"/>
      <c r="AM255" s="242"/>
    </row>
    <row r="256" spans="1:39" ht="18" customHeight="1" x14ac:dyDescent="0.15">
      <c r="A256" s="240"/>
      <c r="B256" s="242"/>
      <c r="C256" s="240"/>
      <c r="D256" s="263"/>
      <c r="E256" s="242"/>
      <c r="F256" s="242"/>
      <c r="G256" s="242"/>
      <c r="L256" s="242"/>
      <c r="M256" s="240"/>
      <c r="N256" s="263"/>
      <c r="O256" s="263"/>
      <c r="P256" s="263"/>
      <c r="Q256" s="263"/>
      <c r="R256" s="263"/>
      <c r="S256" s="263"/>
      <c r="T256" s="263"/>
      <c r="U256" s="263"/>
      <c r="V256" s="263"/>
      <c r="W256" s="263"/>
      <c r="X256" s="263"/>
      <c r="Y256" s="263"/>
      <c r="Z256" s="263"/>
      <c r="AA256" s="263"/>
      <c r="AB256" s="263"/>
      <c r="AC256" s="263"/>
      <c r="AD256" s="263"/>
      <c r="AE256" s="263"/>
      <c r="AF256" s="263"/>
      <c r="AG256" s="263"/>
      <c r="AH256" s="263"/>
      <c r="AI256" s="263"/>
      <c r="AJ256" s="263"/>
      <c r="AK256" s="263"/>
      <c r="AL256" s="263"/>
      <c r="AM256" s="242"/>
    </row>
    <row r="257" spans="1:39" ht="18" customHeight="1" x14ac:dyDescent="0.15">
      <c r="A257" s="240"/>
      <c r="B257" s="242"/>
      <c r="C257" s="240"/>
      <c r="D257" s="263"/>
      <c r="E257" s="242"/>
      <c r="F257" s="242"/>
      <c r="G257" s="242"/>
      <c r="L257" s="242"/>
      <c r="M257" s="240"/>
      <c r="N257" s="263"/>
      <c r="O257" s="263"/>
      <c r="P257" s="263"/>
      <c r="Q257" s="263"/>
      <c r="R257" s="263"/>
      <c r="S257" s="263"/>
      <c r="T257" s="263"/>
      <c r="U257" s="263"/>
      <c r="V257" s="263"/>
      <c r="W257" s="263"/>
      <c r="X257" s="263"/>
      <c r="Y257" s="263"/>
      <c r="Z257" s="263"/>
      <c r="AA257" s="263"/>
      <c r="AB257" s="263"/>
      <c r="AC257" s="263"/>
      <c r="AD257" s="263"/>
      <c r="AE257" s="263"/>
      <c r="AF257" s="263"/>
      <c r="AG257" s="263"/>
      <c r="AH257" s="263"/>
      <c r="AI257" s="263"/>
      <c r="AJ257" s="263"/>
      <c r="AK257" s="263"/>
      <c r="AL257" s="263"/>
      <c r="AM257" s="242"/>
    </row>
    <row r="258" spans="1:39" ht="18" customHeight="1" x14ac:dyDescent="0.15">
      <c r="A258" s="240"/>
      <c r="B258" s="242"/>
      <c r="C258" s="240"/>
      <c r="D258" s="263"/>
      <c r="E258" s="242"/>
      <c r="F258" s="242"/>
      <c r="G258" s="242"/>
      <c r="L258" s="242"/>
      <c r="M258" s="240"/>
      <c r="N258" s="263"/>
      <c r="O258" s="263"/>
      <c r="P258" s="263"/>
      <c r="Q258" s="263"/>
      <c r="R258" s="263"/>
      <c r="S258" s="263"/>
      <c r="T258" s="263"/>
      <c r="U258" s="263"/>
      <c r="V258" s="263"/>
      <c r="W258" s="263"/>
      <c r="X258" s="263"/>
      <c r="Y258" s="263"/>
      <c r="Z258" s="263"/>
      <c r="AA258" s="263"/>
      <c r="AB258" s="263"/>
      <c r="AC258" s="263"/>
      <c r="AD258" s="263"/>
      <c r="AE258" s="263"/>
      <c r="AF258" s="263"/>
      <c r="AG258" s="263"/>
      <c r="AH258" s="263"/>
      <c r="AI258" s="263"/>
      <c r="AJ258" s="263"/>
      <c r="AK258" s="263"/>
      <c r="AL258" s="263"/>
      <c r="AM258" s="242"/>
    </row>
    <row r="259" spans="1:39" ht="18" customHeight="1" x14ac:dyDescent="0.15">
      <c r="A259" s="240"/>
      <c r="B259" s="242"/>
      <c r="C259" s="240"/>
      <c r="D259" s="263"/>
      <c r="E259" s="242"/>
      <c r="F259" s="242"/>
      <c r="G259" s="242"/>
      <c r="L259" s="242"/>
      <c r="M259" s="240"/>
      <c r="N259" s="263"/>
      <c r="O259" s="263"/>
      <c r="P259" s="263"/>
      <c r="Q259" s="263"/>
      <c r="R259" s="263"/>
      <c r="S259" s="263"/>
      <c r="T259" s="263"/>
      <c r="U259" s="263"/>
      <c r="V259" s="263"/>
      <c r="W259" s="263"/>
      <c r="X259" s="263"/>
      <c r="Y259" s="263"/>
      <c r="Z259" s="263"/>
      <c r="AA259" s="263"/>
      <c r="AB259" s="263"/>
      <c r="AC259" s="263"/>
      <c r="AD259" s="263"/>
      <c r="AE259" s="263"/>
      <c r="AF259" s="263"/>
      <c r="AG259" s="263"/>
      <c r="AH259" s="263"/>
      <c r="AI259" s="263"/>
      <c r="AJ259" s="263"/>
      <c r="AK259" s="263"/>
      <c r="AL259" s="263"/>
      <c r="AM259" s="242"/>
    </row>
    <row r="260" spans="1:39" ht="18" customHeight="1" x14ac:dyDescent="0.15">
      <c r="A260" s="240"/>
      <c r="B260" s="242"/>
      <c r="C260" s="240"/>
      <c r="D260" s="263"/>
      <c r="E260" s="242"/>
      <c r="F260" s="242"/>
      <c r="G260" s="242"/>
      <c r="L260" s="242"/>
      <c r="M260" s="240"/>
      <c r="N260" s="263"/>
      <c r="O260" s="263"/>
      <c r="P260" s="263"/>
      <c r="Q260" s="263"/>
      <c r="R260" s="263"/>
      <c r="S260" s="263"/>
      <c r="T260" s="263"/>
      <c r="U260" s="263"/>
      <c r="V260" s="263"/>
      <c r="W260" s="263"/>
      <c r="X260" s="263"/>
      <c r="Y260" s="263"/>
      <c r="Z260" s="263"/>
      <c r="AA260" s="263"/>
      <c r="AB260" s="263"/>
      <c r="AC260" s="263"/>
      <c r="AD260" s="263"/>
      <c r="AE260" s="263"/>
      <c r="AF260" s="263"/>
      <c r="AG260" s="263"/>
      <c r="AH260" s="263"/>
      <c r="AI260" s="263"/>
      <c r="AJ260" s="263"/>
      <c r="AK260" s="263"/>
      <c r="AL260" s="263"/>
      <c r="AM260" s="242"/>
    </row>
    <row r="261" spans="1:39" ht="18" customHeight="1" x14ac:dyDescent="0.15">
      <c r="A261" s="240"/>
      <c r="B261" s="242"/>
      <c r="C261" s="240"/>
      <c r="D261" s="263"/>
      <c r="E261" s="242"/>
      <c r="F261" s="242"/>
      <c r="G261" s="242"/>
      <c r="L261" s="242"/>
      <c r="M261" s="240"/>
      <c r="N261" s="263"/>
      <c r="O261" s="263"/>
      <c r="P261" s="263"/>
      <c r="Q261" s="263"/>
      <c r="R261" s="263"/>
      <c r="S261" s="263"/>
      <c r="T261" s="263"/>
      <c r="U261" s="263"/>
      <c r="V261" s="263"/>
      <c r="W261" s="263"/>
      <c r="X261" s="263"/>
      <c r="Y261" s="263"/>
      <c r="Z261" s="263"/>
      <c r="AA261" s="263"/>
      <c r="AB261" s="263"/>
      <c r="AC261" s="263"/>
      <c r="AD261" s="263"/>
      <c r="AE261" s="263"/>
      <c r="AF261" s="263"/>
      <c r="AG261" s="263"/>
      <c r="AH261" s="263"/>
      <c r="AI261" s="263"/>
      <c r="AJ261" s="263"/>
      <c r="AK261" s="263"/>
      <c r="AL261" s="263"/>
      <c r="AM261" s="242"/>
    </row>
    <row r="262" spans="1:39" ht="18" customHeight="1" x14ac:dyDescent="0.15">
      <c r="A262" s="240"/>
      <c r="B262" s="242"/>
      <c r="C262" s="240"/>
      <c r="D262" s="263"/>
      <c r="E262" s="242"/>
      <c r="F262" s="242"/>
      <c r="G262" s="242"/>
      <c r="L262" s="242"/>
      <c r="M262" s="240"/>
      <c r="N262" s="263"/>
      <c r="O262" s="263"/>
      <c r="P262" s="263"/>
      <c r="Q262" s="263"/>
      <c r="R262" s="263"/>
      <c r="S262" s="263"/>
      <c r="T262" s="263"/>
      <c r="U262" s="263"/>
      <c r="V262" s="263"/>
      <c r="W262" s="263"/>
      <c r="X262" s="263"/>
      <c r="Y262" s="263"/>
      <c r="Z262" s="263"/>
      <c r="AA262" s="263"/>
      <c r="AB262" s="263"/>
      <c r="AC262" s="263"/>
      <c r="AD262" s="263"/>
      <c r="AE262" s="263"/>
      <c r="AF262" s="263"/>
      <c r="AG262" s="263"/>
      <c r="AH262" s="263"/>
      <c r="AI262" s="263"/>
      <c r="AJ262" s="263"/>
      <c r="AK262" s="263"/>
      <c r="AL262" s="263"/>
      <c r="AM262" s="242"/>
    </row>
    <row r="263" spans="1:39" ht="18" customHeight="1" x14ac:dyDescent="0.15">
      <c r="A263" s="240"/>
      <c r="B263" s="242"/>
      <c r="C263" s="240"/>
      <c r="D263" s="263"/>
      <c r="E263" s="242"/>
      <c r="F263" s="242"/>
      <c r="G263" s="242"/>
      <c r="L263" s="242"/>
      <c r="M263" s="240"/>
      <c r="N263" s="263"/>
      <c r="O263" s="263"/>
      <c r="P263" s="263"/>
      <c r="Q263" s="263"/>
      <c r="R263" s="263"/>
      <c r="S263" s="263"/>
      <c r="T263" s="263"/>
      <c r="U263" s="263"/>
      <c r="V263" s="263"/>
      <c r="W263" s="263"/>
      <c r="X263" s="263"/>
      <c r="Y263" s="263"/>
      <c r="Z263" s="263"/>
      <c r="AA263" s="263"/>
      <c r="AB263" s="263"/>
      <c r="AC263" s="263"/>
      <c r="AD263" s="263"/>
      <c r="AE263" s="263"/>
      <c r="AF263" s="263"/>
      <c r="AG263" s="263"/>
      <c r="AH263" s="263"/>
      <c r="AI263" s="263"/>
      <c r="AJ263" s="263"/>
      <c r="AK263" s="263"/>
      <c r="AL263" s="263"/>
      <c r="AM263" s="242"/>
    </row>
    <row r="264" spans="1:39" ht="18" customHeight="1" x14ac:dyDescent="0.15">
      <c r="A264" s="240"/>
      <c r="B264" s="242"/>
      <c r="C264" s="240"/>
      <c r="D264" s="263"/>
      <c r="E264" s="242"/>
      <c r="F264" s="242"/>
      <c r="G264" s="242"/>
      <c r="L264" s="242"/>
      <c r="M264" s="240"/>
      <c r="N264" s="263"/>
      <c r="O264" s="263"/>
      <c r="P264" s="263"/>
      <c r="Q264" s="263"/>
      <c r="R264" s="263"/>
      <c r="S264" s="263"/>
      <c r="T264" s="263"/>
      <c r="U264" s="263"/>
      <c r="V264" s="263"/>
      <c r="W264" s="263"/>
      <c r="X264" s="263"/>
      <c r="Y264" s="263"/>
      <c r="Z264" s="263"/>
      <c r="AA264" s="263"/>
      <c r="AB264" s="263"/>
      <c r="AC264" s="263"/>
      <c r="AD264" s="263"/>
      <c r="AE264" s="263"/>
      <c r="AF264" s="263"/>
      <c r="AG264" s="263"/>
      <c r="AH264" s="263"/>
      <c r="AI264" s="263"/>
      <c r="AJ264" s="263"/>
      <c r="AK264" s="263"/>
      <c r="AL264" s="263"/>
      <c r="AM264" s="242"/>
    </row>
    <row r="265" spans="1:39" ht="18" customHeight="1" x14ac:dyDescent="0.15">
      <c r="A265" s="240"/>
      <c r="B265" s="242"/>
      <c r="C265" s="240"/>
      <c r="D265" s="263"/>
      <c r="E265" s="242"/>
      <c r="F265" s="242"/>
      <c r="G265" s="242"/>
      <c r="L265" s="242"/>
      <c r="M265" s="240"/>
      <c r="N265" s="263"/>
      <c r="O265" s="263"/>
      <c r="P265" s="263"/>
      <c r="Q265" s="263"/>
      <c r="R265" s="263"/>
      <c r="S265" s="263"/>
      <c r="T265" s="263"/>
      <c r="U265" s="263"/>
      <c r="V265" s="263"/>
      <c r="W265" s="263"/>
      <c r="X265" s="263"/>
      <c r="Y265" s="263"/>
      <c r="Z265" s="263"/>
      <c r="AA265" s="263"/>
      <c r="AB265" s="263"/>
      <c r="AC265" s="263"/>
      <c r="AD265" s="263"/>
      <c r="AE265" s="263"/>
      <c r="AF265" s="263"/>
      <c r="AG265" s="263"/>
      <c r="AH265" s="263"/>
      <c r="AI265" s="263"/>
      <c r="AJ265" s="263"/>
      <c r="AK265" s="263"/>
      <c r="AL265" s="263"/>
      <c r="AM265" s="242"/>
    </row>
    <row r="266" spans="1:39" ht="18" customHeight="1" x14ac:dyDescent="0.15">
      <c r="A266" s="240"/>
      <c r="B266" s="242"/>
      <c r="C266" s="240"/>
      <c r="D266" s="263"/>
      <c r="E266" s="242"/>
      <c r="F266" s="242"/>
      <c r="G266" s="242"/>
      <c r="L266" s="242"/>
      <c r="M266" s="240"/>
      <c r="N266" s="263"/>
      <c r="O266" s="263"/>
      <c r="P266" s="263"/>
      <c r="Q266" s="263"/>
      <c r="R266" s="263"/>
      <c r="S266" s="263"/>
      <c r="T266" s="263"/>
      <c r="U266" s="263"/>
      <c r="V266" s="263"/>
      <c r="W266" s="263"/>
      <c r="X266" s="263"/>
      <c r="Y266" s="263"/>
      <c r="Z266" s="263"/>
      <c r="AA266" s="263"/>
      <c r="AB266" s="263"/>
      <c r="AC266" s="263"/>
      <c r="AD266" s="263"/>
      <c r="AE266" s="263"/>
      <c r="AF266" s="263"/>
      <c r="AG266" s="263"/>
      <c r="AH266" s="263"/>
      <c r="AI266" s="263"/>
      <c r="AJ266" s="263"/>
      <c r="AK266" s="263"/>
      <c r="AL266" s="263"/>
      <c r="AM266" s="242"/>
    </row>
    <row r="267" spans="1:39" ht="18" customHeight="1" x14ac:dyDescent="0.15">
      <c r="A267" s="240"/>
      <c r="B267" s="242"/>
      <c r="C267" s="240"/>
      <c r="D267" s="263"/>
      <c r="E267" s="242"/>
      <c r="F267" s="242"/>
      <c r="G267" s="242"/>
      <c r="L267" s="242"/>
      <c r="M267" s="240"/>
      <c r="N267" s="263"/>
      <c r="O267" s="263"/>
      <c r="P267" s="263"/>
      <c r="Q267" s="263"/>
      <c r="R267" s="263"/>
      <c r="S267" s="263"/>
      <c r="T267" s="263"/>
      <c r="U267" s="263"/>
      <c r="V267" s="263"/>
      <c r="W267" s="263"/>
      <c r="X267" s="263"/>
      <c r="Y267" s="263"/>
      <c r="Z267" s="263"/>
      <c r="AA267" s="263"/>
      <c r="AB267" s="263"/>
      <c r="AC267" s="263"/>
      <c r="AD267" s="263"/>
      <c r="AE267" s="263"/>
      <c r="AF267" s="263"/>
      <c r="AG267" s="263"/>
      <c r="AH267" s="263"/>
      <c r="AI267" s="263"/>
      <c r="AJ267" s="263"/>
      <c r="AK267" s="263"/>
      <c r="AL267" s="263"/>
      <c r="AM267" s="242"/>
    </row>
    <row r="268" spans="1:39" ht="18" customHeight="1" x14ac:dyDescent="0.15">
      <c r="A268" s="240"/>
      <c r="B268" s="242"/>
      <c r="C268" s="240"/>
      <c r="D268" s="263"/>
      <c r="E268" s="242"/>
      <c r="F268" s="242"/>
      <c r="G268" s="242"/>
      <c r="L268" s="242"/>
      <c r="M268" s="240"/>
      <c r="N268" s="263"/>
      <c r="O268" s="263"/>
      <c r="P268" s="263"/>
      <c r="Q268" s="263"/>
      <c r="R268" s="263"/>
      <c r="S268" s="263"/>
      <c r="T268" s="263"/>
      <c r="U268" s="263"/>
      <c r="V268" s="263"/>
      <c r="W268" s="263"/>
      <c r="X268" s="263"/>
      <c r="Y268" s="263"/>
      <c r="Z268" s="263"/>
      <c r="AA268" s="263"/>
      <c r="AB268" s="263"/>
      <c r="AC268" s="263"/>
      <c r="AD268" s="263"/>
      <c r="AE268" s="263"/>
      <c r="AF268" s="263"/>
      <c r="AG268" s="263"/>
      <c r="AH268" s="263"/>
      <c r="AI268" s="263"/>
      <c r="AJ268" s="263"/>
      <c r="AK268" s="263"/>
      <c r="AL268" s="263"/>
      <c r="AM268" s="242"/>
    </row>
    <row r="269" spans="1:39" ht="18" customHeight="1" x14ac:dyDescent="0.15">
      <c r="A269" s="240"/>
      <c r="B269" s="242"/>
      <c r="C269" s="240"/>
      <c r="D269" s="263"/>
      <c r="E269" s="242"/>
      <c r="F269" s="242"/>
      <c r="G269" s="242"/>
      <c r="L269" s="242"/>
      <c r="M269" s="240"/>
      <c r="N269" s="263"/>
      <c r="O269" s="263"/>
      <c r="P269" s="263"/>
      <c r="Q269" s="263"/>
      <c r="R269" s="263"/>
      <c r="S269" s="263"/>
      <c r="T269" s="263"/>
      <c r="U269" s="263"/>
      <c r="V269" s="263"/>
      <c r="W269" s="263"/>
      <c r="X269" s="263"/>
      <c r="Y269" s="263"/>
      <c r="Z269" s="263"/>
      <c r="AA269" s="263"/>
      <c r="AB269" s="263"/>
      <c r="AC269" s="263"/>
      <c r="AD269" s="263"/>
      <c r="AE269" s="263"/>
      <c r="AF269" s="263"/>
      <c r="AG269" s="263"/>
      <c r="AH269" s="263"/>
      <c r="AI269" s="263"/>
      <c r="AJ269" s="263"/>
      <c r="AK269" s="263"/>
      <c r="AL269" s="263"/>
      <c r="AM269" s="242"/>
    </row>
    <row r="270" spans="1:39" ht="18" customHeight="1" x14ac:dyDescent="0.15">
      <c r="A270" s="240"/>
      <c r="B270" s="242"/>
      <c r="C270" s="240"/>
      <c r="D270" s="263"/>
      <c r="E270" s="242"/>
      <c r="F270" s="242"/>
      <c r="G270" s="242"/>
      <c r="L270" s="242"/>
      <c r="M270" s="240"/>
      <c r="N270" s="263"/>
      <c r="O270" s="263"/>
      <c r="P270" s="263"/>
      <c r="Q270" s="263"/>
      <c r="R270" s="263"/>
      <c r="S270" s="263"/>
      <c r="T270" s="263"/>
      <c r="U270" s="263"/>
      <c r="V270" s="263"/>
      <c r="W270" s="263"/>
      <c r="X270" s="263"/>
      <c r="Y270" s="263"/>
      <c r="Z270" s="263"/>
      <c r="AA270" s="263"/>
      <c r="AB270" s="263"/>
      <c r="AC270" s="263"/>
      <c r="AD270" s="263"/>
      <c r="AE270" s="263"/>
      <c r="AF270" s="263"/>
      <c r="AG270" s="263"/>
      <c r="AH270" s="263"/>
      <c r="AI270" s="263"/>
      <c r="AJ270" s="263"/>
      <c r="AK270" s="263"/>
      <c r="AL270" s="263"/>
      <c r="AM270" s="242"/>
    </row>
    <row r="271" spans="1:39" ht="18" customHeight="1" x14ac:dyDescent="0.15">
      <c r="A271" s="240"/>
      <c r="B271" s="242"/>
      <c r="C271" s="240"/>
      <c r="D271" s="263"/>
      <c r="E271" s="242"/>
      <c r="F271" s="242"/>
      <c r="G271" s="242"/>
      <c r="L271" s="242"/>
      <c r="M271" s="240"/>
      <c r="N271" s="263"/>
      <c r="O271" s="263"/>
      <c r="P271" s="263"/>
      <c r="Q271" s="263"/>
      <c r="R271" s="263"/>
      <c r="S271" s="263"/>
      <c r="T271" s="263"/>
      <c r="U271" s="263"/>
      <c r="V271" s="263"/>
      <c r="W271" s="263"/>
      <c r="X271" s="263"/>
      <c r="Y271" s="263"/>
      <c r="Z271" s="263"/>
      <c r="AA271" s="263"/>
      <c r="AB271" s="263"/>
      <c r="AC271" s="263"/>
      <c r="AD271" s="263"/>
      <c r="AE271" s="263"/>
      <c r="AF271" s="263"/>
      <c r="AG271" s="263"/>
      <c r="AH271" s="263"/>
      <c r="AI271" s="263"/>
      <c r="AJ271" s="263"/>
      <c r="AK271" s="263"/>
      <c r="AL271" s="263"/>
      <c r="AM271" s="242"/>
    </row>
    <row r="272" spans="1:39" ht="18" customHeight="1" x14ac:dyDescent="0.15">
      <c r="A272" s="240"/>
      <c r="B272" s="242"/>
      <c r="C272" s="240"/>
      <c r="D272" s="263"/>
      <c r="E272" s="242"/>
      <c r="F272" s="242"/>
      <c r="G272" s="242"/>
      <c r="L272" s="242"/>
      <c r="M272" s="240"/>
      <c r="N272" s="263"/>
      <c r="O272" s="263"/>
      <c r="P272" s="263"/>
      <c r="Q272" s="263"/>
      <c r="R272" s="263"/>
      <c r="S272" s="263"/>
      <c r="T272" s="263"/>
      <c r="U272" s="263"/>
      <c r="V272" s="263"/>
      <c r="W272" s="263"/>
      <c r="X272" s="263"/>
      <c r="Y272" s="263"/>
      <c r="Z272" s="263"/>
      <c r="AA272" s="263"/>
      <c r="AB272" s="263"/>
      <c r="AC272" s="263"/>
      <c r="AD272" s="263"/>
      <c r="AE272" s="263"/>
      <c r="AF272" s="263"/>
      <c r="AG272" s="263"/>
      <c r="AH272" s="263"/>
      <c r="AI272" s="263"/>
      <c r="AJ272" s="263"/>
      <c r="AK272" s="263"/>
      <c r="AL272" s="263"/>
      <c r="AM272" s="242"/>
    </row>
    <row r="273" spans="1:39" ht="18" customHeight="1" x14ac:dyDescent="0.15">
      <c r="A273" s="240"/>
      <c r="B273" s="242"/>
      <c r="C273" s="240"/>
      <c r="D273" s="263"/>
      <c r="E273" s="242"/>
      <c r="F273" s="242"/>
      <c r="G273" s="242"/>
      <c r="L273" s="242"/>
      <c r="M273" s="240"/>
      <c r="N273" s="263"/>
      <c r="O273" s="263"/>
      <c r="P273" s="263"/>
      <c r="Q273" s="263"/>
      <c r="R273" s="263"/>
      <c r="S273" s="263"/>
      <c r="T273" s="263"/>
      <c r="U273" s="263"/>
      <c r="V273" s="263"/>
      <c r="W273" s="263"/>
      <c r="X273" s="263"/>
      <c r="Y273" s="263"/>
      <c r="Z273" s="263"/>
      <c r="AA273" s="263"/>
      <c r="AB273" s="263"/>
      <c r="AC273" s="263"/>
      <c r="AD273" s="263"/>
      <c r="AE273" s="263"/>
      <c r="AF273" s="263"/>
      <c r="AG273" s="263"/>
      <c r="AH273" s="263"/>
      <c r="AI273" s="263"/>
      <c r="AJ273" s="263"/>
      <c r="AK273" s="263"/>
      <c r="AL273" s="263"/>
      <c r="AM273" s="242"/>
    </row>
    <row r="274" spans="1:39" ht="18" customHeight="1" x14ac:dyDescent="0.15">
      <c r="A274" s="240"/>
      <c r="B274" s="242"/>
      <c r="C274" s="240"/>
      <c r="D274" s="263"/>
      <c r="E274" s="242"/>
      <c r="F274" s="242"/>
      <c r="G274" s="242"/>
      <c r="L274" s="242"/>
      <c r="M274" s="240"/>
      <c r="N274" s="263"/>
      <c r="O274" s="263"/>
      <c r="P274" s="263"/>
      <c r="Q274" s="263"/>
      <c r="R274" s="263"/>
      <c r="S274" s="263"/>
      <c r="T274" s="263"/>
      <c r="U274" s="263"/>
      <c r="V274" s="263"/>
      <c r="W274" s="263"/>
      <c r="X274" s="263"/>
      <c r="Y274" s="263"/>
      <c r="Z274" s="263"/>
      <c r="AA274" s="263"/>
      <c r="AB274" s="263"/>
      <c r="AC274" s="263"/>
      <c r="AD274" s="263"/>
      <c r="AE274" s="263"/>
      <c r="AF274" s="263"/>
      <c r="AG274" s="263"/>
      <c r="AH274" s="263"/>
      <c r="AI274" s="263"/>
      <c r="AJ274" s="263"/>
      <c r="AK274" s="263"/>
      <c r="AL274" s="263"/>
      <c r="AM274" s="242"/>
    </row>
    <row r="275" spans="1:39" ht="18" customHeight="1" x14ac:dyDescent="0.15">
      <c r="A275" s="240"/>
      <c r="B275" s="242"/>
      <c r="C275" s="240"/>
      <c r="D275" s="263"/>
      <c r="E275" s="242"/>
      <c r="F275" s="242"/>
      <c r="G275" s="242"/>
      <c r="L275" s="242"/>
      <c r="M275" s="240"/>
      <c r="N275" s="263"/>
      <c r="O275" s="263"/>
      <c r="P275" s="263"/>
      <c r="Q275" s="263"/>
      <c r="R275" s="263"/>
      <c r="S275" s="263"/>
      <c r="T275" s="263"/>
      <c r="U275" s="263"/>
      <c r="V275" s="263"/>
      <c r="W275" s="263"/>
      <c r="X275" s="263"/>
      <c r="Y275" s="263"/>
      <c r="Z275" s="263"/>
      <c r="AA275" s="263"/>
      <c r="AB275" s="263"/>
      <c r="AC275" s="263"/>
      <c r="AD275" s="263"/>
      <c r="AE275" s="263"/>
      <c r="AF275" s="263"/>
      <c r="AG275" s="263"/>
      <c r="AH275" s="263"/>
      <c r="AI275" s="263"/>
      <c r="AJ275" s="263"/>
      <c r="AK275" s="263"/>
      <c r="AL275" s="263"/>
      <c r="AM275" s="242"/>
    </row>
    <row r="276" spans="1:39" ht="18" customHeight="1" x14ac:dyDescent="0.15">
      <c r="A276" s="240"/>
      <c r="B276" s="242"/>
      <c r="C276" s="240"/>
      <c r="D276" s="263"/>
      <c r="E276" s="242"/>
      <c r="F276" s="242"/>
      <c r="G276" s="242"/>
      <c r="L276" s="242"/>
      <c r="M276" s="240"/>
      <c r="N276" s="263"/>
      <c r="O276" s="263"/>
      <c r="P276" s="263"/>
      <c r="Q276" s="263"/>
      <c r="R276" s="263"/>
      <c r="S276" s="263"/>
      <c r="T276" s="263"/>
      <c r="U276" s="263"/>
      <c r="V276" s="263"/>
      <c r="W276" s="263"/>
      <c r="X276" s="263"/>
      <c r="Y276" s="263"/>
      <c r="Z276" s="263"/>
      <c r="AA276" s="263"/>
      <c r="AB276" s="263"/>
      <c r="AC276" s="263"/>
      <c r="AD276" s="263"/>
      <c r="AE276" s="263"/>
      <c r="AF276" s="263"/>
      <c r="AG276" s="263"/>
      <c r="AH276" s="263"/>
      <c r="AI276" s="263"/>
      <c r="AJ276" s="263"/>
      <c r="AK276" s="263"/>
      <c r="AL276" s="263"/>
      <c r="AM276" s="242"/>
    </row>
    <row r="277" spans="1:39" ht="18" customHeight="1" x14ac:dyDescent="0.15">
      <c r="A277" s="240"/>
      <c r="B277" s="242"/>
      <c r="C277" s="240"/>
      <c r="D277" s="263"/>
      <c r="E277" s="242"/>
      <c r="F277" s="242"/>
      <c r="G277" s="242"/>
      <c r="L277" s="242"/>
      <c r="M277" s="240"/>
      <c r="N277" s="263"/>
      <c r="O277" s="263"/>
      <c r="P277" s="263"/>
      <c r="Q277" s="263"/>
      <c r="R277" s="263"/>
      <c r="S277" s="263"/>
      <c r="T277" s="263"/>
      <c r="U277" s="263"/>
      <c r="V277" s="263"/>
      <c r="W277" s="263"/>
      <c r="X277" s="263"/>
      <c r="Y277" s="263"/>
      <c r="Z277" s="263"/>
      <c r="AA277" s="263"/>
      <c r="AB277" s="263"/>
      <c r="AC277" s="263"/>
      <c r="AD277" s="263"/>
      <c r="AE277" s="263"/>
      <c r="AF277" s="263"/>
      <c r="AG277" s="263"/>
      <c r="AH277" s="263"/>
      <c r="AI277" s="263"/>
      <c r="AJ277" s="263"/>
      <c r="AK277" s="263"/>
      <c r="AL277" s="263"/>
      <c r="AM277" s="242"/>
    </row>
    <row r="278" spans="1:39" ht="18" customHeight="1" x14ac:dyDescent="0.15">
      <c r="A278" s="240"/>
      <c r="B278" s="242"/>
      <c r="C278" s="240"/>
      <c r="D278" s="263"/>
      <c r="E278" s="242"/>
      <c r="F278" s="242"/>
      <c r="G278" s="242"/>
      <c r="L278" s="242"/>
      <c r="M278" s="240"/>
      <c r="N278" s="263"/>
      <c r="O278" s="263"/>
      <c r="P278" s="263"/>
      <c r="Q278" s="263"/>
      <c r="R278" s="263"/>
      <c r="S278" s="263"/>
      <c r="T278" s="263"/>
      <c r="U278" s="263"/>
      <c r="V278" s="263"/>
      <c r="W278" s="263"/>
      <c r="X278" s="263"/>
      <c r="Y278" s="263"/>
      <c r="Z278" s="263"/>
      <c r="AA278" s="263"/>
      <c r="AB278" s="263"/>
      <c r="AC278" s="263"/>
      <c r="AD278" s="263"/>
      <c r="AE278" s="263"/>
      <c r="AF278" s="263"/>
      <c r="AG278" s="263"/>
      <c r="AH278" s="263"/>
      <c r="AI278" s="263"/>
      <c r="AJ278" s="263"/>
      <c r="AK278" s="263"/>
      <c r="AL278" s="263"/>
      <c r="AM278" s="242"/>
    </row>
    <row r="279" spans="1:39" ht="18" customHeight="1" x14ac:dyDescent="0.15">
      <c r="A279" s="240"/>
      <c r="B279" s="242"/>
      <c r="C279" s="240"/>
      <c r="D279" s="263"/>
      <c r="E279" s="242"/>
      <c r="F279" s="242"/>
      <c r="G279" s="242"/>
      <c r="L279" s="242"/>
      <c r="M279" s="240"/>
      <c r="N279" s="263"/>
      <c r="O279" s="263"/>
      <c r="P279" s="263"/>
      <c r="Q279" s="263"/>
      <c r="R279" s="263"/>
      <c r="S279" s="263"/>
      <c r="T279" s="263"/>
      <c r="U279" s="263"/>
      <c r="V279" s="263"/>
      <c r="W279" s="263"/>
      <c r="X279" s="263"/>
      <c r="Y279" s="263"/>
      <c r="Z279" s="263"/>
      <c r="AA279" s="263"/>
      <c r="AB279" s="263"/>
      <c r="AC279" s="263"/>
      <c r="AD279" s="263"/>
      <c r="AE279" s="263"/>
      <c r="AF279" s="263"/>
      <c r="AG279" s="263"/>
      <c r="AH279" s="263"/>
      <c r="AI279" s="263"/>
      <c r="AJ279" s="263"/>
      <c r="AK279" s="263"/>
      <c r="AL279" s="263"/>
      <c r="AM279" s="242"/>
    </row>
    <row r="280" spans="1:39" ht="18" customHeight="1" x14ac:dyDescent="0.15">
      <c r="A280" s="240"/>
      <c r="B280" s="242"/>
      <c r="C280" s="240"/>
      <c r="D280" s="263"/>
      <c r="E280" s="242"/>
      <c r="F280" s="242"/>
      <c r="G280" s="242"/>
      <c r="L280" s="242"/>
      <c r="M280" s="240"/>
      <c r="N280" s="263"/>
      <c r="O280" s="263"/>
      <c r="P280" s="263"/>
      <c r="Q280" s="263"/>
      <c r="R280" s="263"/>
      <c r="S280" s="263"/>
      <c r="T280" s="263"/>
      <c r="U280" s="263"/>
      <c r="V280" s="263"/>
      <c r="W280" s="263"/>
      <c r="X280" s="263"/>
      <c r="Y280" s="263"/>
      <c r="Z280" s="263"/>
      <c r="AA280" s="263"/>
      <c r="AB280" s="263"/>
      <c r="AC280" s="263"/>
      <c r="AD280" s="263"/>
      <c r="AE280" s="263"/>
      <c r="AF280" s="263"/>
      <c r="AG280" s="263"/>
      <c r="AH280" s="263"/>
      <c r="AI280" s="263"/>
      <c r="AJ280" s="263"/>
      <c r="AK280" s="263"/>
      <c r="AL280" s="263"/>
      <c r="AM280" s="242"/>
    </row>
    <row r="281" spans="1:39" ht="18" customHeight="1" x14ac:dyDescent="0.15">
      <c r="A281" s="240"/>
      <c r="B281" s="242"/>
      <c r="C281" s="240"/>
      <c r="D281" s="263"/>
      <c r="E281" s="242"/>
      <c r="F281" s="242"/>
      <c r="G281" s="242"/>
      <c r="L281" s="242"/>
      <c r="M281" s="240"/>
      <c r="N281" s="263"/>
      <c r="O281" s="263"/>
      <c r="P281" s="263"/>
      <c r="Q281" s="263"/>
      <c r="R281" s="263"/>
      <c r="S281" s="263"/>
      <c r="T281" s="263"/>
      <c r="U281" s="263"/>
      <c r="V281" s="263"/>
      <c r="W281" s="263"/>
      <c r="X281" s="263"/>
      <c r="Y281" s="263"/>
      <c r="Z281" s="263"/>
      <c r="AA281" s="263"/>
      <c r="AB281" s="263"/>
      <c r="AC281" s="263"/>
      <c r="AD281" s="263"/>
      <c r="AE281" s="263"/>
      <c r="AF281" s="263"/>
      <c r="AG281" s="263"/>
      <c r="AH281" s="263"/>
      <c r="AI281" s="263"/>
      <c r="AJ281" s="263"/>
      <c r="AK281" s="263"/>
      <c r="AL281" s="263"/>
      <c r="AM281" s="242"/>
    </row>
    <row r="282" spans="1:39" ht="18" customHeight="1" x14ac:dyDescent="0.15">
      <c r="A282" s="240"/>
      <c r="B282" s="242"/>
      <c r="C282" s="240"/>
      <c r="D282" s="263"/>
      <c r="E282" s="242"/>
      <c r="F282" s="242"/>
      <c r="G282" s="242"/>
      <c r="L282" s="242"/>
      <c r="M282" s="240"/>
      <c r="N282" s="263"/>
      <c r="O282" s="263"/>
      <c r="P282" s="263"/>
      <c r="Q282" s="263"/>
      <c r="R282" s="263"/>
      <c r="S282" s="263"/>
      <c r="T282" s="263"/>
      <c r="U282" s="263"/>
      <c r="V282" s="263"/>
      <c r="W282" s="263"/>
      <c r="X282" s="263"/>
      <c r="Y282" s="263"/>
      <c r="Z282" s="263"/>
      <c r="AA282" s="263"/>
      <c r="AB282" s="263"/>
      <c r="AC282" s="263"/>
      <c r="AD282" s="263"/>
      <c r="AE282" s="263"/>
      <c r="AF282" s="263"/>
      <c r="AG282" s="263"/>
      <c r="AH282" s="263"/>
      <c r="AI282" s="263"/>
      <c r="AJ282" s="263"/>
      <c r="AK282" s="263"/>
      <c r="AL282" s="263"/>
      <c r="AM282" s="242"/>
    </row>
    <row r="283" spans="1:39" ht="18" customHeight="1" x14ac:dyDescent="0.15">
      <c r="A283" s="240"/>
      <c r="B283" s="242"/>
      <c r="C283" s="240"/>
      <c r="D283" s="263"/>
      <c r="E283" s="242"/>
      <c r="F283" s="242"/>
      <c r="G283" s="242"/>
      <c r="L283" s="242"/>
      <c r="M283" s="240"/>
      <c r="N283" s="263"/>
      <c r="O283" s="263"/>
      <c r="P283" s="263"/>
      <c r="Q283" s="263"/>
      <c r="R283" s="263"/>
      <c r="S283" s="263"/>
      <c r="T283" s="263"/>
      <c r="U283" s="263"/>
      <c r="V283" s="263"/>
      <c r="W283" s="263"/>
      <c r="X283" s="263"/>
      <c r="Y283" s="263"/>
      <c r="Z283" s="263"/>
      <c r="AA283" s="263"/>
      <c r="AB283" s="263"/>
      <c r="AC283" s="263"/>
      <c r="AD283" s="263"/>
      <c r="AE283" s="263"/>
      <c r="AF283" s="263"/>
      <c r="AG283" s="263"/>
      <c r="AH283" s="263"/>
      <c r="AI283" s="263"/>
      <c r="AJ283" s="263"/>
      <c r="AK283" s="263"/>
      <c r="AL283" s="263"/>
      <c r="AM283" s="242"/>
    </row>
    <row r="284" spans="1:39" ht="18" customHeight="1" x14ac:dyDescent="0.15">
      <c r="A284" s="240"/>
      <c r="B284" s="242"/>
      <c r="C284" s="240"/>
      <c r="D284" s="263"/>
      <c r="E284" s="242"/>
      <c r="F284" s="242"/>
      <c r="G284" s="242"/>
      <c r="L284" s="242"/>
      <c r="M284" s="240"/>
      <c r="N284" s="263"/>
      <c r="O284" s="263"/>
      <c r="P284" s="263"/>
      <c r="Q284" s="263"/>
      <c r="R284" s="263"/>
      <c r="S284" s="263"/>
      <c r="T284" s="263"/>
      <c r="U284" s="263"/>
      <c r="V284" s="263"/>
      <c r="W284" s="263"/>
      <c r="X284" s="263"/>
      <c r="Y284" s="263"/>
      <c r="Z284" s="263"/>
      <c r="AA284" s="263"/>
      <c r="AB284" s="263"/>
      <c r="AC284" s="263"/>
      <c r="AD284" s="263"/>
      <c r="AE284" s="263"/>
      <c r="AF284" s="263"/>
      <c r="AG284" s="263"/>
      <c r="AH284" s="263"/>
      <c r="AI284" s="263"/>
      <c r="AJ284" s="263"/>
      <c r="AK284" s="263"/>
      <c r="AL284" s="263"/>
      <c r="AM284" s="242"/>
    </row>
    <row r="285" spans="1:39" ht="18" customHeight="1" x14ac:dyDescent="0.15">
      <c r="A285" s="240"/>
      <c r="B285" s="242"/>
      <c r="C285" s="240"/>
      <c r="D285" s="263"/>
      <c r="E285" s="242"/>
      <c r="F285" s="242"/>
      <c r="G285" s="242"/>
      <c r="L285" s="242"/>
      <c r="M285" s="240"/>
      <c r="N285" s="263"/>
      <c r="O285" s="263"/>
      <c r="P285" s="263"/>
      <c r="Q285" s="263"/>
      <c r="R285" s="263"/>
      <c r="S285" s="263"/>
      <c r="T285" s="263"/>
      <c r="U285" s="263"/>
      <c r="V285" s="263"/>
      <c r="W285" s="263"/>
      <c r="X285" s="263"/>
      <c r="Y285" s="263"/>
      <c r="Z285" s="263"/>
      <c r="AA285" s="263"/>
      <c r="AB285" s="263"/>
      <c r="AC285" s="263"/>
      <c r="AD285" s="263"/>
      <c r="AE285" s="263"/>
      <c r="AF285" s="263"/>
      <c r="AG285" s="263"/>
      <c r="AH285" s="263"/>
      <c r="AI285" s="263"/>
      <c r="AJ285" s="263"/>
      <c r="AK285" s="263"/>
      <c r="AL285" s="263"/>
      <c r="AM285" s="242"/>
    </row>
    <row r="286" spans="1:39" ht="18" customHeight="1" x14ac:dyDescent="0.15">
      <c r="A286" s="240"/>
      <c r="B286" s="242"/>
      <c r="C286" s="240"/>
      <c r="D286" s="263"/>
      <c r="E286" s="242"/>
      <c r="F286" s="242"/>
      <c r="G286" s="242"/>
      <c r="L286" s="242"/>
      <c r="M286" s="240"/>
      <c r="N286" s="263"/>
      <c r="O286" s="263"/>
      <c r="P286" s="263"/>
      <c r="Q286" s="263"/>
      <c r="R286" s="263"/>
      <c r="S286" s="263"/>
      <c r="T286" s="263"/>
      <c r="U286" s="263"/>
      <c r="V286" s="263"/>
      <c r="W286" s="263"/>
      <c r="X286" s="263"/>
      <c r="Y286" s="263"/>
      <c r="Z286" s="263"/>
      <c r="AA286" s="263"/>
      <c r="AB286" s="263"/>
      <c r="AC286" s="263"/>
      <c r="AD286" s="263"/>
      <c r="AE286" s="263"/>
      <c r="AF286" s="263"/>
      <c r="AG286" s="263"/>
      <c r="AH286" s="263"/>
      <c r="AI286" s="263"/>
      <c r="AJ286" s="263"/>
      <c r="AK286" s="263"/>
      <c r="AL286" s="263"/>
      <c r="AM286" s="242"/>
    </row>
    <row r="287" spans="1:39" ht="18" customHeight="1" x14ac:dyDescent="0.15">
      <c r="A287" s="240"/>
      <c r="B287" s="242"/>
      <c r="C287" s="240"/>
      <c r="D287" s="263"/>
      <c r="E287" s="242"/>
      <c r="F287" s="242"/>
      <c r="G287" s="242"/>
      <c r="L287" s="242"/>
      <c r="M287" s="240"/>
      <c r="N287" s="263"/>
      <c r="O287" s="263"/>
      <c r="P287" s="263"/>
      <c r="Q287" s="263"/>
      <c r="R287" s="263"/>
      <c r="S287" s="263"/>
      <c r="T287" s="263"/>
      <c r="U287" s="263"/>
      <c r="V287" s="263"/>
      <c r="W287" s="263"/>
      <c r="X287" s="263"/>
      <c r="Y287" s="263"/>
      <c r="Z287" s="263"/>
      <c r="AA287" s="263"/>
      <c r="AB287" s="263"/>
      <c r="AC287" s="263"/>
      <c r="AD287" s="263"/>
      <c r="AE287" s="263"/>
      <c r="AF287" s="263"/>
      <c r="AG287" s="263"/>
      <c r="AH287" s="263"/>
      <c r="AI287" s="263"/>
      <c r="AJ287" s="263"/>
      <c r="AK287" s="263"/>
      <c r="AL287" s="263"/>
      <c r="AM287" s="242"/>
    </row>
    <row r="288" spans="1:39" ht="18" customHeight="1" x14ac:dyDescent="0.15">
      <c r="A288" s="240"/>
      <c r="B288" s="242"/>
      <c r="C288" s="240"/>
      <c r="D288" s="263"/>
      <c r="E288" s="242"/>
      <c r="F288" s="242"/>
      <c r="G288" s="242"/>
      <c r="L288" s="242"/>
      <c r="M288" s="240"/>
      <c r="N288" s="263"/>
      <c r="O288" s="263"/>
      <c r="P288" s="263"/>
      <c r="Q288" s="263"/>
      <c r="R288" s="263"/>
      <c r="S288" s="263"/>
      <c r="T288" s="263"/>
      <c r="U288" s="263"/>
      <c r="V288" s="263"/>
      <c r="W288" s="263"/>
      <c r="X288" s="263"/>
      <c r="Y288" s="263"/>
      <c r="Z288" s="263"/>
      <c r="AA288" s="263"/>
      <c r="AB288" s="263"/>
      <c r="AC288" s="263"/>
      <c r="AD288" s="263"/>
      <c r="AE288" s="263"/>
      <c r="AF288" s="263"/>
      <c r="AG288" s="263"/>
      <c r="AH288" s="263"/>
      <c r="AI288" s="263"/>
      <c r="AJ288" s="263"/>
      <c r="AK288" s="263"/>
      <c r="AL288" s="263"/>
      <c r="AM288" s="242"/>
    </row>
    <row r="289" spans="1:39" ht="18" customHeight="1" x14ac:dyDescent="0.15">
      <c r="A289" s="240"/>
      <c r="B289" s="242"/>
      <c r="C289" s="240"/>
      <c r="D289" s="263"/>
      <c r="E289" s="242"/>
      <c r="F289" s="242"/>
      <c r="G289" s="242"/>
      <c r="L289" s="242"/>
      <c r="M289" s="240"/>
      <c r="N289" s="263"/>
      <c r="O289" s="263"/>
      <c r="P289" s="263"/>
      <c r="Q289" s="263"/>
      <c r="R289" s="263"/>
      <c r="S289" s="263"/>
      <c r="T289" s="263"/>
      <c r="U289" s="263"/>
      <c r="V289" s="263"/>
      <c r="W289" s="263"/>
      <c r="X289" s="263"/>
      <c r="Y289" s="263"/>
      <c r="Z289" s="263"/>
      <c r="AA289" s="263"/>
      <c r="AB289" s="263"/>
      <c r="AC289" s="263"/>
      <c r="AD289" s="263"/>
      <c r="AE289" s="263"/>
      <c r="AF289" s="263"/>
      <c r="AG289" s="263"/>
      <c r="AH289" s="263"/>
      <c r="AI289" s="263"/>
      <c r="AJ289" s="263"/>
      <c r="AK289" s="263"/>
      <c r="AL289" s="263"/>
      <c r="AM289" s="242"/>
    </row>
    <row r="290" spans="1:39" ht="18" customHeight="1" x14ac:dyDescent="0.15">
      <c r="A290" s="240"/>
      <c r="B290" s="242"/>
      <c r="C290" s="240"/>
      <c r="D290" s="263"/>
      <c r="E290" s="242"/>
      <c r="F290" s="242"/>
      <c r="G290" s="242"/>
      <c r="L290" s="242"/>
      <c r="M290" s="240"/>
      <c r="N290" s="263"/>
      <c r="O290" s="263"/>
      <c r="P290" s="263"/>
      <c r="Q290" s="263"/>
      <c r="R290" s="263"/>
      <c r="S290" s="263"/>
      <c r="T290" s="263"/>
      <c r="U290" s="263"/>
      <c r="V290" s="263"/>
      <c r="W290" s="263"/>
      <c r="X290" s="263"/>
      <c r="Y290" s="263"/>
      <c r="Z290" s="263"/>
      <c r="AA290" s="263"/>
      <c r="AB290" s="263"/>
      <c r="AC290" s="263"/>
      <c r="AD290" s="263"/>
      <c r="AE290" s="263"/>
      <c r="AF290" s="263"/>
      <c r="AG290" s="263"/>
      <c r="AH290" s="263"/>
      <c r="AI290" s="263"/>
      <c r="AJ290" s="263"/>
      <c r="AK290" s="263"/>
      <c r="AL290" s="263"/>
      <c r="AM290" s="242"/>
    </row>
    <row r="291" spans="1:39" ht="18" customHeight="1" x14ac:dyDescent="0.15">
      <c r="A291" s="240"/>
      <c r="B291" s="242"/>
      <c r="C291" s="240"/>
      <c r="D291" s="263"/>
      <c r="E291" s="242"/>
      <c r="F291" s="242"/>
      <c r="G291" s="242"/>
      <c r="L291" s="242"/>
      <c r="M291" s="240"/>
      <c r="N291" s="263"/>
      <c r="O291" s="263"/>
      <c r="P291" s="263"/>
      <c r="Q291" s="263"/>
      <c r="R291" s="263"/>
      <c r="S291" s="263"/>
      <c r="T291" s="263"/>
      <c r="U291" s="263"/>
      <c r="V291" s="263"/>
      <c r="W291" s="263"/>
      <c r="X291" s="263"/>
      <c r="Y291" s="263"/>
      <c r="Z291" s="263"/>
      <c r="AA291" s="263"/>
      <c r="AB291" s="263"/>
      <c r="AC291" s="263"/>
      <c r="AD291" s="263"/>
      <c r="AE291" s="263"/>
      <c r="AF291" s="263"/>
      <c r="AG291" s="263"/>
      <c r="AH291" s="263"/>
      <c r="AI291" s="263"/>
      <c r="AJ291" s="263"/>
      <c r="AK291" s="263"/>
      <c r="AL291" s="263"/>
      <c r="AM291" s="242"/>
    </row>
    <row r="292" spans="1:39" ht="18" customHeight="1" x14ac:dyDescent="0.15">
      <c r="A292" s="240"/>
      <c r="B292" s="242"/>
      <c r="C292" s="240"/>
      <c r="D292" s="263"/>
      <c r="E292" s="242"/>
      <c r="F292" s="242"/>
      <c r="G292" s="242"/>
      <c r="L292" s="242"/>
      <c r="M292" s="240"/>
      <c r="N292" s="263"/>
      <c r="O292" s="263"/>
      <c r="P292" s="263"/>
      <c r="Q292" s="263"/>
      <c r="R292" s="263"/>
      <c r="S292" s="263"/>
      <c r="T292" s="263"/>
      <c r="U292" s="263"/>
      <c r="V292" s="263"/>
      <c r="W292" s="263"/>
      <c r="X292" s="263"/>
      <c r="Y292" s="263"/>
      <c r="Z292" s="263"/>
      <c r="AA292" s="263"/>
      <c r="AB292" s="263"/>
      <c r="AC292" s="263"/>
      <c r="AD292" s="263"/>
      <c r="AE292" s="263"/>
      <c r="AF292" s="263"/>
      <c r="AG292" s="263"/>
      <c r="AH292" s="263"/>
      <c r="AI292" s="263"/>
      <c r="AJ292" s="263"/>
      <c r="AK292" s="263"/>
      <c r="AL292" s="263"/>
      <c r="AM292" s="242"/>
    </row>
    <row r="293" spans="1:39" ht="18" customHeight="1" x14ac:dyDescent="0.15">
      <c r="A293" s="240"/>
      <c r="B293" s="242"/>
      <c r="C293" s="240"/>
      <c r="D293" s="263"/>
      <c r="E293" s="242"/>
      <c r="F293" s="242"/>
      <c r="G293" s="242"/>
      <c r="L293" s="242"/>
      <c r="M293" s="240"/>
      <c r="N293" s="263"/>
      <c r="O293" s="263"/>
      <c r="P293" s="263"/>
      <c r="Q293" s="263"/>
      <c r="R293" s="263"/>
      <c r="S293" s="263"/>
      <c r="T293" s="263"/>
      <c r="U293" s="263"/>
      <c r="V293" s="263"/>
      <c r="W293" s="263"/>
      <c r="X293" s="263"/>
      <c r="Y293" s="263"/>
      <c r="Z293" s="263"/>
      <c r="AA293" s="263"/>
      <c r="AB293" s="263"/>
      <c r="AC293" s="263"/>
      <c r="AD293" s="263"/>
      <c r="AE293" s="263"/>
      <c r="AF293" s="263"/>
      <c r="AG293" s="263"/>
      <c r="AH293" s="263"/>
      <c r="AI293" s="263"/>
      <c r="AJ293" s="263"/>
      <c r="AK293" s="263"/>
      <c r="AL293" s="263"/>
      <c r="AM293" s="242"/>
    </row>
    <row r="294" spans="1:39" ht="18" customHeight="1" x14ac:dyDescent="0.15">
      <c r="A294" s="240"/>
      <c r="B294" s="242"/>
      <c r="C294" s="240"/>
      <c r="D294" s="263"/>
      <c r="E294" s="242"/>
      <c r="F294" s="242"/>
      <c r="G294" s="242"/>
      <c r="L294" s="242"/>
      <c r="M294" s="240"/>
      <c r="N294" s="263"/>
      <c r="O294" s="263"/>
      <c r="P294" s="263"/>
      <c r="Q294" s="263"/>
      <c r="R294" s="263"/>
      <c r="S294" s="263"/>
      <c r="T294" s="263"/>
      <c r="U294" s="263"/>
      <c r="V294" s="263"/>
      <c r="W294" s="263"/>
      <c r="X294" s="263"/>
      <c r="Y294" s="263"/>
      <c r="Z294" s="263"/>
      <c r="AA294" s="263"/>
      <c r="AB294" s="263"/>
      <c r="AC294" s="263"/>
      <c r="AD294" s="263"/>
      <c r="AE294" s="263"/>
      <c r="AF294" s="263"/>
      <c r="AG294" s="263"/>
      <c r="AH294" s="263"/>
      <c r="AI294" s="263"/>
      <c r="AJ294" s="263"/>
      <c r="AK294" s="263"/>
      <c r="AL294" s="263"/>
      <c r="AM294" s="242"/>
    </row>
    <row r="295" spans="1:39" ht="18" customHeight="1" x14ac:dyDescent="0.15">
      <c r="A295" s="240"/>
      <c r="B295" s="242"/>
      <c r="C295" s="240"/>
      <c r="D295" s="263"/>
      <c r="E295" s="242"/>
      <c r="F295" s="242"/>
      <c r="G295" s="242"/>
      <c r="L295" s="242"/>
      <c r="M295" s="240"/>
      <c r="N295" s="263"/>
      <c r="O295" s="263"/>
      <c r="P295" s="263"/>
      <c r="Q295" s="263"/>
      <c r="R295" s="263"/>
      <c r="S295" s="263"/>
      <c r="T295" s="263"/>
      <c r="U295" s="263"/>
      <c r="V295" s="263"/>
      <c r="W295" s="263"/>
      <c r="X295" s="263"/>
      <c r="Y295" s="263"/>
      <c r="Z295" s="263"/>
      <c r="AA295" s="263"/>
      <c r="AB295" s="263"/>
      <c r="AC295" s="263"/>
      <c r="AD295" s="263"/>
      <c r="AE295" s="263"/>
      <c r="AF295" s="263"/>
      <c r="AG295" s="263"/>
      <c r="AH295" s="263"/>
      <c r="AI295" s="263"/>
      <c r="AJ295" s="263"/>
      <c r="AK295" s="263"/>
      <c r="AL295" s="263"/>
      <c r="AM295" s="242"/>
    </row>
    <row r="296" spans="1:39" ht="18" customHeight="1" x14ac:dyDescent="0.15">
      <c r="A296" s="240"/>
      <c r="B296" s="242"/>
      <c r="C296" s="240"/>
      <c r="D296" s="263"/>
      <c r="E296" s="242"/>
      <c r="F296" s="242"/>
      <c r="G296" s="242"/>
      <c r="L296" s="242"/>
      <c r="M296" s="240"/>
      <c r="N296" s="263"/>
      <c r="O296" s="263"/>
      <c r="P296" s="263"/>
      <c r="Q296" s="263"/>
      <c r="R296" s="263"/>
      <c r="S296" s="263"/>
      <c r="T296" s="263"/>
      <c r="U296" s="263"/>
      <c r="V296" s="263"/>
      <c r="W296" s="263"/>
      <c r="X296" s="263"/>
      <c r="Y296" s="263"/>
      <c r="Z296" s="263"/>
      <c r="AA296" s="263"/>
      <c r="AB296" s="263"/>
      <c r="AC296" s="263"/>
      <c r="AD296" s="263"/>
      <c r="AE296" s="263"/>
      <c r="AF296" s="263"/>
      <c r="AG296" s="263"/>
      <c r="AH296" s="263"/>
      <c r="AI296" s="263"/>
      <c r="AJ296" s="263"/>
      <c r="AK296" s="263"/>
      <c r="AL296" s="263"/>
      <c r="AM296" s="242"/>
    </row>
    <row r="297" spans="1:39" ht="18" customHeight="1" x14ac:dyDescent="0.15">
      <c r="A297" s="240"/>
      <c r="B297" s="242"/>
      <c r="C297" s="240"/>
      <c r="D297" s="263"/>
      <c r="E297" s="242"/>
      <c r="F297" s="242"/>
      <c r="G297" s="242"/>
      <c r="L297" s="242"/>
      <c r="M297" s="240"/>
      <c r="N297" s="263"/>
      <c r="O297" s="263"/>
      <c r="P297" s="263"/>
      <c r="Q297" s="263"/>
      <c r="R297" s="263"/>
      <c r="S297" s="263"/>
      <c r="T297" s="263"/>
      <c r="U297" s="263"/>
      <c r="V297" s="263"/>
      <c r="W297" s="263"/>
      <c r="X297" s="263"/>
      <c r="Y297" s="263"/>
      <c r="Z297" s="263"/>
      <c r="AA297" s="263"/>
      <c r="AB297" s="263"/>
      <c r="AC297" s="263"/>
      <c r="AD297" s="263"/>
      <c r="AE297" s="263"/>
      <c r="AF297" s="263"/>
      <c r="AG297" s="263"/>
      <c r="AH297" s="263"/>
      <c r="AI297" s="263"/>
      <c r="AJ297" s="263"/>
      <c r="AK297" s="263"/>
      <c r="AL297" s="263"/>
      <c r="AM297" s="242"/>
    </row>
    <row r="298" spans="1:39" ht="18" customHeight="1" x14ac:dyDescent="0.15">
      <c r="A298" s="240"/>
      <c r="B298" s="242"/>
      <c r="C298" s="240"/>
      <c r="D298" s="263"/>
      <c r="E298" s="242"/>
      <c r="F298" s="242"/>
      <c r="G298" s="242"/>
      <c r="L298" s="242"/>
      <c r="M298" s="240"/>
      <c r="N298" s="263"/>
      <c r="O298" s="263"/>
      <c r="P298" s="263"/>
      <c r="Q298" s="263"/>
      <c r="R298" s="263"/>
      <c r="S298" s="263"/>
      <c r="T298" s="263"/>
      <c r="U298" s="263"/>
      <c r="V298" s="263"/>
      <c r="W298" s="263"/>
      <c r="X298" s="263"/>
      <c r="Y298" s="263"/>
      <c r="Z298" s="263"/>
      <c r="AA298" s="263"/>
      <c r="AB298" s="263"/>
      <c r="AC298" s="263"/>
      <c r="AD298" s="263"/>
      <c r="AE298" s="263"/>
      <c r="AF298" s="263"/>
      <c r="AG298" s="263"/>
      <c r="AH298" s="263"/>
      <c r="AI298" s="263"/>
      <c r="AJ298" s="263"/>
      <c r="AK298" s="263"/>
      <c r="AL298" s="263"/>
      <c r="AM298" s="242"/>
    </row>
    <row r="299" spans="1:39" ht="18" customHeight="1" x14ac:dyDescent="0.15">
      <c r="A299" s="240"/>
      <c r="B299" s="242"/>
      <c r="C299" s="240"/>
      <c r="D299" s="263"/>
      <c r="E299" s="242"/>
      <c r="F299" s="242"/>
      <c r="G299" s="242"/>
      <c r="L299" s="242"/>
      <c r="M299" s="240"/>
      <c r="N299" s="263"/>
      <c r="O299" s="263"/>
      <c r="P299" s="263"/>
      <c r="Q299" s="263"/>
      <c r="R299" s="263"/>
      <c r="S299" s="263"/>
      <c r="T299" s="263"/>
      <c r="U299" s="263"/>
      <c r="V299" s="263"/>
      <c r="W299" s="263"/>
      <c r="X299" s="263"/>
      <c r="Y299" s="263"/>
      <c r="Z299" s="263"/>
      <c r="AA299" s="263"/>
      <c r="AB299" s="263"/>
      <c r="AC299" s="263"/>
      <c r="AD299" s="263"/>
      <c r="AE299" s="263"/>
      <c r="AF299" s="263"/>
      <c r="AG299" s="263"/>
      <c r="AH299" s="263"/>
      <c r="AI299" s="263"/>
      <c r="AJ299" s="263"/>
      <c r="AK299" s="263"/>
      <c r="AL299" s="263"/>
      <c r="AM299" s="242"/>
    </row>
    <row r="300" spans="1:39" ht="18" customHeight="1" x14ac:dyDescent="0.15">
      <c r="A300" s="240"/>
      <c r="B300" s="242"/>
      <c r="C300" s="240"/>
      <c r="D300" s="263"/>
      <c r="E300" s="242"/>
      <c r="F300" s="242"/>
      <c r="G300" s="242"/>
      <c r="L300" s="242"/>
      <c r="M300" s="240"/>
      <c r="N300" s="263"/>
      <c r="O300" s="263"/>
      <c r="P300" s="263"/>
      <c r="Q300" s="263"/>
      <c r="R300" s="263"/>
      <c r="S300" s="263"/>
      <c r="T300" s="263"/>
      <c r="U300" s="263"/>
      <c r="V300" s="263"/>
      <c r="W300" s="263"/>
      <c r="X300" s="263"/>
      <c r="Y300" s="263"/>
      <c r="Z300" s="263"/>
      <c r="AA300" s="263"/>
      <c r="AB300" s="263"/>
      <c r="AC300" s="263"/>
      <c r="AD300" s="263"/>
      <c r="AE300" s="263"/>
      <c r="AF300" s="263"/>
      <c r="AG300" s="263"/>
      <c r="AH300" s="263"/>
      <c r="AI300" s="263"/>
      <c r="AJ300" s="263"/>
      <c r="AK300" s="263"/>
      <c r="AL300" s="263"/>
      <c r="AM300" s="242"/>
    </row>
    <row r="301" spans="1:39" ht="18" customHeight="1" x14ac:dyDescent="0.15">
      <c r="A301" s="240"/>
      <c r="B301" s="242"/>
      <c r="C301" s="240"/>
      <c r="D301" s="263"/>
      <c r="E301" s="242"/>
      <c r="F301" s="242"/>
      <c r="G301" s="242"/>
      <c r="L301" s="242"/>
      <c r="M301" s="240"/>
      <c r="N301" s="263"/>
      <c r="O301" s="263"/>
      <c r="P301" s="263"/>
      <c r="Q301" s="263"/>
      <c r="R301" s="263"/>
      <c r="S301" s="263"/>
      <c r="T301" s="263"/>
      <c r="U301" s="263"/>
      <c r="V301" s="263"/>
      <c r="W301" s="263"/>
      <c r="X301" s="263"/>
      <c r="Y301" s="263"/>
      <c r="Z301" s="263"/>
      <c r="AA301" s="263"/>
      <c r="AB301" s="263"/>
      <c r="AC301" s="263"/>
      <c r="AD301" s="263"/>
      <c r="AE301" s="263"/>
      <c r="AF301" s="263"/>
      <c r="AG301" s="263"/>
      <c r="AH301" s="263"/>
      <c r="AI301" s="263"/>
      <c r="AJ301" s="263"/>
      <c r="AK301" s="263"/>
      <c r="AL301" s="263"/>
      <c r="AM301" s="242"/>
    </row>
    <row r="302" spans="1:39" ht="18" customHeight="1" x14ac:dyDescent="0.15">
      <c r="A302" s="240"/>
      <c r="B302" s="242"/>
      <c r="C302" s="240"/>
      <c r="D302" s="263"/>
      <c r="E302" s="242"/>
      <c r="F302" s="242"/>
      <c r="G302" s="242"/>
      <c r="L302" s="242"/>
      <c r="M302" s="240"/>
      <c r="N302" s="263"/>
      <c r="O302" s="263"/>
      <c r="P302" s="263"/>
      <c r="Q302" s="263"/>
      <c r="R302" s="263"/>
      <c r="S302" s="263"/>
      <c r="T302" s="263"/>
      <c r="U302" s="263"/>
      <c r="V302" s="263"/>
      <c r="W302" s="263"/>
      <c r="X302" s="263"/>
      <c r="Y302" s="263"/>
      <c r="Z302" s="263"/>
      <c r="AA302" s="263"/>
      <c r="AB302" s="263"/>
      <c r="AC302" s="263"/>
      <c r="AD302" s="263"/>
      <c r="AE302" s="263"/>
      <c r="AF302" s="263"/>
      <c r="AG302" s="263"/>
      <c r="AH302" s="263"/>
      <c r="AI302" s="263"/>
      <c r="AJ302" s="263"/>
      <c r="AK302" s="263"/>
      <c r="AL302" s="263"/>
      <c r="AM302" s="242"/>
    </row>
    <row r="303" spans="1:39" ht="18" customHeight="1" x14ac:dyDescent="0.15">
      <c r="A303" s="240"/>
      <c r="B303" s="242"/>
      <c r="C303" s="240"/>
      <c r="D303" s="263"/>
      <c r="E303" s="242"/>
      <c r="F303" s="242"/>
      <c r="G303" s="242"/>
      <c r="L303" s="242"/>
      <c r="M303" s="240"/>
      <c r="N303" s="263"/>
      <c r="O303" s="263"/>
      <c r="P303" s="263"/>
      <c r="Q303" s="263"/>
      <c r="R303" s="263"/>
      <c r="S303" s="263"/>
      <c r="T303" s="263"/>
      <c r="U303" s="263"/>
      <c r="V303" s="263"/>
      <c r="W303" s="263"/>
      <c r="X303" s="263"/>
      <c r="Y303" s="263"/>
      <c r="Z303" s="263"/>
      <c r="AA303" s="263"/>
      <c r="AB303" s="263"/>
      <c r="AC303" s="263"/>
      <c r="AD303" s="263"/>
      <c r="AE303" s="263"/>
      <c r="AF303" s="263"/>
      <c r="AG303" s="263"/>
      <c r="AH303" s="263"/>
      <c r="AI303" s="263"/>
      <c r="AJ303" s="263"/>
      <c r="AK303" s="263"/>
      <c r="AL303" s="263"/>
      <c r="AM303" s="242"/>
    </row>
    <row r="304" spans="1:39" ht="18" customHeight="1" x14ac:dyDescent="0.15">
      <c r="A304" s="240"/>
      <c r="B304" s="242"/>
      <c r="C304" s="240"/>
      <c r="D304" s="263"/>
      <c r="E304" s="242"/>
      <c r="F304" s="242"/>
      <c r="G304" s="242"/>
      <c r="L304" s="242"/>
      <c r="M304" s="240"/>
      <c r="N304" s="263"/>
      <c r="O304" s="263"/>
      <c r="P304" s="263"/>
      <c r="Q304" s="263"/>
      <c r="R304" s="263"/>
      <c r="S304" s="263"/>
      <c r="T304" s="263"/>
      <c r="U304" s="263"/>
      <c r="V304" s="263"/>
      <c r="W304" s="263"/>
      <c r="X304" s="263"/>
      <c r="Y304" s="263"/>
      <c r="Z304" s="263"/>
      <c r="AA304" s="263"/>
      <c r="AB304" s="263"/>
      <c r="AC304" s="263"/>
      <c r="AD304" s="263"/>
      <c r="AE304" s="263"/>
      <c r="AF304" s="263"/>
      <c r="AG304" s="263"/>
      <c r="AH304" s="263"/>
      <c r="AI304" s="263"/>
      <c r="AJ304" s="263"/>
      <c r="AK304" s="263"/>
      <c r="AL304" s="263"/>
      <c r="AM304" s="242"/>
    </row>
    <row r="305" spans="1:39" ht="18" customHeight="1" x14ac:dyDescent="0.15">
      <c r="A305" s="240"/>
      <c r="B305" s="242"/>
      <c r="C305" s="240"/>
      <c r="D305" s="263"/>
      <c r="E305" s="242"/>
      <c r="F305" s="242"/>
      <c r="G305" s="242"/>
      <c r="L305" s="242"/>
      <c r="M305" s="240"/>
      <c r="N305" s="263"/>
      <c r="O305" s="263"/>
      <c r="P305" s="263"/>
      <c r="Q305" s="263"/>
      <c r="R305" s="263"/>
      <c r="S305" s="263"/>
      <c r="T305" s="263"/>
      <c r="U305" s="263"/>
      <c r="V305" s="263"/>
      <c r="W305" s="263"/>
      <c r="X305" s="263"/>
      <c r="Y305" s="263"/>
      <c r="Z305" s="263"/>
      <c r="AA305" s="263"/>
      <c r="AB305" s="263"/>
      <c r="AC305" s="263"/>
      <c r="AD305" s="263"/>
      <c r="AE305" s="263"/>
      <c r="AF305" s="263"/>
      <c r="AG305" s="263"/>
      <c r="AH305" s="263"/>
      <c r="AI305" s="263"/>
      <c r="AJ305" s="263"/>
      <c r="AK305" s="263"/>
      <c r="AL305" s="263"/>
      <c r="AM305" s="242"/>
    </row>
    <row r="306" spans="1:39" ht="18" customHeight="1" x14ac:dyDescent="0.15">
      <c r="A306" s="240"/>
      <c r="B306" s="242"/>
      <c r="C306" s="240"/>
      <c r="D306" s="263"/>
      <c r="E306" s="242"/>
      <c r="F306" s="242"/>
      <c r="G306" s="242"/>
      <c r="L306" s="242"/>
      <c r="M306" s="240"/>
      <c r="N306" s="263"/>
      <c r="O306" s="263"/>
      <c r="P306" s="263"/>
      <c r="Q306" s="263"/>
      <c r="R306" s="263"/>
      <c r="S306" s="263"/>
      <c r="T306" s="263"/>
      <c r="U306" s="263"/>
      <c r="V306" s="263"/>
      <c r="W306" s="263"/>
      <c r="X306" s="263"/>
      <c r="Y306" s="263"/>
      <c r="Z306" s="263"/>
      <c r="AA306" s="263"/>
      <c r="AB306" s="263"/>
      <c r="AC306" s="263"/>
      <c r="AD306" s="263"/>
      <c r="AE306" s="263"/>
      <c r="AF306" s="263"/>
      <c r="AG306" s="263"/>
      <c r="AH306" s="263"/>
      <c r="AI306" s="263"/>
      <c r="AJ306" s="263"/>
      <c r="AK306" s="263"/>
      <c r="AL306" s="263"/>
      <c r="AM306" s="242"/>
    </row>
    <row r="307" spans="1:39" ht="18" customHeight="1" x14ac:dyDescent="0.15">
      <c r="A307" s="240"/>
      <c r="B307" s="242"/>
      <c r="C307" s="240"/>
      <c r="D307" s="263"/>
      <c r="E307" s="242"/>
      <c r="F307" s="242"/>
      <c r="G307" s="242"/>
      <c r="L307" s="242"/>
      <c r="M307" s="240"/>
      <c r="N307" s="263"/>
      <c r="O307" s="263"/>
      <c r="P307" s="263"/>
      <c r="Q307" s="263"/>
      <c r="R307" s="263"/>
      <c r="S307" s="263"/>
      <c r="T307" s="263"/>
      <c r="U307" s="263"/>
      <c r="V307" s="263"/>
      <c r="W307" s="263"/>
      <c r="X307" s="263"/>
      <c r="Y307" s="263"/>
      <c r="Z307" s="263"/>
      <c r="AA307" s="263"/>
      <c r="AB307" s="263"/>
      <c r="AC307" s="263"/>
      <c r="AD307" s="263"/>
      <c r="AE307" s="263"/>
      <c r="AF307" s="263"/>
      <c r="AG307" s="263"/>
      <c r="AH307" s="263"/>
      <c r="AI307" s="263"/>
      <c r="AJ307" s="263"/>
      <c r="AK307" s="263"/>
      <c r="AL307" s="263"/>
      <c r="AM307" s="242"/>
    </row>
    <row r="308" spans="1:39" ht="18" customHeight="1" x14ac:dyDescent="0.15">
      <c r="A308" s="240"/>
      <c r="B308" s="242"/>
      <c r="C308" s="240"/>
      <c r="D308" s="263"/>
      <c r="E308" s="242"/>
      <c r="F308" s="242"/>
      <c r="G308" s="242"/>
      <c r="L308" s="242"/>
      <c r="M308" s="240"/>
      <c r="N308" s="263"/>
      <c r="O308" s="263"/>
      <c r="P308" s="263"/>
      <c r="Q308" s="263"/>
      <c r="R308" s="263"/>
      <c r="S308" s="263"/>
      <c r="T308" s="263"/>
      <c r="U308" s="263"/>
      <c r="V308" s="263"/>
      <c r="W308" s="263"/>
      <c r="X308" s="263"/>
      <c r="Y308" s="263"/>
      <c r="Z308" s="263"/>
      <c r="AA308" s="263"/>
      <c r="AB308" s="263"/>
      <c r="AC308" s="263"/>
      <c r="AD308" s="263"/>
      <c r="AE308" s="263"/>
      <c r="AF308" s="263"/>
      <c r="AG308" s="263"/>
      <c r="AH308" s="263"/>
      <c r="AI308" s="263"/>
      <c r="AJ308" s="263"/>
      <c r="AK308" s="263"/>
      <c r="AL308" s="263"/>
      <c r="AM308" s="242"/>
    </row>
    <row r="309" spans="1:39" ht="18" customHeight="1" x14ac:dyDescent="0.15">
      <c r="A309" s="240"/>
      <c r="B309" s="242"/>
      <c r="C309" s="240"/>
      <c r="D309" s="263"/>
      <c r="E309" s="242"/>
      <c r="F309" s="242"/>
      <c r="G309" s="242"/>
      <c r="L309" s="242"/>
      <c r="M309" s="240"/>
      <c r="N309" s="263"/>
      <c r="O309" s="263"/>
      <c r="P309" s="263"/>
      <c r="Q309" s="263"/>
      <c r="R309" s="263"/>
      <c r="S309" s="263"/>
      <c r="T309" s="263"/>
      <c r="U309" s="263"/>
      <c r="V309" s="263"/>
      <c r="W309" s="263"/>
      <c r="X309" s="263"/>
      <c r="Y309" s="263"/>
      <c r="Z309" s="263"/>
      <c r="AA309" s="263"/>
      <c r="AB309" s="263"/>
      <c r="AC309" s="263"/>
      <c r="AD309" s="263"/>
      <c r="AE309" s="263"/>
      <c r="AF309" s="263"/>
      <c r="AG309" s="263"/>
      <c r="AH309" s="263"/>
      <c r="AI309" s="263"/>
      <c r="AJ309" s="263"/>
      <c r="AK309" s="263"/>
      <c r="AL309" s="263"/>
      <c r="AM309" s="242"/>
    </row>
    <row r="310" spans="1:39" ht="18" customHeight="1" x14ac:dyDescent="0.15">
      <c r="A310" s="240"/>
      <c r="B310" s="242"/>
      <c r="C310" s="240"/>
      <c r="D310" s="263"/>
      <c r="E310" s="242"/>
      <c r="F310" s="242"/>
      <c r="G310" s="242"/>
      <c r="L310" s="242"/>
      <c r="M310" s="240"/>
      <c r="N310" s="263"/>
      <c r="O310" s="263"/>
      <c r="P310" s="263"/>
      <c r="Q310" s="263"/>
      <c r="R310" s="263"/>
      <c r="S310" s="263"/>
      <c r="T310" s="263"/>
      <c r="U310" s="263"/>
      <c r="V310" s="263"/>
      <c r="W310" s="263"/>
      <c r="X310" s="263"/>
      <c r="Y310" s="263"/>
      <c r="Z310" s="263"/>
      <c r="AA310" s="263"/>
      <c r="AB310" s="263"/>
      <c r="AC310" s="263"/>
      <c r="AD310" s="263"/>
      <c r="AE310" s="263"/>
      <c r="AF310" s="263"/>
      <c r="AG310" s="263"/>
      <c r="AH310" s="263"/>
      <c r="AI310" s="263"/>
      <c r="AJ310" s="263"/>
      <c r="AK310" s="263"/>
      <c r="AL310" s="263"/>
      <c r="AM310" s="242"/>
    </row>
    <row r="311" spans="1:39" ht="18" customHeight="1" x14ac:dyDescent="0.15">
      <c r="A311" s="240"/>
      <c r="B311" s="242"/>
      <c r="C311" s="240"/>
      <c r="D311" s="263"/>
      <c r="E311" s="242"/>
      <c r="F311" s="242"/>
      <c r="G311" s="242"/>
      <c r="L311" s="242"/>
      <c r="M311" s="240"/>
      <c r="N311" s="263"/>
      <c r="O311" s="263"/>
      <c r="P311" s="263"/>
      <c r="Q311" s="263"/>
      <c r="R311" s="263"/>
      <c r="S311" s="263"/>
      <c r="T311" s="263"/>
      <c r="U311" s="263"/>
      <c r="V311" s="263"/>
      <c r="W311" s="263"/>
      <c r="X311" s="263"/>
      <c r="Y311" s="263"/>
      <c r="Z311" s="263"/>
      <c r="AA311" s="263"/>
      <c r="AB311" s="263"/>
      <c r="AC311" s="263"/>
      <c r="AD311" s="263"/>
      <c r="AE311" s="263"/>
      <c r="AF311" s="263"/>
      <c r="AG311" s="263"/>
      <c r="AH311" s="263"/>
      <c r="AI311" s="263"/>
      <c r="AJ311" s="263"/>
      <c r="AK311" s="263"/>
      <c r="AL311" s="263"/>
      <c r="AM311" s="242"/>
    </row>
    <row r="312" spans="1:39" ht="18" customHeight="1" x14ac:dyDescent="0.15">
      <c r="A312" s="240"/>
      <c r="B312" s="242"/>
      <c r="C312" s="240"/>
      <c r="D312" s="263"/>
      <c r="E312" s="242"/>
      <c r="F312" s="242"/>
      <c r="G312" s="242"/>
      <c r="L312" s="242"/>
      <c r="M312" s="240"/>
      <c r="N312" s="263"/>
      <c r="O312" s="263"/>
      <c r="P312" s="263"/>
      <c r="Q312" s="263"/>
      <c r="R312" s="263"/>
      <c r="S312" s="263"/>
      <c r="T312" s="263"/>
      <c r="U312" s="263"/>
      <c r="V312" s="263"/>
      <c r="W312" s="263"/>
      <c r="X312" s="263"/>
      <c r="Y312" s="263"/>
      <c r="Z312" s="263"/>
      <c r="AA312" s="263"/>
      <c r="AB312" s="263"/>
      <c r="AC312" s="263"/>
      <c r="AD312" s="263"/>
      <c r="AE312" s="263"/>
      <c r="AF312" s="263"/>
      <c r="AG312" s="263"/>
      <c r="AH312" s="263"/>
      <c r="AI312" s="263"/>
      <c r="AJ312" s="263"/>
      <c r="AK312" s="263"/>
      <c r="AL312" s="263"/>
      <c r="AM312" s="242"/>
    </row>
    <row r="313" spans="1:39" ht="18" customHeight="1" x14ac:dyDescent="0.15">
      <c r="A313" s="240"/>
      <c r="B313" s="242"/>
      <c r="C313" s="240"/>
      <c r="D313" s="263"/>
      <c r="E313" s="242"/>
      <c r="F313" s="242"/>
      <c r="G313" s="242"/>
      <c r="L313" s="242"/>
      <c r="M313" s="240"/>
      <c r="N313" s="263"/>
      <c r="O313" s="263"/>
      <c r="P313" s="263"/>
      <c r="Q313" s="263"/>
      <c r="R313" s="263"/>
      <c r="S313" s="263"/>
      <c r="T313" s="263"/>
      <c r="U313" s="263"/>
      <c r="V313" s="263"/>
      <c r="W313" s="263"/>
      <c r="X313" s="263"/>
      <c r="Y313" s="263"/>
      <c r="Z313" s="263"/>
      <c r="AA313" s="263"/>
      <c r="AB313" s="263"/>
      <c r="AC313" s="263"/>
      <c r="AD313" s="263"/>
      <c r="AE313" s="263"/>
      <c r="AF313" s="263"/>
      <c r="AG313" s="263"/>
      <c r="AH313" s="263"/>
      <c r="AI313" s="263"/>
      <c r="AJ313" s="263"/>
      <c r="AK313" s="263"/>
      <c r="AL313" s="263"/>
      <c r="AM313" s="242"/>
    </row>
    <row r="314" spans="1:39" ht="18" customHeight="1" x14ac:dyDescent="0.15">
      <c r="A314" s="240"/>
      <c r="B314" s="242"/>
      <c r="C314" s="240"/>
      <c r="D314" s="263"/>
      <c r="E314" s="242"/>
      <c r="F314" s="242"/>
      <c r="G314" s="242"/>
      <c r="L314" s="242"/>
      <c r="M314" s="240"/>
      <c r="N314" s="263"/>
      <c r="O314" s="263"/>
      <c r="P314" s="263"/>
      <c r="Q314" s="263"/>
      <c r="R314" s="263"/>
      <c r="S314" s="263"/>
      <c r="T314" s="263"/>
      <c r="U314" s="263"/>
      <c r="V314" s="263"/>
      <c r="W314" s="263"/>
      <c r="X314" s="263"/>
      <c r="Y314" s="263"/>
      <c r="Z314" s="263"/>
      <c r="AA314" s="263"/>
      <c r="AB314" s="263"/>
      <c r="AC314" s="263"/>
      <c r="AD314" s="263"/>
      <c r="AE314" s="263"/>
      <c r="AF314" s="263"/>
      <c r="AG314" s="263"/>
      <c r="AH314" s="263"/>
      <c r="AI314" s="263"/>
      <c r="AJ314" s="263"/>
      <c r="AK314" s="263"/>
      <c r="AL314" s="263"/>
      <c r="AM314" s="242"/>
    </row>
    <row r="315" spans="1:39" ht="18" customHeight="1" x14ac:dyDescent="0.15">
      <c r="A315" s="240"/>
      <c r="B315" s="242"/>
      <c r="C315" s="240"/>
      <c r="D315" s="263"/>
      <c r="E315" s="242"/>
      <c r="F315" s="242"/>
      <c r="G315" s="242"/>
      <c r="L315" s="242"/>
      <c r="M315" s="240"/>
      <c r="N315" s="263"/>
      <c r="O315" s="263"/>
      <c r="P315" s="263"/>
      <c r="Q315" s="263"/>
      <c r="R315" s="263"/>
      <c r="S315" s="263"/>
      <c r="T315" s="263"/>
      <c r="U315" s="263"/>
      <c r="V315" s="263"/>
      <c r="W315" s="263"/>
      <c r="X315" s="263"/>
      <c r="Y315" s="263"/>
      <c r="Z315" s="263"/>
      <c r="AA315" s="263"/>
      <c r="AB315" s="263"/>
      <c r="AC315" s="263"/>
      <c r="AD315" s="263"/>
      <c r="AE315" s="263"/>
      <c r="AF315" s="263"/>
      <c r="AG315" s="263"/>
      <c r="AH315" s="263"/>
      <c r="AI315" s="263"/>
      <c r="AJ315" s="263"/>
      <c r="AK315" s="263"/>
      <c r="AL315" s="263"/>
      <c r="AM315" s="242"/>
    </row>
    <row r="316" spans="1:39" ht="18" customHeight="1" x14ac:dyDescent="0.15">
      <c r="A316" s="240"/>
      <c r="B316" s="242"/>
      <c r="C316" s="240"/>
      <c r="D316" s="263"/>
      <c r="E316" s="242"/>
      <c r="F316" s="242"/>
      <c r="G316" s="242"/>
      <c r="L316" s="242"/>
      <c r="M316" s="240"/>
      <c r="N316" s="263"/>
      <c r="O316" s="263"/>
      <c r="P316" s="263"/>
      <c r="Q316" s="263"/>
      <c r="R316" s="263"/>
      <c r="S316" s="263"/>
      <c r="T316" s="263"/>
      <c r="U316" s="263"/>
      <c r="V316" s="263"/>
      <c r="W316" s="263"/>
      <c r="X316" s="263"/>
      <c r="Y316" s="263"/>
      <c r="Z316" s="263"/>
      <c r="AA316" s="263"/>
      <c r="AB316" s="263"/>
      <c r="AC316" s="263"/>
      <c r="AD316" s="263"/>
      <c r="AE316" s="263"/>
      <c r="AF316" s="263"/>
      <c r="AG316" s="263"/>
      <c r="AH316" s="263"/>
      <c r="AI316" s="263"/>
      <c r="AJ316" s="263"/>
      <c r="AK316" s="263"/>
      <c r="AL316" s="263"/>
      <c r="AM316" s="242"/>
    </row>
    <row r="317" spans="1:39" ht="18" customHeight="1" x14ac:dyDescent="0.15">
      <c r="A317" s="240"/>
      <c r="B317" s="242"/>
      <c r="C317" s="240"/>
      <c r="D317" s="263"/>
      <c r="E317" s="242"/>
      <c r="F317" s="242"/>
      <c r="G317" s="242"/>
      <c r="L317" s="242"/>
      <c r="M317" s="240"/>
      <c r="N317" s="263"/>
      <c r="O317" s="263"/>
      <c r="P317" s="263"/>
      <c r="Q317" s="263"/>
      <c r="R317" s="263"/>
      <c r="S317" s="263"/>
      <c r="T317" s="263"/>
      <c r="U317" s="263"/>
      <c r="V317" s="263"/>
      <c r="W317" s="263"/>
      <c r="X317" s="263"/>
      <c r="Y317" s="263"/>
      <c r="Z317" s="263"/>
      <c r="AA317" s="263"/>
      <c r="AB317" s="263"/>
      <c r="AC317" s="263"/>
      <c r="AD317" s="263"/>
      <c r="AE317" s="263"/>
      <c r="AF317" s="263"/>
      <c r="AG317" s="263"/>
      <c r="AH317" s="263"/>
      <c r="AI317" s="263"/>
      <c r="AJ317" s="263"/>
      <c r="AK317" s="263"/>
      <c r="AL317" s="263"/>
      <c r="AM317" s="242"/>
    </row>
    <row r="318" spans="1:39" ht="18" customHeight="1" x14ac:dyDescent="0.15">
      <c r="A318" s="240"/>
      <c r="B318" s="242"/>
      <c r="C318" s="240"/>
      <c r="D318" s="263"/>
      <c r="E318" s="242"/>
      <c r="F318" s="242"/>
      <c r="G318" s="242"/>
      <c r="L318" s="242"/>
      <c r="M318" s="240"/>
      <c r="N318" s="263"/>
      <c r="O318" s="263"/>
      <c r="P318" s="263"/>
      <c r="Q318" s="263"/>
      <c r="R318" s="263"/>
      <c r="S318" s="263"/>
      <c r="T318" s="263"/>
      <c r="U318" s="263"/>
      <c r="V318" s="263"/>
      <c r="W318" s="263"/>
      <c r="X318" s="263"/>
      <c r="Y318" s="263"/>
      <c r="Z318" s="263"/>
      <c r="AA318" s="263"/>
      <c r="AB318" s="263"/>
      <c r="AC318" s="263"/>
      <c r="AD318" s="263"/>
      <c r="AE318" s="263"/>
      <c r="AF318" s="263"/>
      <c r="AG318" s="263"/>
      <c r="AH318" s="263"/>
      <c r="AI318" s="263"/>
      <c r="AJ318" s="263"/>
      <c r="AK318" s="263"/>
      <c r="AL318" s="263"/>
      <c r="AM318" s="242"/>
    </row>
    <row r="319" spans="1:39" ht="18" customHeight="1" x14ac:dyDescent="0.15">
      <c r="A319" s="240"/>
      <c r="B319" s="242"/>
      <c r="C319" s="240"/>
      <c r="D319" s="263"/>
      <c r="E319" s="242"/>
      <c r="F319" s="242"/>
      <c r="G319" s="242"/>
      <c r="L319" s="242"/>
      <c r="M319" s="240"/>
      <c r="N319" s="263"/>
      <c r="O319" s="263"/>
      <c r="P319" s="263"/>
      <c r="Q319" s="263"/>
      <c r="R319" s="263"/>
      <c r="S319" s="263"/>
      <c r="T319" s="263"/>
      <c r="U319" s="263"/>
      <c r="V319" s="263"/>
      <c r="W319" s="263"/>
      <c r="X319" s="263"/>
      <c r="Y319" s="263"/>
      <c r="Z319" s="263"/>
      <c r="AA319" s="263"/>
      <c r="AB319" s="263"/>
      <c r="AC319" s="263"/>
      <c r="AD319" s="263"/>
      <c r="AE319" s="263"/>
      <c r="AF319" s="263"/>
      <c r="AG319" s="263"/>
      <c r="AH319" s="263"/>
      <c r="AI319" s="263"/>
      <c r="AJ319" s="263"/>
      <c r="AK319" s="263"/>
      <c r="AL319" s="263"/>
      <c r="AM319" s="242"/>
    </row>
    <row r="320" spans="1:39" ht="18" customHeight="1" x14ac:dyDescent="0.15">
      <c r="A320" s="240"/>
      <c r="B320" s="242"/>
      <c r="C320" s="240"/>
      <c r="D320" s="263"/>
      <c r="E320" s="242"/>
      <c r="F320" s="242"/>
      <c r="G320" s="242"/>
      <c r="L320" s="242"/>
      <c r="M320" s="240"/>
      <c r="N320" s="263"/>
      <c r="O320" s="263"/>
      <c r="P320" s="263"/>
      <c r="Q320" s="263"/>
      <c r="R320" s="263"/>
      <c r="S320" s="263"/>
      <c r="T320" s="263"/>
      <c r="U320" s="263"/>
      <c r="V320" s="263"/>
      <c r="W320" s="263"/>
      <c r="X320" s="263"/>
      <c r="Y320" s="263"/>
      <c r="Z320" s="263"/>
      <c r="AA320" s="263"/>
      <c r="AB320" s="263"/>
      <c r="AC320" s="263"/>
      <c r="AD320" s="263"/>
      <c r="AE320" s="263"/>
      <c r="AF320" s="263"/>
      <c r="AG320" s="263"/>
      <c r="AH320" s="263"/>
      <c r="AI320" s="263"/>
      <c r="AJ320" s="263"/>
      <c r="AK320" s="263"/>
      <c r="AL320" s="263"/>
      <c r="AM320" s="242"/>
    </row>
    <row r="321" spans="1:39" ht="18" customHeight="1" x14ac:dyDescent="0.15">
      <c r="A321" s="240"/>
      <c r="B321" s="242"/>
      <c r="C321" s="240"/>
      <c r="D321" s="263"/>
      <c r="E321" s="242"/>
      <c r="F321" s="242"/>
      <c r="G321" s="242"/>
      <c r="L321" s="242"/>
      <c r="M321" s="240"/>
      <c r="N321" s="263"/>
      <c r="O321" s="263"/>
      <c r="P321" s="263"/>
      <c r="Q321" s="263"/>
      <c r="R321" s="263"/>
      <c r="S321" s="263"/>
      <c r="T321" s="263"/>
      <c r="U321" s="263"/>
      <c r="V321" s="263"/>
      <c r="W321" s="263"/>
      <c r="X321" s="263"/>
      <c r="Y321" s="263"/>
      <c r="Z321" s="263"/>
      <c r="AA321" s="263"/>
      <c r="AB321" s="263"/>
      <c r="AC321" s="263"/>
      <c r="AD321" s="263"/>
      <c r="AE321" s="263"/>
      <c r="AF321" s="263"/>
      <c r="AG321" s="263"/>
      <c r="AH321" s="263"/>
      <c r="AI321" s="263"/>
      <c r="AJ321" s="263"/>
      <c r="AK321" s="263"/>
      <c r="AL321" s="263"/>
      <c r="AM321" s="242"/>
    </row>
    <row r="322" spans="1:39" ht="18" customHeight="1" x14ac:dyDescent="0.15">
      <c r="A322" s="240"/>
      <c r="B322" s="242"/>
      <c r="C322" s="240"/>
      <c r="D322" s="263"/>
      <c r="E322" s="242"/>
      <c r="F322" s="242"/>
      <c r="G322" s="242"/>
      <c r="L322" s="242"/>
      <c r="M322" s="240"/>
      <c r="N322" s="263"/>
      <c r="O322" s="263"/>
      <c r="P322" s="263"/>
      <c r="Q322" s="263"/>
      <c r="R322" s="263"/>
      <c r="S322" s="263"/>
      <c r="T322" s="263"/>
      <c r="U322" s="263"/>
      <c r="V322" s="263"/>
      <c r="W322" s="263"/>
      <c r="X322" s="263"/>
      <c r="Y322" s="263"/>
      <c r="Z322" s="263"/>
      <c r="AA322" s="263"/>
      <c r="AB322" s="263"/>
      <c r="AC322" s="263"/>
      <c r="AD322" s="263"/>
      <c r="AE322" s="263"/>
      <c r="AF322" s="263"/>
      <c r="AG322" s="263"/>
      <c r="AH322" s="263"/>
      <c r="AI322" s="263"/>
      <c r="AJ322" s="263"/>
      <c r="AK322" s="263"/>
      <c r="AL322" s="263"/>
      <c r="AM322" s="242"/>
    </row>
    <row r="323" spans="1:39" ht="18" customHeight="1" x14ac:dyDescent="0.15">
      <c r="A323" s="240"/>
      <c r="B323" s="242"/>
      <c r="C323" s="240"/>
      <c r="D323" s="263"/>
      <c r="E323" s="242"/>
      <c r="F323" s="242"/>
      <c r="G323" s="242"/>
      <c r="L323" s="242"/>
      <c r="M323" s="240"/>
      <c r="N323" s="263"/>
      <c r="O323" s="263"/>
      <c r="P323" s="263"/>
      <c r="Q323" s="263"/>
      <c r="R323" s="263"/>
      <c r="S323" s="263"/>
      <c r="T323" s="263"/>
      <c r="U323" s="263"/>
      <c r="V323" s="263"/>
      <c r="W323" s="263"/>
      <c r="X323" s="263"/>
      <c r="Y323" s="263"/>
      <c r="Z323" s="263"/>
      <c r="AA323" s="263"/>
      <c r="AB323" s="263"/>
      <c r="AC323" s="263"/>
      <c r="AD323" s="263"/>
      <c r="AE323" s="263"/>
      <c r="AF323" s="263"/>
      <c r="AG323" s="263"/>
      <c r="AH323" s="263"/>
      <c r="AI323" s="263"/>
      <c r="AJ323" s="263"/>
      <c r="AK323" s="263"/>
      <c r="AL323" s="263"/>
      <c r="AM323" s="242"/>
    </row>
    <row r="324" spans="1:39" ht="18" customHeight="1" x14ac:dyDescent="0.15">
      <c r="A324" s="240"/>
      <c r="B324" s="242"/>
      <c r="C324" s="240"/>
      <c r="D324" s="263"/>
      <c r="E324" s="242"/>
      <c r="F324" s="242"/>
      <c r="G324" s="242"/>
      <c r="L324" s="242"/>
      <c r="M324" s="240"/>
      <c r="N324" s="263"/>
      <c r="O324" s="263"/>
      <c r="P324" s="263"/>
      <c r="Q324" s="263"/>
      <c r="R324" s="263"/>
      <c r="S324" s="263"/>
      <c r="T324" s="263"/>
      <c r="U324" s="263"/>
      <c r="V324" s="263"/>
      <c r="W324" s="263"/>
      <c r="X324" s="263"/>
      <c r="Y324" s="263"/>
      <c r="Z324" s="263"/>
      <c r="AA324" s="263"/>
      <c r="AB324" s="263"/>
      <c r="AC324" s="263"/>
      <c r="AD324" s="263"/>
      <c r="AE324" s="263"/>
      <c r="AF324" s="263"/>
      <c r="AG324" s="263"/>
      <c r="AH324" s="263"/>
      <c r="AI324" s="263"/>
      <c r="AJ324" s="263"/>
      <c r="AK324" s="263"/>
      <c r="AL324" s="263"/>
      <c r="AM324" s="242"/>
    </row>
    <row r="325" spans="1:39" ht="18" customHeight="1" x14ac:dyDescent="0.15">
      <c r="A325" s="240"/>
      <c r="B325" s="242"/>
      <c r="C325" s="240"/>
      <c r="D325" s="263"/>
      <c r="E325" s="242"/>
      <c r="F325" s="242"/>
      <c r="G325" s="242"/>
      <c r="L325" s="242"/>
      <c r="M325" s="240"/>
      <c r="N325" s="263"/>
      <c r="O325" s="263"/>
      <c r="P325" s="263"/>
      <c r="Q325" s="263"/>
      <c r="R325" s="263"/>
      <c r="S325" s="263"/>
      <c r="T325" s="263"/>
      <c r="U325" s="263"/>
      <c r="V325" s="263"/>
      <c r="W325" s="263"/>
      <c r="X325" s="263"/>
      <c r="Y325" s="263"/>
      <c r="Z325" s="263"/>
      <c r="AA325" s="263"/>
      <c r="AB325" s="263"/>
      <c r="AC325" s="263"/>
      <c r="AD325" s="263"/>
      <c r="AE325" s="263"/>
      <c r="AF325" s="263"/>
      <c r="AG325" s="263"/>
      <c r="AH325" s="263"/>
      <c r="AI325" s="263"/>
      <c r="AJ325" s="263"/>
      <c r="AK325" s="263"/>
      <c r="AL325" s="263"/>
      <c r="AM325" s="242"/>
    </row>
    <row r="326" spans="1:39" ht="18" customHeight="1" x14ac:dyDescent="0.15">
      <c r="A326" s="240"/>
      <c r="B326" s="242"/>
      <c r="C326" s="240"/>
      <c r="D326" s="263"/>
      <c r="E326" s="242"/>
      <c r="F326" s="242"/>
      <c r="G326" s="242"/>
      <c r="L326" s="242"/>
      <c r="M326" s="240"/>
      <c r="N326" s="263"/>
      <c r="O326" s="263"/>
      <c r="P326" s="263"/>
      <c r="Q326" s="263"/>
      <c r="R326" s="263"/>
      <c r="S326" s="263"/>
      <c r="T326" s="263"/>
      <c r="U326" s="263"/>
      <c r="V326" s="263"/>
      <c r="W326" s="263"/>
      <c r="X326" s="263"/>
      <c r="Y326" s="263"/>
      <c r="Z326" s="263"/>
      <c r="AA326" s="263"/>
      <c r="AB326" s="263"/>
      <c r="AC326" s="263"/>
      <c r="AD326" s="263"/>
      <c r="AE326" s="263"/>
      <c r="AF326" s="263"/>
      <c r="AG326" s="263"/>
      <c r="AH326" s="263"/>
      <c r="AI326" s="263"/>
      <c r="AJ326" s="263"/>
      <c r="AK326" s="263"/>
      <c r="AL326" s="263"/>
      <c r="AM326" s="242"/>
    </row>
    <row r="327" spans="1:39" ht="18" customHeight="1" x14ac:dyDescent="0.15">
      <c r="A327" s="240"/>
      <c r="B327" s="242"/>
      <c r="C327" s="240"/>
      <c r="D327" s="263"/>
      <c r="E327" s="242"/>
      <c r="F327" s="242"/>
      <c r="G327" s="242"/>
      <c r="L327" s="242"/>
      <c r="M327" s="240"/>
      <c r="N327" s="263"/>
      <c r="O327" s="263"/>
      <c r="P327" s="263"/>
      <c r="Q327" s="263"/>
      <c r="R327" s="263"/>
      <c r="S327" s="263"/>
      <c r="T327" s="263"/>
      <c r="U327" s="263"/>
      <c r="V327" s="263"/>
      <c r="W327" s="263"/>
      <c r="X327" s="263"/>
      <c r="Y327" s="263"/>
      <c r="Z327" s="263"/>
      <c r="AA327" s="263"/>
      <c r="AB327" s="263"/>
      <c r="AC327" s="263"/>
      <c r="AD327" s="263"/>
      <c r="AE327" s="263"/>
      <c r="AF327" s="263"/>
      <c r="AG327" s="263"/>
      <c r="AH327" s="263"/>
      <c r="AI327" s="263"/>
      <c r="AJ327" s="263"/>
      <c r="AK327" s="263"/>
      <c r="AL327" s="263"/>
      <c r="AM327" s="242"/>
    </row>
    <row r="328" spans="1:39" ht="18" customHeight="1" x14ac:dyDescent="0.15">
      <c r="A328" s="240"/>
      <c r="B328" s="242"/>
      <c r="C328" s="240"/>
      <c r="D328" s="263"/>
      <c r="E328" s="242"/>
      <c r="F328" s="242"/>
      <c r="G328" s="242"/>
      <c r="L328" s="242"/>
      <c r="M328" s="240"/>
      <c r="N328" s="263"/>
      <c r="O328" s="263"/>
      <c r="P328" s="263"/>
      <c r="Q328" s="263"/>
      <c r="R328" s="263"/>
      <c r="S328" s="263"/>
      <c r="T328" s="263"/>
      <c r="U328" s="263"/>
      <c r="V328" s="263"/>
      <c r="W328" s="263"/>
      <c r="X328" s="263"/>
      <c r="Y328" s="263"/>
      <c r="Z328" s="263"/>
      <c r="AA328" s="263"/>
      <c r="AB328" s="263"/>
      <c r="AC328" s="263"/>
      <c r="AD328" s="263"/>
      <c r="AE328" s="263"/>
      <c r="AF328" s="263"/>
      <c r="AG328" s="263"/>
      <c r="AH328" s="263"/>
      <c r="AI328" s="263"/>
      <c r="AJ328" s="263"/>
      <c r="AK328" s="263"/>
      <c r="AL328" s="263"/>
      <c r="AM328" s="242"/>
    </row>
    <row r="329" spans="1:39" ht="18" customHeight="1" x14ac:dyDescent="0.15">
      <c r="A329" s="240"/>
      <c r="B329" s="242"/>
      <c r="C329" s="240"/>
      <c r="D329" s="263"/>
      <c r="E329" s="242"/>
      <c r="F329" s="242"/>
      <c r="G329" s="242"/>
      <c r="L329" s="242"/>
      <c r="M329" s="240"/>
      <c r="N329" s="263"/>
      <c r="O329" s="263"/>
      <c r="P329" s="263"/>
      <c r="Q329" s="263"/>
      <c r="R329" s="263"/>
      <c r="S329" s="263"/>
      <c r="T329" s="263"/>
      <c r="U329" s="263"/>
      <c r="V329" s="263"/>
      <c r="W329" s="263"/>
      <c r="X329" s="263"/>
      <c r="Y329" s="263"/>
      <c r="Z329" s="263"/>
      <c r="AA329" s="263"/>
      <c r="AB329" s="263"/>
      <c r="AC329" s="263"/>
      <c r="AD329" s="263"/>
      <c r="AE329" s="263"/>
      <c r="AF329" s="263"/>
      <c r="AG329" s="263"/>
      <c r="AH329" s="263"/>
      <c r="AI329" s="263"/>
      <c r="AJ329" s="263"/>
      <c r="AK329" s="263"/>
      <c r="AL329" s="263"/>
      <c r="AM329" s="242"/>
    </row>
    <row r="330" spans="1:39" ht="18" customHeight="1" x14ac:dyDescent="0.15">
      <c r="A330" s="240"/>
      <c r="B330" s="242"/>
      <c r="C330" s="240"/>
      <c r="D330" s="263"/>
      <c r="E330" s="242"/>
      <c r="F330" s="242"/>
      <c r="G330" s="242"/>
      <c r="L330" s="242"/>
      <c r="M330" s="240"/>
      <c r="N330" s="263"/>
      <c r="O330" s="263"/>
      <c r="P330" s="263"/>
      <c r="Q330" s="263"/>
      <c r="R330" s="263"/>
      <c r="S330" s="263"/>
      <c r="T330" s="263"/>
      <c r="U330" s="263"/>
      <c r="V330" s="263"/>
      <c r="W330" s="263"/>
      <c r="X330" s="263"/>
      <c r="Y330" s="263"/>
      <c r="Z330" s="263"/>
      <c r="AA330" s="263"/>
      <c r="AB330" s="263"/>
      <c r="AC330" s="263"/>
      <c r="AD330" s="263"/>
      <c r="AE330" s="263"/>
      <c r="AF330" s="263"/>
      <c r="AG330" s="263"/>
      <c r="AH330" s="263"/>
      <c r="AI330" s="263"/>
      <c r="AJ330" s="263"/>
      <c r="AK330" s="263"/>
      <c r="AL330" s="263"/>
      <c r="AM330" s="242"/>
    </row>
    <row r="331" spans="1:39" ht="18" customHeight="1" x14ac:dyDescent="0.15">
      <c r="A331" s="240"/>
      <c r="B331" s="242"/>
      <c r="C331" s="240"/>
      <c r="D331" s="263"/>
      <c r="E331" s="242"/>
      <c r="F331" s="242"/>
      <c r="G331" s="242"/>
      <c r="L331" s="242"/>
      <c r="M331" s="240"/>
      <c r="N331" s="263"/>
      <c r="O331" s="263"/>
      <c r="P331" s="263"/>
      <c r="Q331" s="263"/>
      <c r="R331" s="263"/>
      <c r="S331" s="263"/>
      <c r="T331" s="263"/>
      <c r="U331" s="263"/>
      <c r="V331" s="263"/>
      <c r="W331" s="263"/>
      <c r="X331" s="263"/>
      <c r="Y331" s="263"/>
      <c r="Z331" s="263"/>
      <c r="AA331" s="263"/>
      <c r="AB331" s="263"/>
      <c r="AC331" s="263"/>
      <c r="AD331" s="263"/>
      <c r="AE331" s="263"/>
      <c r="AF331" s="263"/>
      <c r="AG331" s="263"/>
      <c r="AH331" s="263"/>
      <c r="AI331" s="263"/>
      <c r="AJ331" s="263"/>
      <c r="AK331" s="263"/>
      <c r="AL331" s="263"/>
      <c r="AM331" s="242"/>
    </row>
    <row r="332" spans="1:39" ht="18" customHeight="1" x14ac:dyDescent="0.15">
      <c r="A332" s="240"/>
      <c r="B332" s="242"/>
      <c r="C332" s="240"/>
      <c r="D332" s="263"/>
      <c r="E332" s="242"/>
      <c r="F332" s="242"/>
      <c r="G332" s="242"/>
      <c r="H332" s="240"/>
      <c r="I332" s="263"/>
      <c r="J332" s="263"/>
      <c r="K332" s="263"/>
      <c r="L332" s="242"/>
      <c r="Q332" s="263"/>
      <c r="R332" s="263"/>
      <c r="S332" s="263"/>
      <c r="T332" s="263"/>
      <c r="U332" s="263"/>
      <c r="V332" s="263"/>
      <c r="W332" s="263"/>
      <c r="X332" s="263"/>
      <c r="Y332" s="263"/>
      <c r="Z332" s="263"/>
      <c r="AA332" s="263"/>
      <c r="AB332" s="263"/>
      <c r="AC332" s="263"/>
      <c r="AD332" s="263"/>
      <c r="AE332" s="263"/>
      <c r="AF332" s="263"/>
      <c r="AG332" s="263"/>
      <c r="AH332" s="263"/>
      <c r="AI332" s="263"/>
      <c r="AJ332" s="263"/>
      <c r="AK332" s="263"/>
      <c r="AL332" s="263"/>
      <c r="AM332" s="242"/>
    </row>
    <row r="333" spans="1:39" ht="18" customHeight="1" x14ac:dyDescent="0.15">
      <c r="A333" s="240"/>
      <c r="B333" s="242"/>
      <c r="C333" s="240"/>
      <c r="D333" s="263"/>
      <c r="E333" s="242"/>
      <c r="F333" s="242"/>
      <c r="G333" s="242"/>
      <c r="H333" s="240"/>
      <c r="I333" s="263"/>
      <c r="J333" s="263"/>
      <c r="K333" s="263"/>
      <c r="L333" s="242"/>
      <c r="Q333" s="263"/>
      <c r="R333" s="263"/>
      <c r="S333" s="263"/>
      <c r="T333" s="263"/>
      <c r="U333" s="263"/>
      <c r="V333" s="263"/>
      <c r="W333" s="263"/>
      <c r="X333" s="263"/>
      <c r="Y333" s="263"/>
      <c r="Z333" s="263"/>
      <c r="AA333" s="263"/>
      <c r="AB333" s="263"/>
      <c r="AC333" s="263"/>
      <c r="AD333" s="263"/>
      <c r="AE333" s="263"/>
      <c r="AF333" s="263"/>
      <c r="AG333" s="263"/>
      <c r="AH333" s="263"/>
      <c r="AI333" s="263"/>
      <c r="AJ333" s="263"/>
      <c r="AK333" s="263"/>
      <c r="AL333" s="263"/>
      <c r="AM333" s="242"/>
    </row>
    <row r="334" spans="1:39" ht="18" customHeight="1" x14ac:dyDescent="0.15">
      <c r="A334" s="240"/>
      <c r="B334" s="242"/>
      <c r="C334" s="240"/>
      <c r="D334" s="263"/>
      <c r="E334" s="242"/>
      <c r="F334" s="242"/>
      <c r="G334" s="242"/>
      <c r="H334" s="240"/>
      <c r="I334" s="263"/>
      <c r="J334" s="263"/>
      <c r="K334" s="263"/>
      <c r="L334" s="242"/>
      <c r="Q334" s="263"/>
      <c r="R334" s="263"/>
      <c r="S334" s="263"/>
      <c r="T334" s="263"/>
      <c r="U334" s="263"/>
      <c r="V334" s="263"/>
      <c r="W334" s="263"/>
      <c r="X334" s="263"/>
      <c r="Y334" s="263"/>
      <c r="Z334" s="263"/>
      <c r="AA334" s="263"/>
      <c r="AB334" s="263"/>
      <c r="AC334" s="263"/>
      <c r="AD334" s="263"/>
      <c r="AE334" s="263"/>
      <c r="AF334" s="263"/>
      <c r="AG334" s="263"/>
      <c r="AH334" s="263"/>
      <c r="AI334" s="263"/>
      <c r="AJ334" s="263"/>
      <c r="AK334" s="263"/>
      <c r="AL334" s="263"/>
      <c r="AM334" s="242"/>
    </row>
    <row r="335" spans="1:39" ht="18" customHeight="1" x14ac:dyDescent="0.15">
      <c r="A335" s="240"/>
      <c r="B335" s="242"/>
      <c r="C335" s="240"/>
      <c r="D335" s="263"/>
      <c r="E335" s="242"/>
      <c r="F335" s="242"/>
      <c r="G335" s="242"/>
      <c r="H335" s="240"/>
      <c r="I335" s="263"/>
      <c r="J335" s="263"/>
      <c r="K335" s="263"/>
      <c r="L335" s="242"/>
      <c r="Q335" s="263"/>
      <c r="R335" s="263"/>
      <c r="S335" s="263"/>
      <c r="T335" s="263"/>
      <c r="U335" s="263"/>
      <c r="V335" s="263"/>
      <c r="W335" s="263"/>
      <c r="X335" s="263"/>
      <c r="Y335" s="263"/>
      <c r="Z335" s="263"/>
      <c r="AA335" s="263"/>
      <c r="AB335" s="263"/>
      <c r="AC335" s="263"/>
      <c r="AD335" s="263"/>
      <c r="AE335" s="263"/>
      <c r="AF335" s="263"/>
      <c r="AG335" s="263"/>
      <c r="AH335" s="263"/>
      <c r="AI335" s="263"/>
      <c r="AJ335" s="263"/>
      <c r="AK335" s="263"/>
      <c r="AL335" s="263"/>
      <c r="AM335" s="242"/>
    </row>
    <row r="336" spans="1:39" ht="18" customHeight="1" x14ac:dyDescent="0.15">
      <c r="A336" s="240"/>
      <c r="B336" s="242"/>
      <c r="C336" s="240"/>
      <c r="D336" s="263"/>
      <c r="E336" s="242"/>
      <c r="F336" s="242"/>
      <c r="G336" s="242"/>
      <c r="H336" s="240"/>
      <c r="I336" s="263"/>
      <c r="J336" s="263"/>
      <c r="K336" s="263"/>
      <c r="L336" s="242"/>
      <c r="Q336" s="263"/>
      <c r="R336" s="263"/>
      <c r="S336" s="263"/>
      <c r="T336" s="263"/>
      <c r="U336" s="263"/>
      <c r="V336" s="263"/>
      <c r="W336" s="263"/>
      <c r="X336" s="263"/>
      <c r="Y336" s="263"/>
      <c r="Z336" s="263"/>
      <c r="AA336" s="263"/>
      <c r="AB336" s="263"/>
      <c r="AC336" s="263"/>
      <c r="AD336" s="263"/>
      <c r="AE336" s="263"/>
      <c r="AF336" s="263"/>
      <c r="AG336" s="263"/>
      <c r="AH336" s="263"/>
      <c r="AI336" s="263"/>
      <c r="AJ336" s="263"/>
      <c r="AK336" s="263"/>
      <c r="AL336" s="263"/>
      <c r="AM336" s="242"/>
    </row>
    <row r="337" spans="1:39" ht="18" customHeight="1" x14ac:dyDescent="0.15">
      <c r="A337" s="240"/>
      <c r="B337" s="242"/>
      <c r="C337" s="240"/>
      <c r="D337" s="263"/>
      <c r="E337" s="242"/>
      <c r="F337" s="242"/>
      <c r="G337" s="242"/>
      <c r="H337" s="240"/>
      <c r="I337" s="263"/>
      <c r="J337" s="263"/>
      <c r="K337" s="263"/>
      <c r="L337" s="242"/>
      <c r="Q337" s="263"/>
      <c r="R337" s="263"/>
      <c r="S337" s="263"/>
      <c r="T337" s="263"/>
      <c r="U337" s="263"/>
      <c r="V337" s="263"/>
      <c r="W337" s="263"/>
      <c r="X337" s="263"/>
      <c r="Y337" s="263"/>
      <c r="Z337" s="263"/>
      <c r="AA337" s="263"/>
      <c r="AB337" s="263"/>
      <c r="AC337" s="263"/>
      <c r="AD337" s="263"/>
      <c r="AE337" s="263"/>
      <c r="AF337" s="263"/>
      <c r="AG337" s="263"/>
      <c r="AH337" s="263"/>
      <c r="AI337" s="263"/>
      <c r="AJ337" s="263"/>
      <c r="AK337" s="263"/>
      <c r="AL337" s="263"/>
      <c r="AM337" s="242"/>
    </row>
    <row r="338" spans="1:39" ht="18" customHeight="1" x14ac:dyDescent="0.15">
      <c r="A338" s="240"/>
      <c r="B338" s="242"/>
      <c r="C338" s="240"/>
      <c r="D338" s="263"/>
      <c r="E338" s="242"/>
      <c r="F338" s="242"/>
      <c r="G338" s="242"/>
      <c r="H338" s="240"/>
      <c r="I338" s="263"/>
      <c r="J338" s="263"/>
      <c r="K338" s="263"/>
      <c r="L338" s="242"/>
      <c r="Q338" s="263"/>
      <c r="R338" s="263"/>
      <c r="S338" s="263"/>
      <c r="T338" s="263"/>
      <c r="U338" s="263"/>
      <c r="V338" s="263"/>
      <c r="W338" s="263"/>
      <c r="X338" s="263"/>
      <c r="Y338" s="263"/>
      <c r="Z338" s="263"/>
      <c r="AA338" s="263"/>
      <c r="AB338" s="263"/>
      <c r="AC338" s="263"/>
      <c r="AD338" s="263"/>
      <c r="AE338" s="263"/>
      <c r="AF338" s="263"/>
      <c r="AG338" s="263"/>
      <c r="AH338" s="263"/>
      <c r="AI338" s="263"/>
      <c r="AJ338" s="263"/>
      <c r="AK338" s="263"/>
      <c r="AL338" s="263"/>
      <c r="AM338" s="242"/>
    </row>
    <row r="339" spans="1:39" ht="18" customHeight="1" x14ac:dyDescent="0.15">
      <c r="A339" s="240"/>
      <c r="B339" s="242"/>
      <c r="C339" s="240"/>
      <c r="D339" s="263"/>
      <c r="E339" s="242"/>
      <c r="F339" s="242"/>
      <c r="G339" s="242"/>
      <c r="H339" s="240"/>
      <c r="I339" s="263"/>
      <c r="J339" s="263"/>
      <c r="K339" s="263"/>
      <c r="L339" s="242"/>
      <c r="Q339" s="263"/>
      <c r="R339" s="263"/>
      <c r="S339" s="263"/>
      <c r="T339" s="263"/>
      <c r="U339" s="263"/>
      <c r="V339" s="263"/>
      <c r="W339" s="263"/>
      <c r="X339" s="263"/>
      <c r="Y339" s="263"/>
      <c r="Z339" s="263"/>
      <c r="AA339" s="263"/>
      <c r="AB339" s="263"/>
      <c r="AC339" s="263"/>
      <c r="AD339" s="263"/>
      <c r="AE339" s="263"/>
      <c r="AF339" s="263"/>
      <c r="AG339" s="263"/>
      <c r="AH339" s="263"/>
      <c r="AI339" s="263"/>
      <c r="AJ339" s="263"/>
      <c r="AK339" s="263"/>
      <c r="AL339" s="263"/>
      <c r="AM339" s="242"/>
    </row>
    <row r="340" spans="1:39" ht="18" customHeight="1" x14ac:dyDescent="0.15">
      <c r="A340" s="240"/>
      <c r="B340" s="242"/>
      <c r="C340" s="240"/>
      <c r="D340" s="263"/>
      <c r="E340" s="242"/>
      <c r="F340" s="242"/>
      <c r="G340" s="242"/>
      <c r="H340" s="240"/>
      <c r="I340" s="263"/>
      <c r="J340" s="263"/>
      <c r="K340" s="263"/>
      <c r="L340" s="242"/>
      <c r="Q340" s="263"/>
      <c r="R340" s="263"/>
      <c r="S340" s="263"/>
      <c r="T340" s="263"/>
      <c r="U340" s="263"/>
      <c r="V340" s="263"/>
      <c r="W340" s="263"/>
      <c r="X340" s="263"/>
      <c r="Y340" s="263"/>
      <c r="Z340" s="263"/>
      <c r="AA340" s="263"/>
      <c r="AB340" s="263"/>
      <c r="AC340" s="263"/>
      <c r="AD340" s="263"/>
      <c r="AE340" s="263"/>
      <c r="AF340" s="263"/>
      <c r="AG340" s="263"/>
      <c r="AH340" s="263"/>
      <c r="AI340" s="263"/>
      <c r="AJ340" s="263"/>
      <c r="AK340" s="263"/>
      <c r="AL340" s="263"/>
      <c r="AM340" s="242"/>
    </row>
    <row r="341" spans="1:39" ht="18" customHeight="1" x14ac:dyDescent="0.15">
      <c r="A341" s="240"/>
      <c r="B341" s="242"/>
      <c r="C341" s="240"/>
      <c r="D341" s="263"/>
      <c r="E341" s="242"/>
      <c r="F341" s="242"/>
      <c r="G341" s="242"/>
      <c r="H341" s="240"/>
      <c r="I341" s="263"/>
      <c r="J341" s="263"/>
      <c r="K341" s="263"/>
      <c r="L341" s="242"/>
      <c r="Q341" s="263"/>
      <c r="R341" s="263"/>
      <c r="S341" s="263"/>
      <c r="T341" s="263"/>
      <c r="U341" s="263"/>
      <c r="V341" s="263"/>
      <c r="W341" s="263"/>
      <c r="X341" s="263"/>
      <c r="Y341" s="263"/>
      <c r="Z341" s="263"/>
      <c r="AA341" s="263"/>
      <c r="AB341" s="263"/>
      <c r="AC341" s="263"/>
      <c r="AD341" s="263"/>
      <c r="AE341" s="263"/>
      <c r="AF341" s="263"/>
      <c r="AG341" s="263"/>
      <c r="AH341" s="263"/>
      <c r="AI341" s="263"/>
      <c r="AJ341" s="263"/>
      <c r="AK341" s="263"/>
      <c r="AL341" s="263"/>
      <c r="AM341" s="242"/>
    </row>
    <row r="342" spans="1:39" ht="18" customHeight="1" x14ac:dyDescent="0.15">
      <c r="A342" s="240"/>
      <c r="B342" s="242"/>
      <c r="C342" s="240"/>
      <c r="D342" s="263"/>
      <c r="E342" s="242"/>
      <c r="F342" s="242"/>
      <c r="G342" s="242"/>
      <c r="H342" s="240"/>
      <c r="I342" s="263"/>
      <c r="J342" s="263"/>
      <c r="K342" s="263"/>
      <c r="L342" s="242"/>
      <c r="Q342" s="263"/>
      <c r="R342" s="263"/>
      <c r="S342" s="263"/>
      <c r="T342" s="263"/>
      <c r="U342" s="263"/>
      <c r="V342" s="263"/>
      <c r="W342" s="263"/>
      <c r="X342" s="263"/>
      <c r="Y342" s="263"/>
      <c r="Z342" s="263"/>
      <c r="AA342" s="263"/>
      <c r="AB342" s="263"/>
      <c r="AC342" s="263"/>
      <c r="AD342" s="263"/>
      <c r="AE342" s="263"/>
      <c r="AF342" s="263"/>
      <c r="AG342" s="263"/>
      <c r="AH342" s="263"/>
      <c r="AI342" s="263"/>
      <c r="AJ342" s="263"/>
      <c r="AK342" s="263"/>
      <c r="AL342" s="263"/>
      <c r="AM342" s="242"/>
    </row>
    <row r="343" spans="1:39" ht="18" customHeight="1" x14ac:dyDescent="0.15">
      <c r="A343" s="240"/>
      <c r="B343" s="242"/>
      <c r="C343" s="240"/>
      <c r="D343" s="263"/>
      <c r="E343" s="242"/>
      <c r="F343" s="242"/>
      <c r="G343" s="242"/>
      <c r="H343" s="240"/>
      <c r="I343" s="263"/>
      <c r="J343" s="263"/>
      <c r="K343" s="263"/>
      <c r="L343" s="242"/>
      <c r="Q343" s="263"/>
      <c r="R343" s="263"/>
      <c r="S343" s="263"/>
      <c r="T343" s="263"/>
      <c r="U343" s="263"/>
      <c r="V343" s="263"/>
      <c r="W343" s="263"/>
      <c r="X343" s="263"/>
      <c r="Y343" s="263"/>
      <c r="Z343" s="263"/>
      <c r="AA343" s="263"/>
      <c r="AB343" s="263"/>
      <c r="AC343" s="263"/>
      <c r="AD343" s="263"/>
      <c r="AE343" s="263"/>
      <c r="AF343" s="263"/>
      <c r="AG343" s="263"/>
      <c r="AH343" s="263"/>
      <c r="AI343" s="263"/>
      <c r="AJ343" s="263"/>
      <c r="AK343" s="263"/>
      <c r="AL343" s="263"/>
      <c r="AM343" s="242"/>
    </row>
    <row r="344" spans="1:39" ht="18" customHeight="1" x14ac:dyDescent="0.15">
      <c r="A344" s="240"/>
      <c r="B344" s="242"/>
      <c r="C344" s="240"/>
      <c r="D344" s="263"/>
      <c r="E344" s="242"/>
      <c r="F344" s="242"/>
      <c r="G344" s="242"/>
      <c r="H344" s="240"/>
      <c r="I344" s="263"/>
      <c r="J344" s="263"/>
      <c r="K344" s="263"/>
      <c r="L344" s="242"/>
      <c r="Q344" s="263"/>
      <c r="R344" s="263"/>
      <c r="S344" s="263"/>
      <c r="T344" s="263"/>
      <c r="U344" s="263"/>
      <c r="V344" s="263"/>
      <c r="W344" s="263"/>
      <c r="X344" s="263"/>
      <c r="Y344" s="263"/>
      <c r="Z344" s="263"/>
      <c r="AA344" s="263"/>
      <c r="AB344" s="263"/>
      <c r="AC344" s="263"/>
      <c r="AD344" s="263"/>
      <c r="AE344" s="263"/>
      <c r="AF344" s="263"/>
      <c r="AG344" s="263"/>
      <c r="AH344" s="263"/>
      <c r="AI344" s="263"/>
      <c r="AJ344" s="263"/>
      <c r="AK344" s="263"/>
      <c r="AL344" s="263"/>
      <c r="AM344" s="242"/>
    </row>
    <row r="345" spans="1:39" ht="18" customHeight="1" x14ac:dyDescent="0.15">
      <c r="A345" s="240"/>
      <c r="B345" s="242"/>
      <c r="C345" s="240"/>
      <c r="D345" s="263"/>
      <c r="E345" s="242"/>
      <c r="F345" s="242"/>
      <c r="G345" s="242"/>
      <c r="H345" s="240"/>
      <c r="I345" s="263"/>
      <c r="J345" s="263"/>
      <c r="K345" s="263"/>
      <c r="L345" s="242"/>
      <c r="Q345" s="263"/>
      <c r="R345" s="263"/>
      <c r="S345" s="263"/>
      <c r="T345" s="263"/>
      <c r="U345" s="263"/>
      <c r="V345" s="263"/>
      <c r="W345" s="263"/>
      <c r="X345" s="263"/>
      <c r="Y345" s="263"/>
      <c r="Z345" s="263"/>
      <c r="AA345" s="263"/>
      <c r="AB345" s="263"/>
      <c r="AC345" s="263"/>
      <c r="AD345" s="263"/>
      <c r="AE345" s="263"/>
      <c r="AF345" s="263"/>
      <c r="AG345" s="263"/>
      <c r="AH345" s="263"/>
      <c r="AI345" s="263"/>
      <c r="AJ345" s="263"/>
      <c r="AK345" s="263"/>
      <c r="AL345" s="263"/>
      <c r="AM345" s="242"/>
    </row>
    <row r="346" spans="1:39" ht="18" customHeight="1" x14ac:dyDescent="0.15">
      <c r="A346" s="240"/>
      <c r="B346" s="242"/>
      <c r="C346" s="240"/>
      <c r="D346" s="263"/>
      <c r="E346" s="242"/>
      <c r="F346" s="242"/>
      <c r="G346" s="242"/>
      <c r="H346" s="240"/>
      <c r="I346" s="263"/>
      <c r="J346" s="263"/>
      <c r="K346" s="263"/>
      <c r="L346" s="242"/>
      <c r="Q346" s="263"/>
      <c r="R346" s="263"/>
      <c r="S346" s="263"/>
      <c r="T346" s="263"/>
      <c r="U346" s="263"/>
      <c r="V346" s="263"/>
      <c r="W346" s="263"/>
      <c r="X346" s="263"/>
      <c r="Y346" s="263"/>
      <c r="Z346" s="263"/>
      <c r="AA346" s="263"/>
      <c r="AB346" s="263"/>
      <c r="AC346" s="263"/>
      <c r="AD346" s="263"/>
      <c r="AE346" s="263"/>
      <c r="AF346" s="263"/>
      <c r="AG346" s="263"/>
      <c r="AH346" s="263"/>
      <c r="AI346" s="263"/>
      <c r="AJ346" s="263"/>
      <c r="AK346" s="263"/>
      <c r="AL346" s="263"/>
      <c r="AM346" s="242"/>
    </row>
    <row r="347" spans="1:39" ht="18" customHeight="1" x14ac:dyDescent="0.15">
      <c r="A347" s="240"/>
      <c r="B347" s="242"/>
      <c r="C347" s="240"/>
      <c r="D347" s="263"/>
      <c r="E347" s="242"/>
      <c r="F347" s="242"/>
      <c r="G347" s="242"/>
      <c r="H347" s="240"/>
      <c r="I347" s="263"/>
      <c r="J347" s="263"/>
      <c r="K347" s="263"/>
      <c r="L347" s="242"/>
      <c r="Q347" s="263"/>
      <c r="R347" s="263"/>
      <c r="S347" s="263"/>
      <c r="T347" s="263"/>
      <c r="U347" s="263"/>
      <c r="V347" s="263"/>
      <c r="W347" s="263"/>
      <c r="X347" s="263"/>
      <c r="Y347" s="263"/>
      <c r="Z347" s="263"/>
      <c r="AA347" s="263"/>
      <c r="AB347" s="263"/>
      <c r="AC347" s="263"/>
      <c r="AD347" s="263"/>
      <c r="AE347" s="263"/>
      <c r="AF347" s="263"/>
      <c r="AG347" s="263"/>
      <c r="AH347" s="263"/>
      <c r="AI347" s="263"/>
      <c r="AJ347" s="263"/>
      <c r="AK347" s="263"/>
      <c r="AL347" s="263"/>
      <c r="AM347" s="242"/>
    </row>
    <row r="348" spans="1:39" ht="18" customHeight="1" x14ac:dyDescent="0.15">
      <c r="A348" s="240"/>
      <c r="B348" s="242"/>
      <c r="C348" s="240"/>
      <c r="D348" s="263"/>
      <c r="E348" s="242"/>
      <c r="F348" s="242"/>
      <c r="G348" s="242"/>
      <c r="H348" s="240"/>
      <c r="I348" s="263"/>
      <c r="J348" s="263"/>
      <c r="K348" s="263"/>
      <c r="L348" s="242"/>
      <c r="Q348" s="263"/>
      <c r="R348" s="263"/>
      <c r="S348" s="263"/>
      <c r="T348" s="263"/>
      <c r="U348" s="263"/>
      <c r="V348" s="263"/>
      <c r="W348" s="263"/>
      <c r="X348" s="263"/>
      <c r="Y348" s="263"/>
      <c r="Z348" s="263"/>
      <c r="AA348" s="263"/>
      <c r="AB348" s="263"/>
      <c r="AC348" s="263"/>
      <c r="AD348" s="263"/>
      <c r="AE348" s="263"/>
      <c r="AF348" s="263"/>
      <c r="AG348" s="263"/>
      <c r="AH348" s="263"/>
      <c r="AI348" s="263"/>
      <c r="AJ348" s="263"/>
      <c r="AK348" s="263"/>
      <c r="AL348" s="263"/>
      <c r="AM348" s="242"/>
    </row>
    <row r="349" spans="1:39" ht="18" customHeight="1" x14ac:dyDescent="0.15">
      <c r="A349" s="240"/>
      <c r="B349" s="242"/>
      <c r="C349" s="240"/>
      <c r="D349" s="263"/>
      <c r="E349" s="242"/>
      <c r="F349" s="242"/>
      <c r="G349" s="242"/>
      <c r="H349" s="240"/>
      <c r="I349" s="263"/>
      <c r="J349" s="263"/>
      <c r="K349" s="263"/>
      <c r="L349" s="242"/>
      <c r="Q349" s="263"/>
      <c r="R349" s="263"/>
      <c r="S349" s="263"/>
      <c r="T349" s="263"/>
      <c r="U349" s="263"/>
      <c r="V349" s="263"/>
      <c r="W349" s="263"/>
      <c r="X349" s="263"/>
      <c r="Y349" s="263"/>
      <c r="Z349" s="263"/>
      <c r="AA349" s="263"/>
      <c r="AB349" s="263"/>
      <c r="AC349" s="263"/>
      <c r="AD349" s="263"/>
      <c r="AE349" s="263"/>
      <c r="AF349" s="263"/>
      <c r="AG349" s="263"/>
      <c r="AH349" s="263"/>
      <c r="AI349" s="263"/>
      <c r="AJ349" s="263"/>
      <c r="AK349" s="263"/>
      <c r="AL349" s="263"/>
      <c r="AM349" s="242"/>
    </row>
    <row r="350" spans="1:39" ht="18" customHeight="1" x14ac:dyDescent="0.15">
      <c r="A350" s="240"/>
      <c r="B350" s="242"/>
      <c r="C350" s="240"/>
      <c r="D350" s="263"/>
      <c r="E350" s="242"/>
      <c r="F350" s="242"/>
      <c r="G350" s="242"/>
      <c r="H350" s="240"/>
      <c r="I350" s="263"/>
      <c r="J350" s="263"/>
      <c r="K350" s="263"/>
      <c r="L350" s="242"/>
      <c r="Q350" s="263"/>
      <c r="R350" s="263"/>
      <c r="S350" s="263"/>
      <c r="T350" s="263"/>
      <c r="U350" s="263"/>
      <c r="V350" s="263"/>
      <c r="W350" s="263"/>
      <c r="X350" s="263"/>
      <c r="Y350" s="263"/>
      <c r="Z350" s="263"/>
      <c r="AA350" s="263"/>
      <c r="AB350" s="263"/>
      <c r="AC350" s="263"/>
      <c r="AD350" s="263"/>
      <c r="AE350" s="263"/>
      <c r="AF350" s="263"/>
      <c r="AG350" s="263"/>
      <c r="AH350" s="263"/>
      <c r="AI350" s="263"/>
      <c r="AJ350" s="263"/>
      <c r="AK350" s="263"/>
      <c r="AL350" s="263"/>
      <c r="AM350" s="242"/>
    </row>
    <row r="351" spans="1:39" ht="18" customHeight="1" x14ac:dyDescent="0.15">
      <c r="A351" s="240"/>
      <c r="B351" s="242"/>
      <c r="C351" s="240"/>
      <c r="D351" s="263"/>
      <c r="E351" s="242"/>
      <c r="F351" s="242"/>
      <c r="G351" s="242"/>
      <c r="H351" s="240"/>
      <c r="I351" s="263"/>
      <c r="J351" s="263"/>
      <c r="K351" s="263"/>
      <c r="L351" s="242"/>
      <c r="Q351" s="263"/>
      <c r="R351" s="263"/>
      <c r="S351" s="263"/>
      <c r="T351" s="263"/>
      <c r="U351" s="263"/>
      <c r="V351" s="263"/>
      <c r="W351" s="263"/>
      <c r="X351" s="263"/>
      <c r="Y351" s="263"/>
      <c r="Z351" s="263"/>
      <c r="AA351" s="263"/>
      <c r="AB351" s="263"/>
      <c r="AC351" s="263"/>
      <c r="AD351" s="263"/>
      <c r="AE351" s="263"/>
      <c r="AF351" s="263"/>
      <c r="AG351" s="263"/>
      <c r="AH351" s="263"/>
      <c r="AI351" s="263"/>
      <c r="AJ351" s="263"/>
      <c r="AK351" s="263"/>
      <c r="AL351" s="263"/>
      <c r="AM351" s="242"/>
    </row>
    <row r="352" spans="1:39" ht="18" customHeight="1" x14ac:dyDescent="0.15">
      <c r="A352" s="240"/>
      <c r="B352" s="242"/>
      <c r="C352" s="240"/>
      <c r="D352" s="263"/>
      <c r="E352" s="242"/>
      <c r="F352" s="242"/>
      <c r="G352" s="242"/>
      <c r="H352" s="240"/>
      <c r="I352" s="263"/>
      <c r="J352" s="263"/>
      <c r="K352" s="263"/>
      <c r="L352" s="242"/>
      <c r="Q352" s="263"/>
      <c r="R352" s="263"/>
      <c r="S352" s="263"/>
      <c r="T352" s="263"/>
      <c r="U352" s="263"/>
      <c r="V352" s="263"/>
      <c r="W352" s="263"/>
      <c r="X352" s="263"/>
      <c r="Y352" s="263"/>
      <c r="Z352" s="263"/>
      <c r="AA352" s="263"/>
      <c r="AB352" s="263"/>
      <c r="AC352" s="263"/>
      <c r="AD352" s="263"/>
      <c r="AE352" s="263"/>
      <c r="AF352" s="263"/>
      <c r="AG352" s="263"/>
      <c r="AH352" s="263"/>
      <c r="AI352" s="263"/>
      <c r="AJ352" s="263"/>
      <c r="AK352" s="263"/>
      <c r="AL352" s="263"/>
      <c r="AM352" s="242"/>
    </row>
    <row r="353" spans="1:39" ht="18" customHeight="1" x14ac:dyDescent="0.15">
      <c r="A353" s="240"/>
      <c r="B353" s="242"/>
      <c r="C353" s="240"/>
      <c r="D353" s="263"/>
      <c r="E353" s="242"/>
      <c r="F353" s="242"/>
      <c r="G353" s="242"/>
      <c r="H353" s="240"/>
      <c r="I353" s="263"/>
      <c r="J353" s="263"/>
      <c r="K353" s="263"/>
      <c r="L353" s="242"/>
      <c r="Q353" s="263"/>
      <c r="R353" s="263"/>
      <c r="S353" s="263"/>
      <c r="T353" s="263"/>
      <c r="U353" s="263"/>
      <c r="V353" s="263"/>
      <c r="W353" s="263"/>
      <c r="X353" s="263"/>
      <c r="Y353" s="263"/>
      <c r="Z353" s="263"/>
      <c r="AA353" s="263"/>
      <c r="AB353" s="263"/>
      <c r="AC353" s="263"/>
      <c r="AD353" s="263"/>
      <c r="AE353" s="263"/>
      <c r="AF353" s="263"/>
      <c r="AG353" s="263"/>
      <c r="AH353" s="263"/>
      <c r="AI353" s="263"/>
      <c r="AJ353" s="263"/>
      <c r="AK353" s="263"/>
      <c r="AL353" s="263"/>
      <c r="AM353" s="242"/>
    </row>
    <row r="354" spans="1:39" ht="18" customHeight="1" x14ac:dyDescent="0.15">
      <c r="A354" s="240"/>
      <c r="B354" s="242"/>
      <c r="C354" s="240"/>
      <c r="D354" s="263"/>
      <c r="E354" s="242"/>
      <c r="F354" s="242"/>
      <c r="G354" s="242"/>
      <c r="H354" s="240"/>
      <c r="I354" s="263"/>
      <c r="J354" s="263"/>
      <c r="K354" s="263"/>
      <c r="L354" s="242"/>
      <c r="Q354" s="263"/>
      <c r="R354" s="263"/>
      <c r="S354" s="263"/>
      <c r="T354" s="263"/>
      <c r="U354" s="263"/>
      <c r="V354" s="263"/>
      <c r="W354" s="263"/>
      <c r="X354" s="263"/>
      <c r="Y354" s="263"/>
      <c r="Z354" s="263"/>
      <c r="AA354" s="263"/>
      <c r="AB354" s="263"/>
      <c r="AC354" s="263"/>
      <c r="AD354" s="263"/>
      <c r="AE354" s="263"/>
      <c r="AF354" s="263"/>
      <c r="AG354" s="263"/>
      <c r="AH354" s="263"/>
      <c r="AI354" s="263"/>
      <c r="AJ354" s="263"/>
      <c r="AK354" s="263"/>
      <c r="AL354" s="263"/>
      <c r="AM354" s="242"/>
    </row>
    <row r="355" spans="1:39" ht="18" customHeight="1" x14ac:dyDescent="0.15">
      <c r="A355" s="240"/>
      <c r="B355" s="242"/>
      <c r="C355" s="240"/>
      <c r="D355" s="263"/>
      <c r="E355" s="242"/>
      <c r="F355" s="242"/>
      <c r="G355" s="242"/>
      <c r="H355" s="240"/>
      <c r="I355" s="263"/>
      <c r="J355" s="263"/>
      <c r="K355" s="263"/>
      <c r="L355" s="242"/>
      <c r="Q355" s="263"/>
      <c r="R355" s="263"/>
      <c r="S355" s="263"/>
      <c r="T355" s="263"/>
      <c r="U355" s="263"/>
      <c r="V355" s="263"/>
      <c r="W355" s="263"/>
      <c r="X355" s="263"/>
      <c r="Y355" s="263"/>
      <c r="Z355" s="263"/>
      <c r="AA355" s="263"/>
      <c r="AB355" s="263"/>
      <c r="AC355" s="263"/>
      <c r="AD355" s="263"/>
      <c r="AE355" s="263"/>
      <c r="AF355" s="263"/>
      <c r="AG355" s="263"/>
      <c r="AH355" s="263"/>
      <c r="AI355" s="263"/>
      <c r="AJ355" s="263"/>
      <c r="AK355" s="263"/>
      <c r="AL355" s="263"/>
      <c r="AM355" s="242"/>
    </row>
    <row r="356" spans="1:39" ht="18" customHeight="1" x14ac:dyDescent="0.15">
      <c r="A356" s="240"/>
      <c r="B356" s="242"/>
      <c r="C356" s="240"/>
      <c r="D356" s="263"/>
      <c r="E356" s="242"/>
      <c r="F356" s="242"/>
      <c r="G356" s="242"/>
      <c r="H356" s="240"/>
      <c r="I356" s="263"/>
      <c r="J356" s="263"/>
      <c r="K356" s="263"/>
      <c r="L356" s="242"/>
      <c r="Q356" s="263"/>
      <c r="R356" s="263"/>
      <c r="S356" s="263"/>
      <c r="T356" s="263"/>
      <c r="U356" s="263"/>
      <c r="V356" s="263"/>
      <c r="W356" s="263"/>
      <c r="X356" s="263"/>
      <c r="Y356" s="263"/>
      <c r="Z356" s="263"/>
      <c r="AA356" s="263"/>
      <c r="AB356" s="263"/>
      <c r="AC356" s="263"/>
      <c r="AD356" s="263"/>
      <c r="AE356" s="263"/>
      <c r="AF356" s="263"/>
      <c r="AG356" s="263"/>
      <c r="AH356" s="263"/>
      <c r="AI356" s="263"/>
      <c r="AJ356" s="263"/>
      <c r="AK356" s="263"/>
      <c r="AL356" s="263"/>
      <c r="AM356" s="242"/>
    </row>
    <row r="357" spans="1:39" ht="18" customHeight="1" x14ac:dyDescent="0.15">
      <c r="A357" s="240"/>
      <c r="B357" s="242"/>
      <c r="C357" s="240"/>
      <c r="D357" s="263"/>
      <c r="E357" s="242"/>
      <c r="F357" s="242"/>
      <c r="G357" s="242"/>
      <c r="H357" s="240"/>
      <c r="I357" s="263"/>
      <c r="J357" s="263"/>
      <c r="K357" s="263"/>
      <c r="L357" s="242"/>
      <c r="Q357" s="263"/>
      <c r="R357" s="263"/>
      <c r="S357" s="263"/>
      <c r="T357" s="263"/>
      <c r="U357" s="263"/>
      <c r="V357" s="263"/>
      <c r="W357" s="263"/>
      <c r="X357" s="263"/>
      <c r="Y357" s="263"/>
      <c r="Z357" s="263"/>
      <c r="AA357" s="263"/>
      <c r="AB357" s="263"/>
      <c r="AC357" s="263"/>
      <c r="AD357" s="263"/>
      <c r="AE357" s="263"/>
      <c r="AF357" s="263"/>
      <c r="AG357" s="263"/>
      <c r="AH357" s="263"/>
      <c r="AI357" s="263"/>
      <c r="AJ357" s="263"/>
      <c r="AK357" s="263"/>
      <c r="AL357" s="263"/>
      <c r="AM357" s="242"/>
    </row>
    <row r="358" spans="1:39" ht="18" customHeight="1" x14ac:dyDescent="0.15">
      <c r="A358" s="240"/>
      <c r="B358" s="242"/>
      <c r="C358" s="240"/>
      <c r="D358" s="263"/>
      <c r="E358" s="242"/>
      <c r="F358" s="242"/>
      <c r="G358" s="242"/>
      <c r="H358" s="240"/>
      <c r="I358" s="263"/>
      <c r="J358" s="263"/>
      <c r="K358" s="263"/>
      <c r="L358" s="242"/>
      <c r="Q358" s="263"/>
      <c r="R358" s="263"/>
      <c r="S358" s="263"/>
      <c r="T358" s="263"/>
      <c r="U358" s="263"/>
      <c r="V358" s="263"/>
      <c r="W358" s="263"/>
      <c r="X358" s="263"/>
      <c r="Y358" s="263"/>
      <c r="Z358" s="263"/>
      <c r="AA358" s="263"/>
      <c r="AB358" s="263"/>
      <c r="AC358" s="263"/>
      <c r="AD358" s="263"/>
      <c r="AE358" s="263"/>
      <c r="AF358" s="263"/>
      <c r="AG358" s="263"/>
      <c r="AH358" s="263"/>
      <c r="AI358" s="263"/>
      <c r="AJ358" s="263"/>
      <c r="AK358" s="263"/>
      <c r="AL358" s="263"/>
      <c r="AM358" s="242"/>
    </row>
    <row r="359" spans="1:39" ht="18" customHeight="1" x14ac:dyDescent="0.15">
      <c r="A359" s="240"/>
      <c r="B359" s="242"/>
      <c r="C359" s="240"/>
      <c r="D359" s="263"/>
      <c r="E359" s="242"/>
      <c r="F359" s="242"/>
      <c r="G359" s="242"/>
      <c r="H359" s="240"/>
      <c r="I359" s="263"/>
      <c r="J359" s="263"/>
      <c r="K359" s="263"/>
      <c r="L359" s="242"/>
      <c r="Q359" s="263"/>
      <c r="R359" s="263"/>
      <c r="S359" s="263"/>
      <c r="T359" s="263"/>
      <c r="U359" s="263"/>
      <c r="V359" s="263"/>
      <c r="W359" s="263"/>
      <c r="X359" s="263"/>
      <c r="Y359" s="263"/>
      <c r="Z359" s="263"/>
      <c r="AA359" s="263"/>
      <c r="AB359" s="263"/>
      <c r="AC359" s="263"/>
      <c r="AD359" s="263"/>
      <c r="AE359" s="263"/>
      <c r="AF359" s="263"/>
      <c r="AG359" s="263"/>
      <c r="AH359" s="263"/>
      <c r="AI359" s="263"/>
      <c r="AJ359" s="263"/>
      <c r="AK359" s="263"/>
      <c r="AL359" s="263"/>
      <c r="AM359" s="242"/>
    </row>
    <row r="360" spans="1:39" ht="18" customHeight="1" x14ac:dyDescent="0.15">
      <c r="A360" s="240"/>
      <c r="B360" s="242"/>
      <c r="C360" s="240"/>
      <c r="D360" s="263"/>
      <c r="E360" s="242"/>
      <c r="F360" s="242"/>
      <c r="G360" s="242"/>
      <c r="H360" s="240"/>
      <c r="I360" s="263"/>
      <c r="J360" s="263"/>
      <c r="K360" s="263"/>
      <c r="L360" s="242"/>
      <c r="Q360" s="263"/>
      <c r="R360" s="263"/>
      <c r="S360" s="263"/>
      <c r="T360" s="263"/>
      <c r="U360" s="263"/>
      <c r="V360" s="263"/>
      <c r="W360" s="263"/>
      <c r="X360" s="263"/>
      <c r="Y360" s="263"/>
      <c r="Z360" s="263"/>
      <c r="AA360" s="263"/>
      <c r="AB360" s="263"/>
      <c r="AC360" s="263"/>
      <c r="AD360" s="263"/>
      <c r="AE360" s="263"/>
      <c r="AF360" s="263"/>
      <c r="AG360" s="263"/>
      <c r="AH360" s="263"/>
      <c r="AI360" s="263"/>
      <c r="AJ360" s="263"/>
      <c r="AK360" s="263"/>
      <c r="AL360" s="263"/>
      <c r="AM360" s="242"/>
    </row>
    <row r="361" spans="1:39" ht="18" customHeight="1" x14ac:dyDescent="0.15">
      <c r="A361" s="240"/>
      <c r="B361" s="242"/>
      <c r="C361" s="240"/>
      <c r="D361" s="263"/>
      <c r="E361" s="242"/>
      <c r="F361" s="242"/>
      <c r="G361" s="242"/>
      <c r="H361" s="240"/>
      <c r="I361" s="263"/>
      <c r="J361" s="263"/>
      <c r="K361" s="263"/>
      <c r="L361" s="242"/>
      <c r="Q361" s="263"/>
      <c r="R361" s="263"/>
      <c r="S361" s="263"/>
      <c r="T361" s="263"/>
      <c r="U361" s="263"/>
      <c r="V361" s="263"/>
      <c r="W361" s="263"/>
      <c r="X361" s="263"/>
      <c r="Y361" s="263"/>
      <c r="Z361" s="263"/>
      <c r="AA361" s="263"/>
      <c r="AB361" s="263"/>
      <c r="AC361" s="263"/>
      <c r="AD361" s="263"/>
      <c r="AE361" s="263"/>
      <c r="AF361" s="263"/>
      <c r="AG361" s="263"/>
      <c r="AH361" s="263"/>
      <c r="AI361" s="263"/>
      <c r="AJ361" s="263"/>
      <c r="AK361" s="263"/>
      <c r="AL361" s="263"/>
      <c r="AM361" s="242"/>
    </row>
    <row r="362" spans="1:39" ht="18" customHeight="1" x14ac:dyDescent="0.15">
      <c r="A362" s="240"/>
      <c r="B362" s="242"/>
      <c r="C362" s="240"/>
      <c r="D362" s="263"/>
      <c r="E362" s="242"/>
      <c r="F362" s="242"/>
      <c r="G362" s="242"/>
      <c r="H362" s="240"/>
      <c r="I362" s="263"/>
      <c r="J362" s="263"/>
      <c r="K362" s="263"/>
      <c r="L362" s="242"/>
      <c r="Q362" s="263"/>
      <c r="R362" s="263"/>
      <c r="S362" s="263"/>
      <c r="T362" s="263"/>
      <c r="U362" s="263"/>
      <c r="V362" s="263"/>
      <c r="W362" s="263"/>
      <c r="X362" s="263"/>
      <c r="Y362" s="263"/>
      <c r="Z362" s="263"/>
      <c r="AA362" s="263"/>
      <c r="AB362" s="263"/>
      <c r="AC362" s="263"/>
      <c r="AD362" s="263"/>
      <c r="AE362" s="263"/>
      <c r="AF362" s="263"/>
      <c r="AG362" s="263"/>
      <c r="AH362" s="263"/>
      <c r="AI362" s="263"/>
      <c r="AJ362" s="263"/>
      <c r="AK362" s="263"/>
      <c r="AL362" s="263"/>
      <c r="AM362" s="242"/>
    </row>
    <row r="363" spans="1:39" ht="18" customHeight="1" x14ac:dyDescent="0.15">
      <c r="A363" s="240"/>
      <c r="B363" s="242"/>
      <c r="C363" s="240"/>
      <c r="D363" s="263"/>
      <c r="E363" s="242"/>
      <c r="F363" s="242"/>
      <c r="G363" s="242"/>
      <c r="H363" s="240"/>
      <c r="I363" s="263"/>
      <c r="J363" s="263"/>
      <c r="K363" s="263"/>
      <c r="L363" s="242"/>
      <c r="Q363" s="263"/>
      <c r="R363" s="263"/>
      <c r="S363" s="263"/>
      <c r="T363" s="263"/>
      <c r="U363" s="263"/>
      <c r="V363" s="263"/>
      <c r="W363" s="263"/>
      <c r="X363" s="263"/>
      <c r="Y363" s="263"/>
      <c r="Z363" s="263"/>
      <c r="AA363" s="263"/>
      <c r="AB363" s="263"/>
      <c r="AC363" s="263"/>
      <c r="AD363" s="263"/>
      <c r="AE363" s="263"/>
      <c r="AF363" s="263"/>
      <c r="AG363" s="263"/>
      <c r="AH363" s="263"/>
      <c r="AI363" s="263"/>
      <c r="AJ363" s="263"/>
      <c r="AK363" s="263"/>
      <c r="AL363" s="263"/>
      <c r="AM363" s="242"/>
    </row>
    <row r="364" spans="1:39" ht="18" customHeight="1" x14ac:dyDescent="0.15">
      <c r="A364" s="240"/>
      <c r="B364" s="242"/>
      <c r="C364" s="240"/>
      <c r="D364" s="263"/>
      <c r="E364" s="242"/>
      <c r="F364" s="242"/>
      <c r="G364" s="242"/>
      <c r="H364" s="240"/>
      <c r="I364" s="263"/>
      <c r="J364" s="263"/>
      <c r="K364" s="263"/>
      <c r="L364" s="242"/>
      <c r="Q364" s="263"/>
      <c r="R364" s="263"/>
      <c r="S364" s="263"/>
      <c r="T364" s="263"/>
      <c r="U364" s="263"/>
      <c r="V364" s="263"/>
      <c r="W364" s="263"/>
      <c r="X364" s="263"/>
      <c r="Y364" s="263"/>
      <c r="Z364" s="263"/>
      <c r="AA364" s="263"/>
      <c r="AB364" s="263"/>
      <c r="AC364" s="263"/>
      <c r="AD364" s="263"/>
      <c r="AE364" s="263"/>
      <c r="AF364" s="263"/>
      <c r="AG364" s="263"/>
      <c r="AH364" s="263"/>
      <c r="AI364" s="263"/>
      <c r="AJ364" s="263"/>
      <c r="AK364" s="263"/>
      <c r="AL364" s="263"/>
      <c r="AM364" s="242"/>
    </row>
    <row r="365" spans="1:39" ht="18" customHeight="1" x14ac:dyDescent="0.15">
      <c r="A365" s="240"/>
      <c r="B365" s="242"/>
      <c r="C365" s="240"/>
      <c r="D365" s="263"/>
      <c r="E365" s="242"/>
      <c r="F365" s="242"/>
      <c r="G365" s="242"/>
      <c r="H365" s="240"/>
      <c r="I365" s="263"/>
      <c r="J365" s="263"/>
      <c r="K365" s="263"/>
      <c r="L365" s="242"/>
      <c r="Q365" s="263"/>
      <c r="R365" s="263"/>
      <c r="S365" s="263"/>
      <c r="T365" s="263"/>
      <c r="U365" s="263"/>
      <c r="V365" s="263"/>
      <c r="W365" s="263"/>
      <c r="X365" s="263"/>
      <c r="Y365" s="263"/>
      <c r="Z365" s="263"/>
      <c r="AA365" s="263"/>
      <c r="AB365" s="263"/>
      <c r="AC365" s="263"/>
      <c r="AD365" s="263"/>
      <c r="AE365" s="263"/>
      <c r="AF365" s="263"/>
      <c r="AG365" s="263"/>
      <c r="AH365" s="263"/>
      <c r="AI365" s="263"/>
      <c r="AJ365" s="263"/>
      <c r="AK365" s="263"/>
      <c r="AL365" s="263"/>
      <c r="AM365" s="242"/>
    </row>
    <row r="366" spans="1:39" ht="18" customHeight="1" x14ac:dyDescent="0.15">
      <c r="A366" s="240"/>
      <c r="B366" s="242"/>
      <c r="C366" s="240"/>
      <c r="D366" s="263"/>
      <c r="E366" s="242"/>
      <c r="F366" s="242"/>
      <c r="G366" s="242"/>
      <c r="H366" s="240"/>
      <c r="I366" s="263"/>
      <c r="J366" s="263"/>
      <c r="K366" s="263"/>
      <c r="L366" s="242"/>
      <c r="Q366" s="263"/>
      <c r="R366" s="263"/>
      <c r="S366" s="263"/>
      <c r="T366" s="263"/>
      <c r="U366" s="263"/>
      <c r="V366" s="263"/>
      <c r="W366" s="263"/>
      <c r="X366" s="263"/>
      <c r="Y366" s="263"/>
      <c r="Z366" s="263"/>
      <c r="AA366" s="263"/>
      <c r="AB366" s="263"/>
      <c r="AC366" s="263"/>
      <c r="AD366" s="263"/>
      <c r="AE366" s="263"/>
      <c r="AF366" s="263"/>
      <c r="AG366" s="263"/>
      <c r="AH366" s="263"/>
      <c r="AI366" s="263"/>
      <c r="AJ366" s="263"/>
      <c r="AK366" s="263"/>
      <c r="AL366" s="263"/>
      <c r="AM366" s="242"/>
    </row>
    <row r="367" spans="1:39" ht="18" customHeight="1" x14ac:dyDescent="0.15">
      <c r="A367" s="240"/>
      <c r="B367" s="242"/>
      <c r="C367" s="240"/>
      <c r="D367" s="263"/>
      <c r="E367" s="242"/>
      <c r="F367" s="242"/>
      <c r="G367" s="242"/>
      <c r="H367" s="240"/>
      <c r="I367" s="263"/>
      <c r="J367" s="263"/>
      <c r="K367" s="263"/>
      <c r="L367" s="242"/>
      <c r="Q367" s="263"/>
      <c r="R367" s="263"/>
      <c r="S367" s="263"/>
      <c r="T367" s="263"/>
      <c r="U367" s="263"/>
      <c r="V367" s="263"/>
      <c r="W367" s="263"/>
      <c r="X367" s="263"/>
      <c r="Y367" s="263"/>
      <c r="Z367" s="263"/>
      <c r="AA367" s="263"/>
      <c r="AB367" s="263"/>
      <c r="AC367" s="263"/>
      <c r="AD367" s="263"/>
      <c r="AE367" s="263"/>
      <c r="AF367" s="263"/>
      <c r="AG367" s="263"/>
      <c r="AH367" s="263"/>
      <c r="AI367" s="263"/>
      <c r="AJ367" s="263"/>
      <c r="AK367" s="263"/>
      <c r="AL367" s="263"/>
      <c r="AM367" s="242"/>
    </row>
    <row r="368" spans="1:39" ht="18" customHeight="1" x14ac:dyDescent="0.15">
      <c r="A368" s="240"/>
      <c r="B368" s="242"/>
      <c r="C368" s="240"/>
      <c r="D368" s="263"/>
      <c r="E368" s="242"/>
      <c r="F368" s="242"/>
      <c r="G368" s="242"/>
      <c r="H368" s="240"/>
      <c r="I368" s="263"/>
      <c r="J368" s="263"/>
      <c r="K368" s="263"/>
      <c r="L368" s="242"/>
      <c r="Q368" s="263"/>
      <c r="R368" s="263"/>
      <c r="S368" s="263"/>
      <c r="T368" s="263"/>
      <c r="U368" s="263"/>
      <c r="V368" s="263"/>
      <c r="W368" s="263"/>
      <c r="X368" s="263"/>
      <c r="Y368" s="263"/>
      <c r="Z368" s="263"/>
      <c r="AA368" s="263"/>
      <c r="AB368" s="263"/>
      <c r="AC368" s="263"/>
      <c r="AD368" s="263"/>
      <c r="AE368" s="263"/>
      <c r="AF368" s="263"/>
      <c r="AG368" s="263"/>
      <c r="AH368" s="263"/>
      <c r="AI368" s="263"/>
      <c r="AJ368" s="263"/>
      <c r="AK368" s="263"/>
      <c r="AL368" s="263"/>
      <c r="AM368" s="242"/>
    </row>
    <row r="369" spans="1:39" ht="18" customHeight="1" x14ac:dyDescent="0.15">
      <c r="A369" s="240"/>
      <c r="B369" s="242"/>
      <c r="C369" s="240"/>
      <c r="D369" s="263"/>
      <c r="E369" s="242"/>
      <c r="F369" s="242"/>
      <c r="G369" s="242"/>
      <c r="H369" s="240"/>
      <c r="I369" s="263"/>
      <c r="J369" s="263"/>
      <c r="K369" s="263"/>
      <c r="L369" s="242"/>
      <c r="Q369" s="263"/>
      <c r="R369" s="263"/>
      <c r="S369" s="263"/>
      <c r="T369" s="263"/>
      <c r="U369" s="263"/>
      <c r="V369" s="263"/>
      <c r="W369" s="263"/>
      <c r="X369" s="263"/>
      <c r="Y369" s="263"/>
      <c r="Z369" s="263"/>
      <c r="AA369" s="263"/>
      <c r="AB369" s="263"/>
      <c r="AC369" s="263"/>
      <c r="AD369" s="263"/>
      <c r="AE369" s="263"/>
      <c r="AF369" s="263"/>
      <c r="AG369" s="263"/>
      <c r="AH369" s="263"/>
      <c r="AI369" s="263"/>
      <c r="AJ369" s="263"/>
      <c r="AK369" s="263"/>
      <c r="AL369" s="263"/>
      <c r="AM369" s="242"/>
    </row>
    <row r="370" spans="1:39" ht="18" customHeight="1" x14ac:dyDescent="0.15">
      <c r="A370" s="240"/>
      <c r="B370" s="242"/>
      <c r="C370" s="240"/>
      <c r="D370" s="263"/>
      <c r="E370" s="242"/>
      <c r="F370" s="242"/>
      <c r="G370" s="242"/>
      <c r="H370" s="240"/>
      <c r="I370" s="263"/>
      <c r="J370" s="263"/>
      <c r="K370" s="263"/>
      <c r="L370" s="242"/>
      <c r="Q370" s="263"/>
      <c r="R370" s="263"/>
      <c r="S370" s="263"/>
      <c r="T370" s="263"/>
      <c r="U370" s="263"/>
      <c r="V370" s="263"/>
      <c r="W370" s="263"/>
      <c r="X370" s="263"/>
      <c r="Y370" s="263"/>
      <c r="Z370" s="263"/>
      <c r="AA370" s="263"/>
      <c r="AB370" s="263"/>
      <c r="AC370" s="263"/>
      <c r="AD370" s="263"/>
      <c r="AE370" s="263"/>
      <c r="AF370" s="263"/>
      <c r="AG370" s="263"/>
      <c r="AH370" s="263"/>
      <c r="AI370" s="263"/>
      <c r="AJ370" s="263"/>
      <c r="AK370" s="263"/>
      <c r="AL370" s="263"/>
      <c r="AM370" s="242"/>
    </row>
    <row r="371" spans="1:39" ht="18" customHeight="1" x14ac:dyDescent="0.15">
      <c r="A371" s="240"/>
      <c r="B371" s="242"/>
      <c r="C371" s="240"/>
      <c r="D371" s="263"/>
      <c r="E371" s="242"/>
      <c r="F371" s="242"/>
      <c r="G371" s="242"/>
      <c r="H371" s="240"/>
      <c r="I371" s="263"/>
      <c r="J371" s="263"/>
      <c r="K371" s="263"/>
      <c r="L371" s="242"/>
      <c r="Q371" s="263"/>
      <c r="R371" s="263"/>
      <c r="S371" s="263"/>
      <c r="T371" s="263"/>
      <c r="U371" s="263"/>
      <c r="V371" s="263"/>
      <c r="W371" s="263"/>
      <c r="X371" s="263"/>
      <c r="Y371" s="263"/>
      <c r="Z371" s="263"/>
      <c r="AA371" s="263"/>
      <c r="AB371" s="263"/>
      <c r="AC371" s="263"/>
      <c r="AD371" s="263"/>
      <c r="AE371" s="263"/>
      <c r="AF371" s="263"/>
      <c r="AG371" s="263"/>
      <c r="AH371" s="263"/>
      <c r="AI371" s="263"/>
      <c r="AJ371" s="263"/>
      <c r="AK371" s="263"/>
      <c r="AL371" s="263"/>
      <c r="AM371" s="242"/>
    </row>
    <row r="372" spans="1:39" ht="18" customHeight="1" x14ac:dyDescent="0.15">
      <c r="A372" s="240"/>
      <c r="B372" s="242"/>
      <c r="C372" s="240"/>
      <c r="D372" s="263"/>
      <c r="E372" s="242"/>
      <c r="F372" s="242"/>
      <c r="G372" s="242"/>
      <c r="H372" s="240"/>
      <c r="I372" s="263"/>
      <c r="J372" s="263"/>
      <c r="K372" s="263"/>
      <c r="L372" s="242"/>
      <c r="Q372" s="263"/>
      <c r="R372" s="263"/>
      <c r="S372" s="263"/>
      <c r="T372" s="263"/>
      <c r="U372" s="263"/>
      <c r="V372" s="263"/>
      <c r="W372" s="263"/>
      <c r="X372" s="263"/>
      <c r="Y372" s="263"/>
      <c r="Z372" s="263"/>
      <c r="AA372" s="263"/>
      <c r="AB372" s="263"/>
      <c r="AC372" s="263"/>
      <c r="AD372" s="263"/>
      <c r="AE372" s="263"/>
      <c r="AF372" s="263"/>
      <c r="AG372" s="263"/>
      <c r="AH372" s="263"/>
      <c r="AI372" s="263"/>
      <c r="AJ372" s="263"/>
      <c r="AK372" s="263"/>
      <c r="AL372" s="263"/>
      <c r="AM372" s="242"/>
    </row>
    <row r="373" spans="1:39" ht="18" customHeight="1" x14ac:dyDescent="0.15">
      <c r="A373" s="240"/>
      <c r="B373" s="242"/>
      <c r="C373" s="240"/>
      <c r="D373" s="263"/>
      <c r="E373" s="242"/>
      <c r="F373" s="242"/>
      <c r="G373" s="242"/>
      <c r="H373" s="240"/>
      <c r="I373" s="263"/>
      <c r="J373" s="263"/>
      <c r="K373" s="263"/>
      <c r="L373" s="242"/>
      <c r="Q373" s="263"/>
      <c r="R373" s="263"/>
      <c r="S373" s="263"/>
      <c r="T373" s="263"/>
      <c r="U373" s="263"/>
      <c r="V373" s="263"/>
      <c r="W373" s="263"/>
      <c r="X373" s="263"/>
      <c r="Y373" s="263"/>
      <c r="Z373" s="263"/>
      <c r="AA373" s="263"/>
      <c r="AB373" s="263"/>
      <c r="AC373" s="263"/>
      <c r="AD373" s="263"/>
      <c r="AE373" s="263"/>
      <c r="AF373" s="263"/>
      <c r="AG373" s="263"/>
      <c r="AH373" s="263"/>
      <c r="AI373" s="263"/>
      <c r="AJ373" s="263"/>
      <c r="AK373" s="263"/>
      <c r="AL373" s="263"/>
      <c r="AM373" s="242"/>
    </row>
    <row r="374" spans="1:39" ht="18" customHeight="1" x14ac:dyDescent="0.15">
      <c r="A374" s="240"/>
      <c r="B374" s="242"/>
      <c r="C374" s="240"/>
      <c r="D374" s="263"/>
      <c r="E374" s="242"/>
      <c r="F374" s="242"/>
      <c r="G374" s="242"/>
      <c r="H374" s="240"/>
      <c r="I374" s="263"/>
      <c r="J374" s="263"/>
      <c r="K374" s="263"/>
      <c r="L374" s="242"/>
      <c r="Q374" s="263"/>
      <c r="R374" s="263"/>
      <c r="S374" s="263"/>
      <c r="T374" s="263"/>
      <c r="U374" s="263"/>
      <c r="V374" s="263"/>
      <c r="W374" s="263"/>
      <c r="X374" s="263"/>
      <c r="Y374" s="263"/>
      <c r="Z374" s="263"/>
      <c r="AA374" s="263"/>
      <c r="AB374" s="263"/>
      <c r="AC374" s="263"/>
      <c r="AD374" s="263"/>
      <c r="AE374" s="263"/>
      <c r="AF374" s="263"/>
      <c r="AG374" s="263"/>
      <c r="AH374" s="263"/>
      <c r="AI374" s="263"/>
      <c r="AJ374" s="263"/>
      <c r="AK374" s="263"/>
      <c r="AL374" s="263"/>
      <c r="AM374" s="242"/>
    </row>
    <row r="375" spans="1:39" ht="18" customHeight="1" x14ac:dyDescent="0.15">
      <c r="A375" s="240"/>
      <c r="B375" s="242"/>
      <c r="C375" s="240"/>
      <c r="D375" s="263"/>
      <c r="E375" s="242"/>
      <c r="F375" s="242"/>
      <c r="G375" s="242"/>
      <c r="H375" s="240"/>
      <c r="I375" s="263"/>
      <c r="J375" s="263"/>
      <c r="K375" s="263"/>
      <c r="L375" s="242"/>
      <c r="Q375" s="263"/>
      <c r="R375" s="263"/>
      <c r="S375" s="263"/>
      <c r="T375" s="263"/>
      <c r="U375" s="263"/>
      <c r="V375" s="263"/>
      <c r="W375" s="263"/>
      <c r="X375" s="263"/>
      <c r="Y375" s="263"/>
      <c r="Z375" s="263"/>
      <c r="AA375" s="263"/>
      <c r="AB375" s="263"/>
      <c r="AC375" s="263"/>
      <c r="AD375" s="263"/>
      <c r="AE375" s="263"/>
      <c r="AF375" s="263"/>
      <c r="AG375" s="263"/>
      <c r="AH375" s="263"/>
      <c r="AI375" s="263"/>
      <c r="AJ375" s="263"/>
      <c r="AK375" s="263"/>
      <c r="AL375" s="263"/>
      <c r="AM375" s="242"/>
    </row>
    <row r="376" spans="1:39" ht="18" customHeight="1" x14ac:dyDescent="0.15">
      <c r="A376" s="240"/>
      <c r="B376" s="242"/>
      <c r="C376" s="240"/>
      <c r="D376" s="263"/>
      <c r="E376" s="242"/>
      <c r="F376" s="242"/>
      <c r="G376" s="242"/>
      <c r="H376" s="240"/>
      <c r="I376" s="263"/>
      <c r="J376" s="263"/>
      <c r="K376" s="263"/>
      <c r="L376" s="242"/>
      <c r="Q376" s="263"/>
      <c r="R376" s="263"/>
      <c r="S376" s="263"/>
      <c r="T376" s="263"/>
      <c r="U376" s="263"/>
      <c r="V376" s="263"/>
      <c r="W376" s="263"/>
      <c r="X376" s="263"/>
      <c r="Y376" s="263"/>
      <c r="Z376" s="263"/>
      <c r="AA376" s="263"/>
      <c r="AB376" s="263"/>
      <c r="AC376" s="263"/>
      <c r="AD376" s="263"/>
      <c r="AE376" s="263"/>
      <c r="AF376" s="263"/>
      <c r="AG376" s="263"/>
      <c r="AH376" s="263"/>
      <c r="AI376" s="263"/>
      <c r="AJ376" s="263"/>
      <c r="AK376" s="263"/>
      <c r="AL376" s="263"/>
      <c r="AM376" s="242"/>
    </row>
    <row r="377" spans="1:39" ht="18" customHeight="1" x14ac:dyDescent="0.15">
      <c r="A377" s="240"/>
      <c r="B377" s="242"/>
      <c r="C377" s="240"/>
      <c r="D377" s="263"/>
      <c r="E377" s="242"/>
      <c r="F377" s="242"/>
      <c r="G377" s="242"/>
      <c r="H377" s="240"/>
      <c r="I377" s="263"/>
      <c r="J377" s="263"/>
      <c r="K377" s="263"/>
      <c r="L377" s="242"/>
      <c r="Q377" s="263"/>
      <c r="R377" s="263"/>
      <c r="S377" s="263"/>
      <c r="T377" s="263"/>
      <c r="U377" s="263"/>
      <c r="V377" s="263"/>
      <c r="W377" s="263"/>
      <c r="X377" s="263"/>
      <c r="Y377" s="263"/>
      <c r="Z377" s="263"/>
      <c r="AA377" s="263"/>
      <c r="AB377" s="263"/>
      <c r="AC377" s="263"/>
      <c r="AD377" s="263"/>
      <c r="AE377" s="263"/>
      <c r="AF377" s="263"/>
      <c r="AG377" s="263"/>
      <c r="AH377" s="263"/>
      <c r="AI377" s="263"/>
      <c r="AJ377" s="263"/>
      <c r="AK377" s="263"/>
      <c r="AL377" s="263"/>
      <c r="AM377" s="242"/>
    </row>
    <row r="378" spans="1:39" ht="18" customHeight="1" x14ac:dyDescent="0.15">
      <c r="A378" s="240"/>
      <c r="B378" s="242"/>
      <c r="C378" s="240"/>
      <c r="D378" s="263"/>
      <c r="E378" s="242"/>
      <c r="F378" s="242"/>
      <c r="G378" s="242"/>
      <c r="H378" s="240"/>
      <c r="I378" s="263"/>
      <c r="J378" s="263"/>
      <c r="K378" s="263"/>
      <c r="L378" s="242"/>
      <c r="Q378" s="263"/>
      <c r="R378" s="263"/>
      <c r="S378" s="263"/>
      <c r="T378" s="263"/>
      <c r="U378" s="263"/>
      <c r="V378" s="263"/>
      <c r="W378" s="263"/>
      <c r="X378" s="263"/>
      <c r="Y378" s="263"/>
      <c r="Z378" s="263"/>
      <c r="AA378" s="263"/>
      <c r="AB378" s="263"/>
      <c r="AC378" s="263"/>
      <c r="AD378" s="263"/>
      <c r="AE378" s="263"/>
      <c r="AF378" s="263"/>
      <c r="AG378" s="263"/>
      <c r="AH378" s="263"/>
      <c r="AI378" s="263"/>
      <c r="AJ378" s="263"/>
      <c r="AK378" s="263"/>
      <c r="AL378" s="263"/>
      <c r="AM378" s="242"/>
    </row>
    <row r="379" spans="1:39" ht="18" customHeight="1" x14ac:dyDescent="0.15">
      <c r="A379" s="240"/>
      <c r="B379" s="242"/>
      <c r="C379" s="240"/>
      <c r="D379" s="263"/>
      <c r="E379" s="242"/>
      <c r="F379" s="242"/>
      <c r="G379" s="242"/>
      <c r="H379" s="240"/>
      <c r="I379" s="263"/>
      <c r="J379" s="263"/>
      <c r="K379" s="263"/>
      <c r="L379" s="242"/>
      <c r="Q379" s="263"/>
      <c r="R379" s="263"/>
      <c r="S379" s="263"/>
      <c r="T379" s="263"/>
      <c r="U379" s="263"/>
      <c r="V379" s="263"/>
      <c r="W379" s="263"/>
      <c r="X379" s="263"/>
      <c r="Y379" s="263"/>
      <c r="Z379" s="263"/>
      <c r="AA379" s="263"/>
      <c r="AB379" s="263"/>
      <c r="AC379" s="263"/>
      <c r="AD379" s="263"/>
      <c r="AE379" s="263"/>
      <c r="AF379" s="263"/>
      <c r="AG379" s="263"/>
      <c r="AH379" s="263"/>
      <c r="AI379" s="263"/>
      <c r="AJ379" s="263"/>
      <c r="AK379" s="263"/>
      <c r="AL379" s="263"/>
      <c r="AM379" s="242"/>
    </row>
    <row r="380" spans="1:39" ht="18" customHeight="1" x14ac:dyDescent="0.15">
      <c r="A380" s="240"/>
      <c r="B380" s="242"/>
      <c r="C380" s="240"/>
      <c r="D380" s="263"/>
      <c r="E380" s="242"/>
      <c r="F380" s="242"/>
      <c r="G380" s="242"/>
      <c r="H380" s="240"/>
      <c r="I380" s="263"/>
      <c r="J380" s="263"/>
      <c r="K380" s="263"/>
      <c r="L380" s="242"/>
      <c r="Q380" s="263"/>
      <c r="R380" s="263"/>
      <c r="S380" s="263"/>
      <c r="T380" s="263"/>
      <c r="U380" s="263"/>
      <c r="V380" s="263"/>
      <c r="W380" s="263"/>
      <c r="X380" s="263"/>
      <c r="Y380" s="263"/>
      <c r="Z380" s="263"/>
      <c r="AA380" s="263"/>
      <c r="AB380" s="263"/>
      <c r="AC380" s="263"/>
      <c r="AD380" s="263"/>
      <c r="AE380" s="263"/>
      <c r="AF380" s="263"/>
      <c r="AG380" s="263"/>
      <c r="AH380" s="263"/>
      <c r="AI380" s="263"/>
      <c r="AJ380" s="263"/>
      <c r="AK380" s="263"/>
      <c r="AL380" s="263"/>
      <c r="AM380" s="242"/>
    </row>
    <row r="381" spans="1:39" ht="18" customHeight="1" x14ac:dyDescent="0.15">
      <c r="A381" s="240"/>
      <c r="B381" s="242"/>
      <c r="C381" s="240"/>
      <c r="D381" s="263"/>
      <c r="E381" s="242"/>
      <c r="F381" s="242"/>
      <c r="G381" s="242"/>
      <c r="H381" s="240"/>
      <c r="I381" s="263"/>
      <c r="J381" s="263"/>
      <c r="K381" s="263"/>
      <c r="L381" s="242"/>
      <c r="Q381" s="263"/>
      <c r="R381" s="263"/>
      <c r="S381" s="263"/>
      <c r="T381" s="263"/>
      <c r="U381" s="263"/>
      <c r="V381" s="263"/>
      <c r="W381" s="263"/>
      <c r="X381" s="263"/>
      <c r="Y381" s="263"/>
      <c r="Z381" s="263"/>
      <c r="AA381" s="263"/>
      <c r="AB381" s="263"/>
      <c r="AC381" s="263"/>
      <c r="AD381" s="263"/>
      <c r="AE381" s="263"/>
      <c r="AF381" s="263"/>
      <c r="AG381" s="263"/>
      <c r="AH381" s="263"/>
      <c r="AI381" s="263"/>
      <c r="AJ381" s="263"/>
      <c r="AK381" s="263"/>
      <c r="AL381" s="263"/>
      <c r="AM381" s="242"/>
    </row>
    <row r="382" spans="1:39" ht="18" customHeight="1" x14ac:dyDescent="0.15">
      <c r="A382" s="240"/>
      <c r="B382" s="242"/>
      <c r="C382" s="240"/>
      <c r="D382" s="263"/>
      <c r="E382" s="242"/>
      <c r="F382" s="242"/>
      <c r="G382" s="242"/>
      <c r="H382" s="240"/>
      <c r="I382" s="263"/>
      <c r="J382" s="263"/>
      <c r="K382" s="263"/>
      <c r="L382" s="242"/>
      <c r="Q382" s="263"/>
      <c r="R382" s="263"/>
      <c r="S382" s="263"/>
      <c r="T382" s="263"/>
      <c r="U382" s="263"/>
      <c r="V382" s="263"/>
      <c r="W382" s="263"/>
      <c r="X382" s="263"/>
      <c r="Y382" s="263"/>
      <c r="Z382" s="263"/>
      <c r="AA382" s="263"/>
      <c r="AB382" s="263"/>
      <c r="AC382" s="263"/>
      <c r="AD382" s="263"/>
      <c r="AE382" s="263"/>
      <c r="AF382" s="263"/>
      <c r="AG382" s="263"/>
      <c r="AH382" s="263"/>
      <c r="AI382" s="263"/>
      <c r="AJ382" s="263"/>
      <c r="AK382" s="263"/>
      <c r="AL382" s="263"/>
      <c r="AM382" s="242"/>
    </row>
    <row r="383" spans="1:39" ht="18" customHeight="1" x14ac:dyDescent="0.15">
      <c r="A383" s="240"/>
      <c r="B383" s="242"/>
      <c r="C383" s="240"/>
      <c r="D383" s="263"/>
      <c r="E383" s="242"/>
      <c r="F383" s="242"/>
      <c r="G383" s="242"/>
      <c r="H383" s="240"/>
      <c r="I383" s="263"/>
      <c r="J383" s="263"/>
      <c r="K383" s="263"/>
      <c r="L383" s="242"/>
      <c r="Q383" s="263"/>
      <c r="R383" s="263"/>
      <c r="S383" s="263"/>
      <c r="T383" s="263"/>
      <c r="U383" s="263"/>
      <c r="V383" s="263"/>
      <c r="W383" s="263"/>
      <c r="X383" s="263"/>
      <c r="Y383" s="263"/>
      <c r="Z383" s="263"/>
      <c r="AA383" s="263"/>
      <c r="AB383" s="263"/>
      <c r="AC383" s="263"/>
      <c r="AD383" s="263"/>
      <c r="AE383" s="263"/>
      <c r="AF383" s="263"/>
      <c r="AG383" s="263"/>
      <c r="AH383" s="263"/>
      <c r="AI383" s="263"/>
      <c r="AJ383" s="263"/>
      <c r="AK383" s="263"/>
      <c r="AL383" s="263"/>
      <c r="AM383" s="242"/>
    </row>
    <row r="384" spans="1:39" ht="18" customHeight="1" x14ac:dyDescent="0.15">
      <c r="A384" s="240"/>
      <c r="B384" s="242"/>
      <c r="C384" s="240"/>
      <c r="D384" s="263"/>
      <c r="E384" s="242"/>
      <c r="F384" s="242"/>
      <c r="G384" s="242"/>
      <c r="H384" s="240"/>
      <c r="I384" s="263"/>
      <c r="J384" s="263"/>
      <c r="K384" s="263"/>
      <c r="L384" s="242"/>
      <c r="Q384" s="263"/>
      <c r="R384" s="263"/>
      <c r="S384" s="263"/>
      <c r="T384" s="263"/>
      <c r="U384" s="263"/>
      <c r="V384" s="263"/>
      <c r="W384" s="263"/>
      <c r="X384" s="263"/>
      <c r="Y384" s="263"/>
      <c r="Z384" s="263"/>
      <c r="AA384" s="263"/>
      <c r="AB384" s="263"/>
      <c r="AC384" s="263"/>
      <c r="AD384" s="263"/>
      <c r="AE384" s="263"/>
      <c r="AF384" s="263"/>
      <c r="AG384" s="263"/>
      <c r="AH384" s="263"/>
      <c r="AI384" s="263"/>
      <c r="AJ384" s="263"/>
      <c r="AK384" s="263"/>
      <c r="AL384" s="263"/>
      <c r="AM384" s="242"/>
    </row>
    <row r="385" spans="1:39" ht="18" customHeight="1" x14ac:dyDescent="0.15">
      <c r="A385" s="240"/>
      <c r="B385" s="242"/>
      <c r="C385" s="240"/>
      <c r="D385" s="263"/>
      <c r="E385" s="242"/>
      <c r="F385" s="242"/>
      <c r="G385" s="242"/>
      <c r="H385" s="240"/>
      <c r="I385" s="263"/>
      <c r="J385" s="263"/>
      <c r="K385" s="263"/>
      <c r="L385" s="242"/>
      <c r="Q385" s="263"/>
      <c r="R385" s="263"/>
      <c r="S385" s="263"/>
      <c r="T385" s="263"/>
      <c r="U385" s="263"/>
      <c r="V385" s="263"/>
      <c r="W385" s="263"/>
      <c r="X385" s="263"/>
      <c r="Y385" s="263"/>
      <c r="Z385" s="263"/>
      <c r="AA385" s="263"/>
      <c r="AB385" s="263"/>
      <c r="AC385" s="263"/>
      <c r="AD385" s="263"/>
      <c r="AE385" s="263"/>
      <c r="AF385" s="263"/>
      <c r="AG385" s="263"/>
      <c r="AH385" s="263"/>
      <c r="AI385" s="263"/>
      <c r="AJ385" s="263"/>
      <c r="AK385" s="263"/>
      <c r="AL385" s="263"/>
      <c r="AM385" s="242"/>
    </row>
    <row r="386" spans="1:39" ht="18" customHeight="1" x14ac:dyDescent="0.15">
      <c r="A386" s="240"/>
      <c r="B386" s="242"/>
      <c r="C386" s="240"/>
      <c r="D386" s="263"/>
      <c r="E386" s="242"/>
      <c r="F386" s="242"/>
      <c r="G386" s="242"/>
      <c r="H386" s="240"/>
      <c r="I386" s="263"/>
      <c r="J386" s="263"/>
      <c r="K386" s="263"/>
      <c r="L386" s="242"/>
      <c r="Q386" s="263"/>
      <c r="R386" s="263"/>
      <c r="S386" s="263"/>
      <c r="T386" s="263"/>
      <c r="U386" s="263"/>
      <c r="V386" s="263"/>
      <c r="W386" s="263"/>
      <c r="X386" s="263"/>
      <c r="Y386" s="263"/>
      <c r="Z386" s="263"/>
      <c r="AA386" s="263"/>
      <c r="AB386" s="263"/>
      <c r="AC386" s="263"/>
      <c r="AD386" s="263"/>
      <c r="AE386" s="263"/>
      <c r="AF386" s="263"/>
      <c r="AG386" s="263"/>
      <c r="AH386" s="263"/>
      <c r="AI386" s="263"/>
      <c r="AJ386" s="263"/>
      <c r="AK386" s="263"/>
      <c r="AL386" s="263"/>
      <c r="AM386" s="242"/>
    </row>
    <row r="387" spans="1:39" ht="18" customHeight="1" x14ac:dyDescent="0.15">
      <c r="A387" s="240"/>
      <c r="B387" s="242"/>
      <c r="C387" s="240"/>
      <c r="D387" s="263"/>
      <c r="E387" s="242"/>
      <c r="F387" s="242"/>
      <c r="G387" s="242"/>
      <c r="H387" s="240"/>
      <c r="I387" s="263"/>
      <c r="J387" s="263"/>
      <c r="K387" s="263"/>
      <c r="L387" s="242"/>
      <c r="Q387" s="263"/>
      <c r="R387" s="263"/>
      <c r="S387" s="263"/>
      <c r="T387" s="263"/>
      <c r="U387" s="263"/>
      <c r="V387" s="263"/>
      <c r="W387" s="263"/>
      <c r="X387" s="263"/>
      <c r="Y387" s="263"/>
      <c r="Z387" s="263"/>
      <c r="AA387" s="263"/>
      <c r="AB387" s="263"/>
      <c r="AC387" s="263"/>
      <c r="AD387" s="263"/>
      <c r="AE387" s="263"/>
      <c r="AF387" s="263"/>
      <c r="AG387" s="263"/>
      <c r="AH387" s="263"/>
      <c r="AI387" s="263"/>
      <c r="AJ387" s="263"/>
      <c r="AK387" s="263"/>
      <c r="AL387" s="263"/>
      <c r="AM387" s="242"/>
    </row>
    <row r="388" spans="1:39" ht="18" customHeight="1" x14ac:dyDescent="0.15">
      <c r="A388" s="240"/>
      <c r="B388" s="242"/>
      <c r="C388" s="240"/>
      <c r="D388" s="263"/>
      <c r="E388" s="242"/>
      <c r="F388" s="242"/>
      <c r="G388" s="242"/>
      <c r="H388" s="240"/>
      <c r="I388" s="263"/>
      <c r="J388" s="263"/>
      <c r="K388" s="263"/>
      <c r="L388" s="242"/>
      <c r="Q388" s="263"/>
      <c r="R388" s="263"/>
      <c r="S388" s="263"/>
      <c r="T388" s="263"/>
      <c r="U388" s="263"/>
      <c r="V388" s="263"/>
      <c r="W388" s="263"/>
      <c r="X388" s="263"/>
      <c r="Y388" s="263"/>
      <c r="Z388" s="263"/>
      <c r="AA388" s="263"/>
      <c r="AB388" s="263"/>
      <c r="AC388" s="263"/>
      <c r="AD388" s="263"/>
      <c r="AE388" s="263"/>
      <c r="AF388" s="263"/>
      <c r="AG388" s="263"/>
      <c r="AH388" s="263"/>
      <c r="AI388" s="263"/>
      <c r="AJ388" s="263"/>
      <c r="AK388" s="263"/>
      <c r="AL388" s="263"/>
      <c r="AM388" s="242"/>
    </row>
    <row r="389" spans="1:39" ht="18" customHeight="1" x14ac:dyDescent="0.15">
      <c r="A389" s="240"/>
      <c r="B389" s="242"/>
      <c r="C389" s="240"/>
      <c r="D389" s="263"/>
      <c r="E389" s="242"/>
      <c r="F389" s="242"/>
      <c r="G389" s="242"/>
      <c r="H389" s="240"/>
      <c r="I389" s="263"/>
      <c r="J389" s="263"/>
      <c r="K389" s="263"/>
      <c r="L389" s="242"/>
      <c r="Q389" s="263"/>
      <c r="R389" s="263"/>
      <c r="S389" s="263"/>
      <c r="T389" s="263"/>
      <c r="U389" s="263"/>
      <c r="V389" s="263"/>
      <c r="W389" s="263"/>
      <c r="X389" s="263"/>
      <c r="Y389" s="263"/>
      <c r="Z389" s="263"/>
      <c r="AA389" s="263"/>
      <c r="AB389" s="263"/>
      <c r="AC389" s="263"/>
      <c r="AD389" s="263"/>
      <c r="AE389" s="263"/>
      <c r="AF389" s="263"/>
      <c r="AG389" s="263"/>
      <c r="AH389" s="263"/>
      <c r="AI389" s="263"/>
      <c r="AJ389" s="263"/>
      <c r="AK389" s="263"/>
      <c r="AL389" s="263"/>
      <c r="AM389" s="242"/>
    </row>
    <row r="390" spans="1:39" ht="18" customHeight="1" x14ac:dyDescent="0.15">
      <c r="A390" s="240"/>
      <c r="B390" s="242"/>
      <c r="C390" s="240"/>
      <c r="D390" s="263"/>
      <c r="E390" s="242"/>
      <c r="F390" s="242"/>
      <c r="G390" s="242"/>
      <c r="H390" s="240"/>
      <c r="I390" s="263"/>
      <c r="J390" s="263"/>
      <c r="K390" s="263"/>
      <c r="L390" s="242"/>
      <c r="Q390" s="263"/>
      <c r="R390" s="263"/>
      <c r="S390" s="263"/>
      <c r="T390" s="263"/>
      <c r="U390" s="263"/>
      <c r="V390" s="263"/>
      <c r="W390" s="263"/>
      <c r="X390" s="263"/>
      <c r="Y390" s="263"/>
      <c r="Z390" s="263"/>
      <c r="AA390" s="263"/>
      <c r="AB390" s="263"/>
      <c r="AC390" s="263"/>
      <c r="AD390" s="263"/>
      <c r="AE390" s="263"/>
      <c r="AF390" s="263"/>
      <c r="AG390" s="263"/>
      <c r="AH390" s="263"/>
      <c r="AI390" s="263"/>
      <c r="AJ390" s="263"/>
      <c r="AK390" s="263"/>
      <c r="AL390" s="263"/>
      <c r="AM390" s="242"/>
    </row>
    <row r="391" spans="1:39" ht="18" customHeight="1" x14ac:dyDescent="0.15">
      <c r="A391" s="240"/>
      <c r="B391" s="242"/>
      <c r="C391" s="240"/>
      <c r="D391" s="263"/>
      <c r="E391" s="242"/>
      <c r="F391" s="242"/>
      <c r="G391" s="242"/>
      <c r="H391" s="240"/>
      <c r="I391" s="263"/>
      <c r="J391" s="263"/>
      <c r="K391" s="263"/>
      <c r="L391" s="242"/>
      <c r="Q391" s="263"/>
      <c r="R391" s="263"/>
      <c r="S391" s="263"/>
      <c r="T391" s="263"/>
      <c r="U391" s="263"/>
      <c r="V391" s="263"/>
      <c r="W391" s="263"/>
      <c r="X391" s="263"/>
      <c r="Y391" s="263"/>
      <c r="Z391" s="263"/>
      <c r="AA391" s="263"/>
      <c r="AB391" s="263"/>
      <c r="AC391" s="263"/>
      <c r="AD391" s="263"/>
      <c r="AE391" s="263"/>
      <c r="AF391" s="263"/>
      <c r="AG391" s="263"/>
      <c r="AH391" s="263"/>
      <c r="AI391" s="263"/>
      <c r="AJ391" s="263"/>
      <c r="AK391" s="263"/>
      <c r="AL391" s="263"/>
      <c r="AM391" s="242"/>
    </row>
    <row r="392" spans="1:39" ht="18" customHeight="1" x14ac:dyDescent="0.15">
      <c r="A392" s="240"/>
      <c r="B392" s="242"/>
      <c r="C392" s="240"/>
      <c r="D392" s="263"/>
      <c r="E392" s="242"/>
      <c r="F392" s="242"/>
      <c r="G392" s="242"/>
      <c r="H392" s="240"/>
      <c r="I392" s="263"/>
      <c r="J392" s="263"/>
      <c r="K392" s="263"/>
      <c r="L392" s="242"/>
      <c r="Q392" s="263"/>
      <c r="R392" s="263"/>
      <c r="S392" s="263"/>
      <c r="T392" s="263"/>
      <c r="U392" s="263"/>
      <c r="V392" s="263"/>
      <c r="W392" s="263"/>
      <c r="X392" s="263"/>
      <c r="Y392" s="263"/>
      <c r="Z392" s="263"/>
      <c r="AA392" s="263"/>
      <c r="AB392" s="263"/>
      <c r="AC392" s="263"/>
      <c r="AD392" s="263"/>
      <c r="AE392" s="263"/>
      <c r="AF392" s="263"/>
      <c r="AG392" s="263"/>
      <c r="AH392" s="263"/>
      <c r="AI392" s="263"/>
      <c r="AJ392" s="263"/>
      <c r="AK392" s="263"/>
      <c r="AL392" s="263"/>
      <c r="AM392" s="242"/>
    </row>
    <row r="393" spans="1:39" ht="18" customHeight="1" x14ac:dyDescent="0.15">
      <c r="A393" s="240"/>
      <c r="B393" s="242"/>
      <c r="C393" s="240"/>
      <c r="D393" s="263"/>
      <c r="E393" s="242"/>
      <c r="F393" s="242"/>
      <c r="G393" s="242"/>
      <c r="H393" s="240"/>
      <c r="I393" s="263"/>
      <c r="J393" s="263"/>
      <c r="K393" s="263"/>
      <c r="L393" s="242"/>
      <c r="Q393" s="263"/>
      <c r="R393" s="263"/>
      <c r="S393" s="263"/>
      <c r="T393" s="263"/>
      <c r="U393" s="263"/>
      <c r="V393" s="263"/>
      <c r="W393" s="263"/>
      <c r="X393" s="263"/>
      <c r="Y393" s="263"/>
      <c r="Z393" s="263"/>
      <c r="AA393" s="263"/>
      <c r="AB393" s="263"/>
      <c r="AC393" s="263"/>
      <c r="AD393" s="263"/>
      <c r="AE393" s="263"/>
      <c r="AF393" s="263"/>
      <c r="AG393" s="263"/>
      <c r="AH393" s="263"/>
      <c r="AI393" s="263"/>
      <c r="AJ393" s="263"/>
      <c r="AK393" s="263"/>
      <c r="AL393" s="263"/>
      <c r="AM393" s="242"/>
    </row>
    <row r="394" spans="1:39" ht="18" customHeight="1" x14ac:dyDescent="0.15">
      <c r="A394" s="240"/>
      <c r="B394" s="242"/>
      <c r="C394" s="240"/>
      <c r="D394" s="263"/>
      <c r="E394" s="242"/>
      <c r="F394" s="242"/>
      <c r="G394" s="242"/>
      <c r="H394" s="240"/>
      <c r="I394" s="263"/>
      <c r="J394" s="263"/>
      <c r="K394" s="263"/>
      <c r="L394" s="242"/>
      <c r="Q394" s="263"/>
      <c r="R394" s="263"/>
      <c r="S394" s="263"/>
      <c r="T394" s="263"/>
      <c r="U394" s="263"/>
      <c r="V394" s="263"/>
      <c r="W394" s="263"/>
      <c r="X394" s="263"/>
      <c r="Y394" s="263"/>
      <c r="Z394" s="263"/>
      <c r="AA394" s="263"/>
      <c r="AB394" s="263"/>
      <c r="AC394" s="263"/>
      <c r="AD394" s="263"/>
      <c r="AE394" s="263"/>
      <c r="AF394" s="263"/>
      <c r="AG394" s="263"/>
      <c r="AH394" s="263"/>
      <c r="AI394" s="263"/>
      <c r="AJ394" s="263"/>
      <c r="AK394" s="263"/>
      <c r="AL394" s="263"/>
      <c r="AM394" s="242"/>
    </row>
    <row r="395" spans="1:39" ht="18" customHeight="1" x14ac:dyDescent="0.15">
      <c r="A395" s="240"/>
      <c r="B395" s="242"/>
      <c r="C395" s="240"/>
      <c r="D395" s="263"/>
      <c r="E395" s="242"/>
      <c r="F395" s="242"/>
      <c r="G395" s="242"/>
      <c r="H395" s="240"/>
      <c r="I395" s="263"/>
      <c r="J395" s="263"/>
      <c r="K395" s="263"/>
      <c r="L395" s="242"/>
      <c r="Q395" s="263"/>
      <c r="R395" s="263"/>
      <c r="S395" s="263"/>
      <c r="T395" s="263"/>
      <c r="U395" s="263"/>
      <c r="V395" s="263"/>
      <c r="W395" s="263"/>
      <c r="X395" s="263"/>
      <c r="Y395" s="263"/>
      <c r="Z395" s="263"/>
      <c r="AA395" s="263"/>
      <c r="AB395" s="263"/>
      <c r="AC395" s="263"/>
      <c r="AD395" s="263"/>
      <c r="AE395" s="263"/>
      <c r="AF395" s="263"/>
      <c r="AG395" s="263"/>
      <c r="AH395" s="263"/>
      <c r="AI395" s="263"/>
      <c r="AJ395" s="263"/>
      <c r="AK395" s="263"/>
      <c r="AL395" s="263"/>
      <c r="AM395" s="242"/>
    </row>
    <row r="396" spans="1:39" ht="18" customHeight="1" x14ac:dyDescent="0.15">
      <c r="A396" s="240"/>
      <c r="B396" s="242"/>
      <c r="C396" s="240"/>
      <c r="D396" s="263"/>
      <c r="E396" s="242"/>
      <c r="F396" s="242"/>
      <c r="G396" s="242"/>
      <c r="H396" s="240"/>
      <c r="I396" s="263"/>
      <c r="J396" s="263"/>
      <c r="K396" s="263"/>
      <c r="L396" s="242"/>
      <c r="Q396" s="263"/>
      <c r="R396" s="263"/>
      <c r="S396" s="263"/>
      <c r="T396" s="263"/>
      <c r="U396" s="263"/>
      <c r="V396" s="263"/>
      <c r="W396" s="263"/>
      <c r="X396" s="263"/>
      <c r="Y396" s="263"/>
      <c r="Z396" s="263"/>
      <c r="AA396" s="263"/>
      <c r="AB396" s="263"/>
      <c r="AC396" s="263"/>
      <c r="AD396" s="263"/>
      <c r="AE396" s="263"/>
      <c r="AF396" s="263"/>
      <c r="AG396" s="263"/>
      <c r="AH396" s="263"/>
      <c r="AI396" s="263"/>
      <c r="AJ396" s="263"/>
      <c r="AK396" s="263"/>
      <c r="AL396" s="263"/>
      <c r="AM396" s="242"/>
    </row>
    <row r="397" spans="1:39" ht="18" customHeight="1" x14ac:dyDescent="0.15">
      <c r="A397" s="240"/>
      <c r="B397" s="242"/>
      <c r="C397" s="240"/>
      <c r="D397" s="263"/>
      <c r="E397" s="242"/>
      <c r="F397" s="242"/>
      <c r="G397" s="242"/>
      <c r="H397" s="240"/>
      <c r="I397" s="263"/>
      <c r="J397" s="263"/>
      <c r="K397" s="263"/>
      <c r="L397" s="242"/>
      <c r="Q397" s="263"/>
      <c r="R397" s="263"/>
      <c r="S397" s="263"/>
      <c r="T397" s="263"/>
      <c r="U397" s="263"/>
      <c r="V397" s="263"/>
      <c r="W397" s="263"/>
      <c r="X397" s="263"/>
      <c r="Y397" s="263"/>
      <c r="Z397" s="263"/>
      <c r="AA397" s="263"/>
      <c r="AB397" s="263"/>
      <c r="AC397" s="263"/>
      <c r="AD397" s="263"/>
      <c r="AE397" s="263"/>
      <c r="AF397" s="263"/>
      <c r="AG397" s="263"/>
      <c r="AH397" s="263"/>
      <c r="AI397" s="263"/>
      <c r="AJ397" s="263"/>
      <c r="AK397" s="263"/>
      <c r="AL397" s="263"/>
      <c r="AM397" s="242"/>
    </row>
    <row r="398" spans="1:39" ht="18" customHeight="1" x14ac:dyDescent="0.15">
      <c r="A398" s="240"/>
      <c r="B398" s="242"/>
      <c r="C398" s="240"/>
      <c r="D398" s="263"/>
      <c r="E398" s="242"/>
      <c r="F398" s="242"/>
      <c r="G398" s="242"/>
      <c r="H398" s="240"/>
      <c r="I398" s="263"/>
      <c r="J398" s="263"/>
      <c r="K398" s="263"/>
      <c r="L398" s="242"/>
      <c r="Q398" s="263"/>
      <c r="R398" s="263"/>
      <c r="S398" s="263"/>
      <c r="T398" s="263"/>
      <c r="U398" s="263"/>
      <c r="V398" s="263"/>
      <c r="W398" s="263"/>
      <c r="X398" s="263"/>
      <c r="Y398" s="263"/>
      <c r="Z398" s="263"/>
      <c r="AA398" s="263"/>
      <c r="AB398" s="263"/>
      <c r="AC398" s="263"/>
      <c r="AD398" s="263"/>
      <c r="AE398" s="263"/>
      <c r="AF398" s="263"/>
      <c r="AG398" s="263"/>
      <c r="AH398" s="263"/>
      <c r="AI398" s="263"/>
      <c r="AJ398" s="263"/>
      <c r="AK398" s="263"/>
      <c r="AL398" s="263"/>
      <c r="AM398" s="242"/>
    </row>
    <row r="399" spans="1:39" ht="18" customHeight="1" x14ac:dyDescent="0.15">
      <c r="A399" s="240"/>
      <c r="B399" s="242"/>
      <c r="C399" s="240"/>
      <c r="D399" s="263"/>
      <c r="E399" s="242"/>
      <c r="F399" s="242"/>
      <c r="G399" s="242"/>
      <c r="H399" s="240"/>
      <c r="I399" s="263"/>
      <c r="J399" s="263"/>
      <c r="K399" s="263"/>
      <c r="L399" s="242"/>
      <c r="Q399" s="263"/>
      <c r="R399" s="263"/>
      <c r="S399" s="263"/>
      <c r="T399" s="263"/>
      <c r="U399" s="263"/>
      <c r="V399" s="263"/>
      <c r="W399" s="263"/>
      <c r="X399" s="263"/>
      <c r="Y399" s="263"/>
      <c r="Z399" s="263"/>
      <c r="AA399" s="263"/>
      <c r="AB399" s="263"/>
      <c r="AC399" s="263"/>
      <c r="AD399" s="263"/>
      <c r="AE399" s="263"/>
      <c r="AF399" s="263"/>
      <c r="AG399" s="263"/>
      <c r="AH399" s="263"/>
      <c r="AI399" s="263"/>
      <c r="AJ399" s="263"/>
      <c r="AK399" s="263"/>
      <c r="AL399" s="263"/>
      <c r="AM399" s="242"/>
    </row>
    <row r="400" spans="1:39" ht="18" customHeight="1" x14ac:dyDescent="0.15">
      <c r="A400" s="240"/>
      <c r="B400" s="242"/>
      <c r="C400" s="240"/>
      <c r="D400" s="263"/>
      <c r="E400" s="242"/>
      <c r="F400" s="242"/>
      <c r="G400" s="242"/>
      <c r="H400" s="240"/>
      <c r="I400" s="263"/>
      <c r="J400" s="263"/>
      <c r="K400" s="263"/>
      <c r="L400" s="242"/>
      <c r="Q400" s="263"/>
      <c r="R400" s="263"/>
      <c r="S400" s="263"/>
      <c r="T400" s="263"/>
      <c r="U400" s="263"/>
      <c r="V400" s="263"/>
      <c r="W400" s="263"/>
      <c r="X400" s="263"/>
      <c r="Y400" s="263"/>
      <c r="Z400" s="263"/>
      <c r="AA400" s="263"/>
      <c r="AB400" s="263"/>
      <c r="AC400" s="263"/>
      <c r="AD400" s="263"/>
      <c r="AE400" s="263"/>
      <c r="AF400" s="263"/>
      <c r="AG400" s="263"/>
      <c r="AH400" s="263"/>
      <c r="AI400" s="263"/>
      <c r="AJ400" s="263"/>
      <c r="AK400" s="263"/>
      <c r="AL400" s="263"/>
      <c r="AM400" s="242"/>
    </row>
    <row r="401" spans="1:39" ht="18" customHeight="1" x14ac:dyDescent="0.15">
      <c r="A401" s="240"/>
      <c r="B401" s="242"/>
      <c r="C401" s="240"/>
      <c r="D401" s="263"/>
      <c r="E401" s="242"/>
      <c r="F401" s="242"/>
      <c r="G401" s="242"/>
      <c r="H401" s="240"/>
      <c r="I401" s="263"/>
      <c r="J401" s="263"/>
      <c r="K401" s="263"/>
      <c r="L401" s="242"/>
      <c r="Q401" s="263"/>
      <c r="R401" s="263"/>
      <c r="S401" s="263"/>
      <c r="T401" s="263"/>
      <c r="U401" s="263"/>
      <c r="V401" s="263"/>
      <c r="W401" s="263"/>
      <c r="X401" s="263"/>
      <c r="Y401" s="263"/>
      <c r="Z401" s="263"/>
      <c r="AA401" s="263"/>
      <c r="AB401" s="263"/>
      <c r="AC401" s="263"/>
      <c r="AD401" s="263"/>
      <c r="AE401" s="263"/>
      <c r="AF401" s="263"/>
      <c r="AG401" s="263"/>
      <c r="AH401" s="263"/>
      <c r="AI401" s="263"/>
      <c r="AJ401" s="263"/>
      <c r="AK401" s="263"/>
      <c r="AL401" s="263"/>
      <c r="AM401" s="242"/>
    </row>
    <row r="402" spans="1:39" ht="18" customHeight="1" x14ac:dyDescent="0.15">
      <c r="A402" s="240"/>
      <c r="B402" s="242"/>
      <c r="C402" s="240"/>
      <c r="D402" s="263"/>
      <c r="E402" s="242"/>
      <c r="F402" s="242"/>
      <c r="G402" s="242"/>
      <c r="H402" s="240"/>
      <c r="I402" s="263"/>
      <c r="J402" s="263"/>
      <c r="K402" s="263"/>
      <c r="L402" s="242"/>
      <c r="Q402" s="263"/>
      <c r="R402" s="263"/>
      <c r="S402" s="263"/>
      <c r="T402" s="263"/>
      <c r="U402" s="263"/>
      <c r="V402" s="263"/>
      <c r="W402" s="263"/>
      <c r="X402" s="263"/>
      <c r="Y402" s="263"/>
      <c r="Z402" s="263"/>
      <c r="AA402" s="263"/>
      <c r="AB402" s="263"/>
      <c r="AC402" s="263"/>
      <c r="AD402" s="263"/>
      <c r="AE402" s="263"/>
      <c r="AF402" s="263"/>
      <c r="AG402" s="263"/>
      <c r="AH402" s="263"/>
      <c r="AI402" s="263"/>
      <c r="AJ402" s="263"/>
      <c r="AK402" s="263"/>
      <c r="AL402" s="263"/>
      <c r="AM402" s="242"/>
    </row>
    <row r="403" spans="1:39" ht="18" customHeight="1" x14ac:dyDescent="0.15">
      <c r="A403" s="240"/>
      <c r="B403" s="242"/>
      <c r="C403" s="240"/>
      <c r="D403" s="263"/>
      <c r="E403" s="242"/>
      <c r="F403" s="242"/>
      <c r="G403" s="242"/>
      <c r="H403" s="240"/>
      <c r="I403" s="263"/>
      <c r="J403" s="263"/>
      <c r="K403" s="263"/>
      <c r="L403" s="242"/>
      <c r="Q403" s="263"/>
      <c r="R403" s="263"/>
      <c r="S403" s="263"/>
      <c r="T403" s="263"/>
      <c r="U403" s="263"/>
      <c r="V403" s="263"/>
      <c r="W403" s="263"/>
      <c r="X403" s="263"/>
      <c r="Y403" s="263"/>
      <c r="Z403" s="263"/>
      <c r="AA403" s="263"/>
      <c r="AB403" s="263"/>
      <c r="AC403" s="263"/>
      <c r="AD403" s="263"/>
      <c r="AE403" s="263"/>
      <c r="AF403" s="263"/>
      <c r="AG403" s="263"/>
      <c r="AH403" s="263"/>
      <c r="AI403" s="263"/>
      <c r="AJ403" s="263"/>
      <c r="AK403" s="263"/>
      <c r="AL403" s="263"/>
      <c r="AM403" s="242"/>
    </row>
    <row r="404" spans="1:39" ht="18" customHeight="1" x14ac:dyDescent="0.15">
      <c r="A404" s="240"/>
      <c r="B404" s="242"/>
      <c r="C404" s="240"/>
      <c r="D404" s="263"/>
      <c r="E404" s="242"/>
      <c r="F404" s="242"/>
      <c r="G404" s="242"/>
      <c r="H404" s="240"/>
      <c r="I404" s="263"/>
      <c r="J404" s="263"/>
      <c r="K404" s="263"/>
      <c r="L404" s="242"/>
      <c r="Q404" s="263"/>
      <c r="R404" s="263"/>
      <c r="S404" s="263"/>
      <c r="T404" s="263"/>
      <c r="U404" s="263"/>
      <c r="V404" s="263"/>
      <c r="W404" s="263"/>
      <c r="X404" s="263"/>
      <c r="Y404" s="263"/>
      <c r="Z404" s="263"/>
      <c r="AA404" s="263"/>
      <c r="AB404" s="263"/>
      <c r="AC404" s="263"/>
      <c r="AD404" s="263"/>
      <c r="AE404" s="263"/>
      <c r="AF404" s="263"/>
      <c r="AG404" s="263"/>
      <c r="AH404" s="263"/>
      <c r="AI404" s="263"/>
      <c r="AJ404" s="263"/>
      <c r="AK404" s="263"/>
      <c r="AL404" s="263"/>
      <c r="AM404" s="242"/>
    </row>
    <row r="405" spans="1:39" ht="18" customHeight="1" x14ac:dyDescent="0.15">
      <c r="A405" s="240"/>
      <c r="B405" s="242"/>
      <c r="C405" s="240"/>
      <c r="D405" s="263"/>
      <c r="E405" s="242"/>
      <c r="F405" s="242"/>
      <c r="G405" s="242"/>
      <c r="H405" s="240"/>
      <c r="I405" s="263"/>
      <c r="J405" s="263"/>
      <c r="K405" s="263"/>
      <c r="L405" s="242"/>
      <c r="Q405" s="263"/>
      <c r="R405" s="263"/>
      <c r="S405" s="263"/>
      <c r="T405" s="263"/>
      <c r="U405" s="263"/>
      <c r="V405" s="263"/>
      <c r="W405" s="263"/>
      <c r="X405" s="263"/>
      <c r="Y405" s="263"/>
      <c r="Z405" s="263"/>
      <c r="AA405" s="263"/>
      <c r="AB405" s="263"/>
      <c r="AC405" s="263"/>
      <c r="AD405" s="263"/>
      <c r="AE405" s="263"/>
      <c r="AF405" s="263"/>
      <c r="AG405" s="263"/>
      <c r="AH405" s="263"/>
      <c r="AI405" s="263"/>
      <c r="AJ405" s="263"/>
      <c r="AK405" s="263"/>
      <c r="AL405" s="263"/>
      <c r="AM405" s="242"/>
    </row>
    <row r="406" spans="1:39" ht="18" customHeight="1" x14ac:dyDescent="0.15">
      <c r="A406" s="240"/>
      <c r="B406" s="242"/>
      <c r="C406" s="240"/>
      <c r="D406" s="263"/>
      <c r="E406" s="242"/>
      <c r="F406" s="242"/>
      <c r="G406" s="242"/>
      <c r="H406" s="240"/>
      <c r="I406" s="263"/>
      <c r="J406" s="263"/>
      <c r="K406" s="263"/>
      <c r="L406" s="242"/>
      <c r="Q406" s="263"/>
      <c r="R406" s="263"/>
      <c r="S406" s="263"/>
      <c r="T406" s="263"/>
      <c r="U406" s="263"/>
      <c r="V406" s="263"/>
      <c r="W406" s="263"/>
      <c r="X406" s="263"/>
      <c r="Y406" s="263"/>
      <c r="Z406" s="263"/>
      <c r="AA406" s="263"/>
      <c r="AB406" s="263"/>
      <c r="AC406" s="263"/>
      <c r="AD406" s="263"/>
      <c r="AE406" s="263"/>
      <c r="AF406" s="263"/>
      <c r="AG406" s="263"/>
      <c r="AH406" s="263"/>
      <c r="AI406" s="263"/>
      <c r="AJ406" s="263"/>
      <c r="AK406" s="263"/>
      <c r="AL406" s="263"/>
      <c r="AM406" s="242"/>
    </row>
    <row r="407" spans="1:39" ht="18" customHeight="1" x14ac:dyDescent="0.15">
      <c r="A407" s="240"/>
      <c r="B407" s="242"/>
      <c r="C407" s="240"/>
      <c r="D407" s="263"/>
      <c r="E407" s="242"/>
      <c r="F407" s="242"/>
      <c r="G407" s="242"/>
      <c r="H407" s="240"/>
      <c r="I407" s="263"/>
      <c r="J407" s="263"/>
      <c r="K407" s="263"/>
      <c r="L407" s="242"/>
      <c r="Q407" s="263"/>
      <c r="R407" s="263"/>
      <c r="S407" s="263"/>
      <c r="T407" s="263"/>
      <c r="U407" s="263"/>
      <c r="V407" s="263"/>
      <c r="W407" s="263"/>
      <c r="X407" s="263"/>
      <c r="Y407" s="263"/>
      <c r="Z407" s="263"/>
      <c r="AA407" s="263"/>
      <c r="AB407" s="263"/>
      <c r="AC407" s="263"/>
      <c r="AD407" s="263"/>
      <c r="AE407" s="263"/>
      <c r="AF407" s="263"/>
      <c r="AG407" s="263"/>
      <c r="AH407" s="263"/>
      <c r="AI407" s="263"/>
      <c r="AJ407" s="263"/>
      <c r="AK407" s="263"/>
      <c r="AL407" s="263"/>
      <c r="AM407" s="242"/>
    </row>
    <row r="408" spans="1:39" ht="18" customHeight="1" x14ac:dyDescent="0.15">
      <c r="A408" s="240"/>
      <c r="B408" s="242"/>
      <c r="C408" s="240"/>
      <c r="D408" s="263"/>
      <c r="E408" s="242"/>
      <c r="F408" s="242"/>
      <c r="G408" s="242"/>
      <c r="H408" s="240"/>
      <c r="I408" s="263"/>
      <c r="J408" s="263"/>
      <c r="K408" s="263"/>
      <c r="L408" s="242"/>
      <c r="Q408" s="263"/>
      <c r="R408" s="263"/>
      <c r="S408" s="263"/>
      <c r="T408" s="263"/>
      <c r="U408" s="263"/>
      <c r="V408" s="263"/>
      <c r="W408" s="263"/>
      <c r="X408" s="263"/>
      <c r="Y408" s="263"/>
      <c r="Z408" s="263"/>
      <c r="AA408" s="263"/>
      <c r="AB408" s="263"/>
      <c r="AC408" s="263"/>
      <c r="AD408" s="263"/>
      <c r="AE408" s="263"/>
      <c r="AF408" s="263"/>
      <c r="AG408" s="263"/>
      <c r="AH408" s="263"/>
      <c r="AI408" s="263"/>
      <c r="AJ408" s="263"/>
      <c r="AK408" s="263"/>
      <c r="AL408" s="263"/>
      <c r="AM408" s="242"/>
    </row>
    <row r="409" spans="1:39" ht="18" customHeight="1" x14ac:dyDescent="0.15">
      <c r="A409" s="240"/>
      <c r="B409" s="242"/>
      <c r="C409" s="240"/>
      <c r="D409" s="263"/>
      <c r="E409" s="242"/>
      <c r="F409" s="242"/>
      <c r="G409" s="242"/>
      <c r="H409" s="240"/>
      <c r="I409" s="263"/>
      <c r="J409" s="263"/>
      <c r="K409" s="263"/>
      <c r="L409" s="242"/>
      <c r="Q409" s="263"/>
      <c r="R409" s="263"/>
      <c r="S409" s="263"/>
      <c r="T409" s="263"/>
      <c r="U409" s="263"/>
      <c r="V409" s="263"/>
      <c r="W409" s="263"/>
      <c r="X409" s="263"/>
      <c r="Y409" s="263"/>
      <c r="Z409" s="263"/>
      <c r="AA409" s="263"/>
      <c r="AB409" s="263"/>
      <c r="AC409" s="263"/>
      <c r="AD409" s="263"/>
      <c r="AE409" s="263"/>
      <c r="AF409" s="263"/>
      <c r="AG409" s="263"/>
      <c r="AH409" s="263"/>
      <c r="AI409" s="263"/>
      <c r="AJ409" s="263"/>
      <c r="AK409" s="263"/>
      <c r="AL409" s="263"/>
      <c r="AM409" s="242"/>
    </row>
    <row r="410" spans="1:39" ht="18" customHeight="1" x14ac:dyDescent="0.15">
      <c r="A410" s="240"/>
      <c r="B410" s="242"/>
      <c r="C410" s="240"/>
      <c r="D410" s="263"/>
      <c r="E410" s="242"/>
      <c r="F410" s="242"/>
      <c r="G410" s="242"/>
      <c r="H410" s="240"/>
      <c r="I410" s="263"/>
      <c r="J410" s="263"/>
      <c r="K410" s="263"/>
      <c r="L410" s="242"/>
      <c r="Q410" s="263"/>
      <c r="R410" s="263"/>
      <c r="S410" s="263"/>
      <c r="T410" s="263"/>
      <c r="U410" s="263"/>
      <c r="V410" s="263"/>
      <c r="W410" s="263"/>
      <c r="X410" s="263"/>
      <c r="Y410" s="263"/>
      <c r="Z410" s="263"/>
      <c r="AA410" s="263"/>
      <c r="AB410" s="263"/>
      <c r="AC410" s="263"/>
      <c r="AD410" s="263"/>
      <c r="AE410" s="263"/>
      <c r="AF410" s="263"/>
      <c r="AG410" s="263"/>
      <c r="AH410" s="263"/>
      <c r="AI410" s="263"/>
      <c r="AJ410" s="263"/>
      <c r="AK410" s="263"/>
      <c r="AL410" s="263"/>
      <c r="AM410" s="242"/>
    </row>
    <row r="411" spans="1:39" ht="18" customHeight="1" x14ac:dyDescent="0.15">
      <c r="A411" s="240"/>
      <c r="B411" s="242"/>
      <c r="C411" s="240"/>
      <c r="D411" s="263"/>
      <c r="E411" s="242"/>
      <c r="F411" s="242"/>
      <c r="G411" s="242"/>
      <c r="H411" s="240"/>
      <c r="I411" s="263"/>
      <c r="J411" s="263"/>
      <c r="K411" s="263"/>
      <c r="L411" s="242"/>
      <c r="Q411" s="263"/>
      <c r="R411" s="263"/>
      <c r="S411" s="263"/>
      <c r="T411" s="263"/>
      <c r="U411" s="263"/>
      <c r="V411" s="263"/>
      <c r="W411" s="263"/>
      <c r="X411" s="263"/>
      <c r="Y411" s="263"/>
      <c r="Z411" s="263"/>
      <c r="AA411" s="263"/>
      <c r="AB411" s="263"/>
      <c r="AC411" s="263"/>
      <c r="AD411" s="263"/>
      <c r="AE411" s="263"/>
      <c r="AF411" s="263"/>
      <c r="AG411" s="263"/>
      <c r="AH411" s="263"/>
      <c r="AI411" s="263"/>
      <c r="AJ411" s="263"/>
      <c r="AK411" s="263"/>
      <c r="AL411" s="263"/>
      <c r="AM411" s="242"/>
    </row>
    <row r="412" spans="1:39" ht="18" customHeight="1" x14ac:dyDescent="0.15">
      <c r="A412" s="240"/>
      <c r="B412" s="242"/>
      <c r="C412" s="240"/>
      <c r="D412" s="263"/>
      <c r="E412" s="242"/>
      <c r="F412" s="242"/>
      <c r="G412" s="242"/>
      <c r="H412" s="240"/>
      <c r="I412" s="263"/>
      <c r="J412" s="263"/>
      <c r="K412" s="263"/>
      <c r="L412" s="242"/>
      <c r="Q412" s="263"/>
      <c r="R412" s="263"/>
      <c r="S412" s="263"/>
      <c r="T412" s="263"/>
      <c r="U412" s="263"/>
      <c r="V412" s="263"/>
      <c r="W412" s="263"/>
      <c r="X412" s="263"/>
      <c r="Y412" s="263"/>
      <c r="Z412" s="263"/>
      <c r="AA412" s="263"/>
      <c r="AB412" s="263"/>
      <c r="AC412" s="263"/>
      <c r="AD412" s="263"/>
      <c r="AE412" s="263"/>
      <c r="AF412" s="263"/>
      <c r="AG412" s="263"/>
      <c r="AH412" s="263"/>
      <c r="AI412" s="263"/>
      <c r="AJ412" s="263"/>
      <c r="AK412" s="263"/>
      <c r="AL412" s="263"/>
      <c r="AM412" s="242"/>
    </row>
    <row r="413" spans="1:39" ht="18" customHeight="1" x14ac:dyDescent="0.15">
      <c r="A413" s="240"/>
      <c r="B413" s="242"/>
      <c r="C413" s="240"/>
      <c r="D413" s="263"/>
      <c r="E413" s="242"/>
      <c r="F413" s="242"/>
      <c r="G413" s="242"/>
      <c r="H413" s="240"/>
      <c r="I413" s="263"/>
      <c r="J413" s="263"/>
      <c r="K413" s="263"/>
      <c r="L413" s="242"/>
      <c r="Q413" s="263"/>
      <c r="R413" s="263"/>
      <c r="S413" s="263"/>
      <c r="T413" s="263"/>
      <c r="U413" s="263"/>
      <c r="V413" s="263"/>
      <c r="W413" s="263"/>
      <c r="X413" s="263"/>
      <c r="Y413" s="263"/>
      <c r="Z413" s="263"/>
      <c r="AA413" s="263"/>
      <c r="AB413" s="263"/>
      <c r="AC413" s="263"/>
      <c r="AD413" s="263"/>
      <c r="AE413" s="263"/>
      <c r="AF413" s="263"/>
      <c r="AG413" s="263"/>
      <c r="AH413" s="263"/>
      <c r="AI413" s="263"/>
      <c r="AJ413" s="263"/>
      <c r="AK413" s="263"/>
      <c r="AL413" s="263"/>
      <c r="AM413" s="242"/>
    </row>
    <row r="414" spans="1:39" ht="18" customHeight="1" x14ac:dyDescent="0.15">
      <c r="A414" s="240"/>
      <c r="B414" s="242"/>
      <c r="C414" s="240"/>
      <c r="D414" s="263"/>
      <c r="E414" s="242"/>
      <c r="F414" s="242"/>
      <c r="G414" s="242"/>
      <c r="H414" s="240"/>
      <c r="I414" s="263"/>
      <c r="J414" s="263"/>
      <c r="K414" s="263"/>
      <c r="L414" s="242"/>
      <c r="Q414" s="263"/>
      <c r="R414" s="263"/>
      <c r="S414" s="263"/>
      <c r="T414" s="263"/>
      <c r="U414" s="263"/>
      <c r="V414" s="263"/>
      <c r="W414" s="263"/>
      <c r="X414" s="263"/>
      <c r="Y414" s="263"/>
      <c r="Z414" s="263"/>
      <c r="AA414" s="263"/>
      <c r="AB414" s="263"/>
      <c r="AC414" s="263"/>
      <c r="AD414" s="263"/>
      <c r="AE414" s="263"/>
      <c r="AF414" s="263"/>
      <c r="AG414" s="263"/>
      <c r="AH414" s="263"/>
      <c r="AI414" s="263"/>
      <c r="AJ414" s="263"/>
      <c r="AK414" s="263"/>
      <c r="AL414" s="263"/>
      <c r="AM414" s="242"/>
    </row>
    <row r="415" spans="1:39" ht="18" customHeight="1" x14ac:dyDescent="0.15">
      <c r="A415" s="240"/>
      <c r="B415" s="242"/>
      <c r="C415" s="240"/>
      <c r="D415" s="263"/>
      <c r="E415" s="242"/>
      <c r="F415" s="242"/>
      <c r="G415" s="242"/>
      <c r="H415" s="240"/>
      <c r="I415" s="263"/>
      <c r="J415" s="263"/>
      <c r="K415" s="263"/>
      <c r="L415" s="242"/>
      <c r="Q415" s="263"/>
      <c r="R415" s="263"/>
      <c r="S415" s="263"/>
      <c r="T415" s="263"/>
      <c r="U415" s="263"/>
      <c r="V415" s="263"/>
      <c r="W415" s="263"/>
      <c r="X415" s="263"/>
      <c r="Y415" s="263"/>
      <c r="Z415" s="263"/>
      <c r="AA415" s="263"/>
      <c r="AB415" s="263"/>
      <c r="AC415" s="263"/>
      <c r="AD415" s="263"/>
      <c r="AE415" s="263"/>
      <c r="AF415" s="263"/>
      <c r="AG415" s="263"/>
      <c r="AH415" s="263"/>
      <c r="AI415" s="263"/>
      <c r="AJ415" s="263"/>
      <c r="AK415" s="263"/>
      <c r="AL415" s="263"/>
      <c r="AM415" s="242"/>
    </row>
    <row r="416" spans="1:39" ht="18" customHeight="1" x14ac:dyDescent="0.15">
      <c r="A416" s="240"/>
      <c r="B416" s="242"/>
      <c r="C416" s="240"/>
      <c r="D416" s="263"/>
      <c r="E416" s="242"/>
      <c r="F416" s="242"/>
      <c r="G416" s="242"/>
      <c r="H416" s="240"/>
      <c r="I416" s="263"/>
      <c r="J416" s="263"/>
      <c r="K416" s="263"/>
      <c r="L416" s="242"/>
      <c r="Q416" s="263"/>
      <c r="R416" s="263"/>
      <c r="S416" s="263"/>
      <c r="T416" s="263"/>
      <c r="U416" s="263"/>
      <c r="V416" s="263"/>
      <c r="W416" s="263"/>
      <c r="X416" s="263"/>
      <c r="Y416" s="263"/>
      <c r="Z416" s="263"/>
      <c r="AA416" s="263"/>
      <c r="AB416" s="263"/>
      <c r="AC416" s="263"/>
      <c r="AD416" s="263"/>
      <c r="AE416" s="263"/>
      <c r="AF416" s="263"/>
      <c r="AG416" s="263"/>
      <c r="AH416" s="263"/>
      <c r="AI416" s="263"/>
      <c r="AJ416" s="263"/>
      <c r="AK416" s="263"/>
      <c r="AL416" s="263"/>
      <c r="AM416" s="242"/>
    </row>
    <row r="417" spans="1:39" ht="18" customHeight="1" x14ac:dyDescent="0.15">
      <c r="A417" s="240"/>
      <c r="B417" s="242"/>
      <c r="C417" s="240"/>
      <c r="D417" s="263"/>
      <c r="E417" s="242"/>
      <c r="F417" s="242"/>
      <c r="G417" s="242"/>
      <c r="H417" s="240"/>
      <c r="I417" s="263"/>
      <c r="J417" s="263"/>
      <c r="K417" s="263"/>
      <c r="L417" s="242"/>
      <c r="Q417" s="263"/>
      <c r="R417" s="263"/>
      <c r="S417" s="263"/>
      <c r="T417" s="263"/>
      <c r="U417" s="263"/>
      <c r="V417" s="263"/>
      <c r="W417" s="263"/>
      <c r="X417" s="263"/>
      <c r="Y417" s="263"/>
      <c r="Z417" s="263"/>
      <c r="AA417" s="263"/>
      <c r="AB417" s="263"/>
      <c r="AC417" s="263"/>
      <c r="AD417" s="263"/>
      <c r="AE417" s="263"/>
      <c r="AF417" s="263"/>
      <c r="AG417" s="263"/>
      <c r="AH417" s="263"/>
      <c r="AI417" s="263"/>
      <c r="AJ417" s="263"/>
      <c r="AK417" s="263"/>
      <c r="AL417" s="263"/>
      <c r="AM417" s="242"/>
    </row>
    <row r="418" spans="1:39" ht="18" customHeight="1" x14ac:dyDescent="0.15">
      <c r="A418" s="240"/>
      <c r="B418" s="242"/>
      <c r="C418" s="240"/>
      <c r="D418" s="263"/>
      <c r="E418" s="242"/>
      <c r="F418" s="242"/>
      <c r="G418" s="242"/>
      <c r="H418" s="240"/>
      <c r="I418" s="263"/>
      <c r="J418" s="263"/>
      <c r="K418" s="263"/>
      <c r="L418" s="242"/>
      <c r="Q418" s="263"/>
      <c r="R418" s="263"/>
      <c r="S418" s="263"/>
      <c r="T418" s="263"/>
      <c r="U418" s="263"/>
      <c r="V418" s="263"/>
      <c r="W418" s="263"/>
      <c r="X418" s="263"/>
      <c r="Y418" s="263"/>
      <c r="Z418" s="263"/>
      <c r="AA418" s="263"/>
      <c r="AB418" s="263"/>
      <c r="AC418" s="263"/>
      <c r="AD418" s="263"/>
      <c r="AE418" s="263"/>
      <c r="AF418" s="263"/>
      <c r="AG418" s="263"/>
      <c r="AH418" s="263"/>
      <c r="AI418" s="263"/>
      <c r="AJ418" s="263"/>
      <c r="AK418" s="263"/>
      <c r="AL418" s="263"/>
      <c r="AM418" s="242"/>
    </row>
    <row r="419" spans="1:39" ht="18" customHeight="1" x14ac:dyDescent="0.15">
      <c r="A419" s="240"/>
      <c r="B419" s="242"/>
      <c r="C419" s="240"/>
      <c r="D419" s="263"/>
      <c r="E419" s="242"/>
      <c r="F419" s="242"/>
      <c r="G419" s="242"/>
      <c r="H419" s="240"/>
      <c r="I419" s="263"/>
      <c r="J419" s="263"/>
      <c r="K419" s="263"/>
      <c r="L419" s="242"/>
      <c r="Q419" s="263"/>
      <c r="R419" s="263"/>
      <c r="S419" s="263"/>
      <c r="T419" s="263"/>
      <c r="U419" s="263"/>
      <c r="V419" s="263"/>
      <c r="W419" s="263"/>
      <c r="X419" s="263"/>
      <c r="Y419" s="263"/>
      <c r="Z419" s="263"/>
      <c r="AA419" s="263"/>
      <c r="AB419" s="263"/>
      <c r="AC419" s="263"/>
      <c r="AD419" s="263"/>
      <c r="AE419" s="263"/>
      <c r="AF419" s="263"/>
      <c r="AG419" s="263"/>
      <c r="AH419" s="263"/>
      <c r="AI419" s="263"/>
      <c r="AJ419" s="263"/>
      <c r="AK419" s="263"/>
      <c r="AL419" s="263"/>
      <c r="AM419" s="242"/>
    </row>
    <row r="420" spans="1:39" ht="18" customHeight="1" x14ac:dyDescent="0.15">
      <c r="A420" s="240"/>
      <c r="B420" s="242"/>
      <c r="C420" s="240"/>
      <c r="D420" s="263"/>
      <c r="E420" s="242"/>
      <c r="F420" s="242"/>
      <c r="G420" s="242"/>
      <c r="H420" s="240"/>
      <c r="I420" s="263"/>
      <c r="J420" s="263"/>
      <c r="K420" s="263"/>
      <c r="L420" s="242"/>
      <c r="Q420" s="263"/>
      <c r="R420" s="263"/>
      <c r="S420" s="263"/>
      <c r="T420" s="263"/>
      <c r="U420" s="263"/>
      <c r="V420" s="263"/>
      <c r="W420" s="263"/>
      <c r="X420" s="263"/>
      <c r="Y420" s="263"/>
      <c r="Z420" s="263"/>
      <c r="AA420" s="263"/>
      <c r="AB420" s="263"/>
      <c r="AC420" s="263"/>
      <c r="AD420" s="263"/>
      <c r="AE420" s="263"/>
      <c r="AF420" s="263"/>
      <c r="AG420" s="263"/>
      <c r="AH420" s="263"/>
      <c r="AI420" s="263"/>
      <c r="AJ420" s="263"/>
      <c r="AK420" s="263"/>
      <c r="AL420" s="263"/>
      <c r="AM420" s="242"/>
    </row>
    <row r="421" spans="1:39" ht="18" customHeight="1" x14ac:dyDescent="0.15">
      <c r="A421" s="240"/>
      <c r="B421" s="242"/>
      <c r="C421" s="240"/>
      <c r="D421" s="263"/>
      <c r="E421" s="242"/>
      <c r="F421" s="242"/>
      <c r="G421" s="242"/>
      <c r="H421" s="240"/>
      <c r="I421" s="263"/>
      <c r="J421" s="263"/>
      <c r="K421" s="263"/>
      <c r="L421" s="242"/>
      <c r="Q421" s="263"/>
      <c r="R421" s="263"/>
      <c r="S421" s="263"/>
      <c r="T421" s="263"/>
      <c r="U421" s="263"/>
      <c r="V421" s="263"/>
      <c r="W421" s="263"/>
      <c r="X421" s="263"/>
      <c r="Y421" s="263"/>
      <c r="Z421" s="263"/>
      <c r="AA421" s="263"/>
      <c r="AB421" s="263"/>
      <c r="AC421" s="263"/>
      <c r="AD421" s="263"/>
      <c r="AE421" s="263"/>
      <c r="AF421" s="263"/>
      <c r="AG421" s="263"/>
      <c r="AH421" s="263"/>
      <c r="AI421" s="263"/>
      <c r="AJ421" s="263"/>
      <c r="AK421" s="263"/>
      <c r="AL421" s="263"/>
      <c r="AM421" s="242"/>
    </row>
    <row r="422" spans="1:39" ht="18" customHeight="1" x14ac:dyDescent="0.15">
      <c r="A422" s="240"/>
      <c r="B422" s="242"/>
      <c r="C422" s="240"/>
      <c r="D422" s="263"/>
      <c r="E422" s="242"/>
      <c r="F422" s="242"/>
      <c r="G422" s="242"/>
      <c r="H422" s="240"/>
      <c r="I422" s="263"/>
      <c r="J422" s="263"/>
      <c r="K422" s="263"/>
      <c r="L422" s="242"/>
      <c r="Q422" s="263"/>
      <c r="R422" s="263"/>
      <c r="S422" s="263"/>
      <c r="T422" s="263"/>
      <c r="U422" s="263"/>
      <c r="V422" s="263"/>
      <c r="W422" s="263"/>
      <c r="X422" s="263"/>
      <c r="Y422" s="263"/>
      <c r="Z422" s="263"/>
      <c r="AA422" s="263"/>
      <c r="AB422" s="263"/>
      <c r="AC422" s="263"/>
      <c r="AD422" s="263"/>
      <c r="AE422" s="263"/>
      <c r="AF422" s="263"/>
      <c r="AG422" s="263"/>
      <c r="AH422" s="263"/>
      <c r="AI422" s="263"/>
      <c r="AJ422" s="263"/>
      <c r="AK422" s="263"/>
      <c r="AL422" s="263"/>
      <c r="AM422" s="242"/>
    </row>
    <row r="423" spans="1:39" ht="18" customHeight="1" x14ac:dyDescent="0.15">
      <c r="A423" s="240"/>
      <c r="B423" s="242"/>
      <c r="C423" s="240"/>
      <c r="D423" s="263"/>
      <c r="E423" s="242"/>
      <c r="F423" s="242"/>
      <c r="G423" s="242"/>
      <c r="H423" s="240"/>
      <c r="I423" s="263"/>
      <c r="J423" s="263"/>
      <c r="K423" s="263"/>
      <c r="L423" s="242"/>
      <c r="Q423" s="263"/>
      <c r="R423" s="263"/>
      <c r="S423" s="263"/>
      <c r="T423" s="263"/>
      <c r="U423" s="263"/>
      <c r="V423" s="263"/>
      <c r="W423" s="263"/>
      <c r="X423" s="263"/>
      <c r="Y423" s="263"/>
      <c r="Z423" s="263"/>
      <c r="AA423" s="263"/>
      <c r="AB423" s="263"/>
      <c r="AC423" s="263"/>
      <c r="AD423" s="263"/>
      <c r="AE423" s="263"/>
      <c r="AF423" s="263"/>
      <c r="AG423" s="263"/>
      <c r="AH423" s="263"/>
      <c r="AI423" s="263"/>
      <c r="AJ423" s="263"/>
      <c r="AK423" s="263"/>
      <c r="AL423" s="263"/>
      <c r="AM423" s="242"/>
    </row>
    <row r="424" spans="1:39" ht="18" customHeight="1" x14ac:dyDescent="0.15">
      <c r="A424" s="240"/>
      <c r="B424" s="242"/>
      <c r="C424" s="240"/>
      <c r="D424" s="263"/>
      <c r="E424" s="242"/>
      <c r="F424" s="242"/>
      <c r="G424" s="242"/>
      <c r="H424" s="240"/>
      <c r="I424" s="263"/>
      <c r="J424" s="263"/>
      <c r="K424" s="263"/>
      <c r="L424" s="242"/>
      <c r="Q424" s="263"/>
      <c r="R424" s="263"/>
      <c r="S424" s="263"/>
      <c r="T424" s="263"/>
      <c r="U424" s="263"/>
      <c r="V424" s="263"/>
      <c r="W424" s="263"/>
      <c r="X424" s="263"/>
      <c r="Y424" s="263"/>
      <c r="Z424" s="263"/>
      <c r="AA424" s="263"/>
      <c r="AB424" s="263"/>
      <c r="AC424" s="263"/>
      <c r="AD424" s="263"/>
      <c r="AE424" s="263"/>
      <c r="AF424" s="263"/>
      <c r="AG424" s="263"/>
      <c r="AH424" s="263"/>
      <c r="AI424" s="263"/>
      <c r="AJ424" s="263"/>
      <c r="AK424" s="263"/>
      <c r="AL424" s="263"/>
      <c r="AM424" s="242"/>
    </row>
    <row r="425" spans="1:39" ht="18" customHeight="1" x14ac:dyDescent="0.15">
      <c r="A425" s="240"/>
      <c r="B425" s="242"/>
      <c r="C425" s="240"/>
      <c r="D425" s="263"/>
      <c r="E425" s="242"/>
      <c r="F425" s="242"/>
      <c r="G425" s="242"/>
      <c r="H425" s="240"/>
      <c r="I425" s="263"/>
      <c r="J425" s="263"/>
      <c r="K425" s="263"/>
      <c r="L425" s="242"/>
      <c r="Q425" s="263"/>
      <c r="R425" s="263"/>
      <c r="S425" s="263"/>
      <c r="T425" s="263"/>
      <c r="U425" s="263"/>
      <c r="V425" s="263"/>
      <c r="W425" s="263"/>
      <c r="X425" s="263"/>
      <c r="Y425" s="263"/>
      <c r="Z425" s="263"/>
      <c r="AA425" s="263"/>
      <c r="AB425" s="263"/>
      <c r="AC425" s="263"/>
      <c r="AD425" s="263"/>
      <c r="AE425" s="263"/>
      <c r="AF425" s="263"/>
      <c r="AG425" s="263"/>
      <c r="AH425" s="263"/>
      <c r="AI425" s="263"/>
      <c r="AJ425" s="263"/>
      <c r="AK425" s="263"/>
      <c r="AL425" s="263"/>
      <c r="AM425" s="242"/>
    </row>
    <row r="426" spans="1:39" ht="18" customHeight="1" x14ac:dyDescent="0.15">
      <c r="A426" s="240"/>
      <c r="B426" s="242"/>
      <c r="C426" s="240"/>
      <c r="D426" s="263"/>
      <c r="E426" s="242"/>
      <c r="F426" s="242"/>
      <c r="G426" s="242"/>
      <c r="H426" s="240"/>
      <c r="I426" s="263"/>
      <c r="J426" s="263"/>
      <c r="K426" s="263"/>
      <c r="L426" s="242"/>
      <c r="Q426" s="263"/>
      <c r="R426" s="263"/>
      <c r="S426" s="263"/>
      <c r="T426" s="263"/>
      <c r="U426" s="263"/>
      <c r="V426" s="263"/>
      <c r="W426" s="263"/>
      <c r="X426" s="263"/>
      <c r="Y426" s="263"/>
      <c r="Z426" s="263"/>
      <c r="AA426" s="263"/>
      <c r="AB426" s="263"/>
      <c r="AC426" s="263"/>
      <c r="AD426" s="263"/>
      <c r="AE426" s="263"/>
      <c r="AF426" s="263"/>
      <c r="AG426" s="263"/>
      <c r="AH426" s="263"/>
      <c r="AI426" s="263"/>
      <c r="AJ426" s="263"/>
      <c r="AK426" s="263"/>
      <c r="AL426" s="263"/>
      <c r="AM426" s="242"/>
    </row>
    <row r="427" spans="1:39" ht="18" customHeight="1" x14ac:dyDescent="0.15">
      <c r="A427" s="240"/>
      <c r="B427" s="242"/>
      <c r="C427" s="240"/>
      <c r="D427" s="263"/>
      <c r="E427" s="242"/>
      <c r="F427" s="242"/>
      <c r="G427" s="242"/>
      <c r="H427" s="240"/>
      <c r="I427" s="263"/>
      <c r="J427" s="263"/>
      <c r="K427" s="263"/>
      <c r="L427" s="242"/>
      <c r="Q427" s="263"/>
      <c r="R427" s="263"/>
      <c r="S427" s="263"/>
      <c r="T427" s="263"/>
      <c r="U427" s="263"/>
      <c r="V427" s="263"/>
      <c r="W427" s="263"/>
      <c r="X427" s="263"/>
      <c r="Y427" s="263"/>
      <c r="Z427" s="263"/>
      <c r="AA427" s="263"/>
      <c r="AB427" s="263"/>
      <c r="AC427" s="263"/>
      <c r="AD427" s="263"/>
      <c r="AE427" s="263"/>
      <c r="AF427" s="263"/>
      <c r="AG427" s="263"/>
      <c r="AH427" s="263"/>
      <c r="AI427" s="263"/>
      <c r="AJ427" s="263"/>
      <c r="AK427" s="263"/>
      <c r="AL427" s="263"/>
      <c r="AM427" s="242"/>
    </row>
    <row r="428" spans="1:39" ht="18" customHeight="1" x14ac:dyDescent="0.15">
      <c r="A428" s="240"/>
      <c r="B428" s="242"/>
      <c r="C428" s="240"/>
      <c r="D428" s="263"/>
      <c r="E428" s="242"/>
      <c r="F428" s="242"/>
      <c r="G428" s="242"/>
      <c r="H428" s="240"/>
      <c r="I428" s="263"/>
      <c r="J428" s="263"/>
      <c r="K428" s="263"/>
      <c r="L428" s="242"/>
      <c r="Q428" s="263"/>
      <c r="R428" s="263"/>
      <c r="S428" s="263"/>
      <c r="T428" s="263"/>
      <c r="U428" s="263"/>
      <c r="V428" s="263"/>
      <c r="W428" s="263"/>
      <c r="X428" s="263"/>
      <c r="Y428" s="263"/>
      <c r="Z428" s="263"/>
      <c r="AA428" s="263"/>
      <c r="AB428" s="263"/>
      <c r="AC428" s="263"/>
      <c r="AD428" s="263"/>
      <c r="AE428" s="263"/>
      <c r="AF428" s="263"/>
      <c r="AG428" s="263"/>
      <c r="AH428" s="263"/>
      <c r="AI428" s="263"/>
      <c r="AJ428" s="263"/>
      <c r="AK428" s="263"/>
      <c r="AL428" s="263"/>
      <c r="AM428" s="242"/>
    </row>
    <row r="429" spans="1:39" ht="18" customHeight="1" x14ac:dyDescent="0.15">
      <c r="A429" s="240"/>
      <c r="B429" s="242"/>
      <c r="C429" s="240"/>
      <c r="D429" s="263"/>
      <c r="E429" s="242"/>
      <c r="F429" s="242"/>
      <c r="G429" s="242"/>
      <c r="H429" s="240"/>
      <c r="I429" s="263"/>
      <c r="J429" s="263"/>
      <c r="K429" s="263"/>
      <c r="L429" s="242"/>
      <c r="Q429" s="263"/>
      <c r="R429" s="263"/>
      <c r="S429" s="263"/>
      <c r="T429" s="263"/>
      <c r="U429" s="263"/>
      <c r="V429" s="263"/>
      <c r="W429" s="263"/>
      <c r="X429" s="263"/>
      <c r="Y429" s="263"/>
      <c r="Z429" s="263"/>
      <c r="AA429" s="263"/>
      <c r="AB429" s="263"/>
      <c r="AC429" s="263"/>
      <c r="AD429" s="263"/>
      <c r="AE429" s="263"/>
      <c r="AF429" s="263"/>
      <c r="AG429" s="263"/>
      <c r="AH429" s="263"/>
      <c r="AI429" s="263"/>
      <c r="AJ429" s="263"/>
      <c r="AK429" s="263"/>
      <c r="AL429" s="263"/>
      <c r="AM429" s="242"/>
    </row>
    <row r="430" spans="1:39" ht="18" customHeight="1" x14ac:dyDescent="0.15">
      <c r="A430" s="240"/>
      <c r="B430" s="242"/>
      <c r="C430" s="240"/>
      <c r="D430" s="263"/>
      <c r="E430" s="242"/>
      <c r="F430" s="242"/>
      <c r="G430" s="242"/>
      <c r="H430" s="240"/>
      <c r="I430" s="263"/>
      <c r="J430" s="263"/>
      <c r="K430" s="263"/>
      <c r="L430" s="242"/>
      <c r="Q430" s="263"/>
      <c r="R430" s="263"/>
      <c r="S430" s="263"/>
      <c r="T430" s="263"/>
      <c r="U430" s="263"/>
      <c r="V430" s="263"/>
      <c r="W430" s="263"/>
      <c r="X430" s="263"/>
      <c r="Y430" s="263"/>
      <c r="Z430" s="263"/>
      <c r="AA430" s="263"/>
      <c r="AB430" s="263"/>
      <c r="AC430" s="263"/>
      <c r="AD430" s="263"/>
      <c r="AE430" s="263"/>
      <c r="AF430" s="263"/>
      <c r="AG430" s="263"/>
      <c r="AH430" s="263"/>
      <c r="AI430" s="263"/>
      <c r="AJ430" s="263"/>
      <c r="AK430" s="263"/>
      <c r="AL430" s="263"/>
      <c r="AM430" s="242"/>
    </row>
    <row r="431" spans="1:39" ht="18" customHeight="1" x14ac:dyDescent="0.15">
      <c r="A431" s="240"/>
      <c r="B431" s="242"/>
      <c r="C431" s="240"/>
      <c r="D431" s="263"/>
      <c r="E431" s="242"/>
      <c r="F431" s="242"/>
      <c r="G431" s="242"/>
      <c r="H431" s="240"/>
      <c r="I431" s="263"/>
      <c r="J431" s="263"/>
      <c r="K431" s="263"/>
      <c r="L431" s="242"/>
      <c r="Q431" s="263"/>
      <c r="R431" s="263"/>
      <c r="S431" s="263"/>
      <c r="T431" s="263"/>
      <c r="U431" s="263"/>
      <c r="V431" s="263"/>
      <c r="W431" s="263"/>
      <c r="X431" s="263"/>
      <c r="Y431" s="263"/>
      <c r="Z431" s="263"/>
      <c r="AA431" s="263"/>
      <c r="AB431" s="263"/>
      <c r="AC431" s="263"/>
      <c r="AD431" s="263"/>
      <c r="AE431" s="263"/>
      <c r="AF431" s="263"/>
      <c r="AG431" s="263"/>
      <c r="AH431" s="263"/>
      <c r="AI431" s="263"/>
      <c r="AJ431" s="263"/>
      <c r="AK431" s="263"/>
      <c r="AL431" s="263"/>
      <c r="AM431" s="242"/>
    </row>
    <row r="432" spans="1:39" ht="18" customHeight="1" x14ac:dyDescent="0.15">
      <c r="A432" s="240"/>
      <c r="B432" s="242"/>
      <c r="C432" s="240"/>
      <c r="D432" s="263"/>
      <c r="E432" s="242"/>
      <c r="F432" s="242"/>
      <c r="G432" s="242"/>
      <c r="H432" s="240"/>
      <c r="I432" s="263"/>
      <c r="J432" s="263"/>
      <c r="K432" s="263"/>
      <c r="L432" s="242"/>
      <c r="Q432" s="263"/>
      <c r="R432" s="263"/>
      <c r="S432" s="263"/>
      <c r="T432" s="263"/>
      <c r="U432" s="263"/>
      <c r="V432" s="263"/>
      <c r="W432" s="263"/>
      <c r="X432" s="263"/>
      <c r="Y432" s="263"/>
      <c r="Z432" s="263"/>
      <c r="AA432" s="263"/>
      <c r="AB432" s="263"/>
      <c r="AC432" s="263"/>
      <c r="AD432" s="263"/>
      <c r="AE432" s="263"/>
      <c r="AF432" s="263"/>
      <c r="AG432" s="263"/>
      <c r="AH432" s="263"/>
      <c r="AI432" s="263"/>
      <c r="AJ432" s="263"/>
      <c r="AK432" s="263"/>
      <c r="AL432" s="263"/>
      <c r="AM432" s="242"/>
    </row>
    <row r="433" spans="1:39" ht="18" customHeight="1" x14ac:dyDescent="0.15">
      <c r="A433" s="240"/>
      <c r="B433" s="242"/>
      <c r="C433" s="240"/>
      <c r="D433" s="263"/>
      <c r="E433" s="242"/>
      <c r="F433" s="242"/>
      <c r="G433" s="242"/>
      <c r="H433" s="240"/>
      <c r="I433" s="263"/>
      <c r="J433" s="263"/>
      <c r="K433" s="263"/>
      <c r="L433" s="242"/>
      <c r="Q433" s="263"/>
      <c r="R433" s="263"/>
      <c r="S433" s="263"/>
      <c r="T433" s="263"/>
      <c r="U433" s="263"/>
      <c r="V433" s="263"/>
      <c r="W433" s="263"/>
      <c r="X433" s="263"/>
      <c r="Y433" s="263"/>
      <c r="Z433" s="263"/>
      <c r="AA433" s="263"/>
      <c r="AB433" s="263"/>
      <c r="AC433" s="263"/>
      <c r="AD433" s="263"/>
      <c r="AE433" s="263"/>
      <c r="AF433" s="263"/>
      <c r="AG433" s="263"/>
      <c r="AH433" s="263"/>
      <c r="AI433" s="263"/>
      <c r="AJ433" s="263"/>
      <c r="AK433" s="263"/>
      <c r="AL433" s="263"/>
      <c r="AM433" s="242"/>
    </row>
    <row r="434" spans="1:39" ht="18" customHeight="1" x14ac:dyDescent="0.15">
      <c r="A434" s="240"/>
      <c r="B434" s="242"/>
      <c r="C434" s="240"/>
      <c r="D434" s="263"/>
      <c r="E434" s="242"/>
      <c r="F434" s="242"/>
      <c r="G434" s="242"/>
      <c r="H434" s="240"/>
      <c r="I434" s="263"/>
      <c r="J434" s="263"/>
      <c r="K434" s="263"/>
      <c r="L434" s="242"/>
      <c r="Q434" s="263"/>
      <c r="R434" s="263"/>
      <c r="S434" s="263"/>
      <c r="T434" s="263"/>
      <c r="U434" s="263"/>
      <c r="V434" s="263"/>
      <c r="W434" s="263"/>
      <c r="X434" s="263"/>
      <c r="Y434" s="263"/>
      <c r="Z434" s="263"/>
      <c r="AA434" s="263"/>
      <c r="AB434" s="263"/>
      <c r="AC434" s="263"/>
      <c r="AD434" s="263"/>
      <c r="AE434" s="263"/>
      <c r="AF434" s="263"/>
      <c r="AG434" s="263"/>
      <c r="AH434" s="263"/>
      <c r="AI434" s="263"/>
      <c r="AJ434" s="263"/>
      <c r="AK434" s="263"/>
      <c r="AL434" s="263"/>
      <c r="AM434" s="242"/>
    </row>
    <row r="435" spans="1:39" ht="18" customHeight="1" x14ac:dyDescent="0.15">
      <c r="A435" s="240"/>
      <c r="B435" s="242"/>
      <c r="C435" s="240"/>
      <c r="D435" s="263"/>
      <c r="E435" s="242"/>
      <c r="F435" s="242"/>
      <c r="G435" s="242"/>
      <c r="H435" s="240"/>
      <c r="I435" s="263"/>
      <c r="J435" s="263"/>
      <c r="K435" s="263"/>
      <c r="L435" s="242"/>
      <c r="Q435" s="263"/>
      <c r="R435" s="263"/>
      <c r="S435" s="263"/>
      <c r="T435" s="263"/>
      <c r="U435" s="263"/>
      <c r="V435" s="263"/>
      <c r="W435" s="263"/>
      <c r="X435" s="263"/>
      <c r="Y435" s="263"/>
      <c r="Z435" s="263"/>
      <c r="AA435" s="263"/>
      <c r="AB435" s="263"/>
      <c r="AC435" s="263"/>
      <c r="AD435" s="263"/>
      <c r="AE435" s="263"/>
      <c r="AF435" s="263"/>
      <c r="AG435" s="263"/>
      <c r="AH435" s="263"/>
      <c r="AI435" s="263"/>
      <c r="AJ435" s="263"/>
      <c r="AK435" s="263"/>
      <c r="AL435" s="263"/>
      <c r="AM435" s="242"/>
    </row>
    <row r="436" spans="1:39" ht="18" customHeight="1" x14ac:dyDescent="0.15">
      <c r="A436" s="240"/>
      <c r="B436" s="242"/>
      <c r="C436" s="240"/>
      <c r="D436" s="263"/>
      <c r="E436" s="242"/>
      <c r="F436" s="242"/>
      <c r="G436" s="242"/>
      <c r="H436" s="240"/>
      <c r="I436" s="263"/>
      <c r="J436" s="263"/>
      <c r="K436" s="263"/>
      <c r="L436" s="242"/>
      <c r="Q436" s="263"/>
      <c r="R436" s="263"/>
      <c r="S436" s="263"/>
      <c r="T436" s="263"/>
      <c r="U436" s="263"/>
      <c r="V436" s="263"/>
      <c r="W436" s="263"/>
      <c r="X436" s="263"/>
      <c r="Y436" s="263"/>
      <c r="Z436" s="263"/>
      <c r="AA436" s="263"/>
      <c r="AB436" s="263"/>
      <c r="AC436" s="263"/>
      <c r="AD436" s="263"/>
      <c r="AE436" s="263"/>
      <c r="AF436" s="263"/>
      <c r="AG436" s="263"/>
      <c r="AH436" s="263"/>
      <c r="AI436" s="263"/>
      <c r="AJ436" s="263"/>
      <c r="AK436" s="263"/>
      <c r="AL436" s="263"/>
      <c r="AM436" s="242"/>
    </row>
    <row r="437" spans="1:39" ht="18" customHeight="1" x14ac:dyDescent="0.15">
      <c r="A437" s="240"/>
      <c r="B437" s="242"/>
      <c r="C437" s="240"/>
      <c r="D437" s="263"/>
      <c r="E437" s="242"/>
      <c r="F437" s="242"/>
      <c r="G437" s="242"/>
      <c r="H437" s="240"/>
      <c r="I437" s="263"/>
      <c r="J437" s="263"/>
      <c r="K437" s="263"/>
      <c r="L437" s="242"/>
      <c r="Q437" s="263"/>
      <c r="R437" s="263"/>
      <c r="S437" s="263"/>
      <c r="T437" s="263"/>
      <c r="U437" s="263"/>
      <c r="V437" s="263"/>
      <c r="W437" s="263"/>
      <c r="X437" s="263"/>
      <c r="Y437" s="263"/>
      <c r="Z437" s="263"/>
      <c r="AA437" s="263"/>
      <c r="AB437" s="263"/>
      <c r="AC437" s="263"/>
      <c r="AD437" s="263"/>
      <c r="AE437" s="263"/>
      <c r="AF437" s="263"/>
      <c r="AG437" s="263"/>
      <c r="AH437" s="263"/>
      <c r="AI437" s="263"/>
      <c r="AJ437" s="263"/>
      <c r="AK437" s="263"/>
      <c r="AL437" s="263"/>
      <c r="AM437" s="242"/>
    </row>
    <row r="438" spans="1:39" ht="18" customHeight="1" x14ac:dyDescent="0.15">
      <c r="A438" s="240"/>
      <c r="B438" s="242"/>
      <c r="C438" s="240"/>
      <c r="D438" s="263"/>
      <c r="E438" s="242"/>
      <c r="F438" s="242"/>
      <c r="G438" s="242"/>
      <c r="H438" s="240"/>
      <c r="I438" s="263"/>
      <c r="J438" s="263"/>
      <c r="K438" s="263"/>
      <c r="L438" s="242"/>
      <c r="Q438" s="263"/>
      <c r="R438" s="263"/>
      <c r="S438" s="263"/>
      <c r="T438" s="263"/>
      <c r="U438" s="263"/>
      <c r="V438" s="263"/>
      <c r="W438" s="263"/>
      <c r="X438" s="263"/>
      <c r="Y438" s="263"/>
      <c r="Z438" s="263"/>
      <c r="AA438" s="263"/>
      <c r="AB438" s="263"/>
      <c r="AC438" s="263"/>
      <c r="AD438" s="263"/>
      <c r="AE438" s="263"/>
      <c r="AF438" s="263"/>
      <c r="AG438" s="263"/>
      <c r="AH438" s="263"/>
      <c r="AI438" s="263"/>
      <c r="AJ438" s="263"/>
      <c r="AK438" s="263"/>
      <c r="AL438" s="263"/>
      <c r="AM438" s="242"/>
    </row>
    <row r="439" spans="1:39" ht="18" customHeight="1" x14ac:dyDescent="0.15">
      <c r="A439" s="240"/>
      <c r="B439" s="242"/>
      <c r="C439" s="240"/>
      <c r="D439" s="263"/>
      <c r="E439" s="242"/>
      <c r="F439" s="242"/>
      <c r="G439" s="242"/>
      <c r="H439" s="240"/>
      <c r="I439" s="263"/>
      <c r="J439" s="263"/>
      <c r="K439" s="263"/>
      <c r="L439" s="242"/>
      <c r="Q439" s="263"/>
      <c r="R439" s="263"/>
      <c r="S439" s="263"/>
      <c r="T439" s="263"/>
      <c r="U439" s="263"/>
      <c r="V439" s="263"/>
      <c r="W439" s="263"/>
      <c r="X439" s="263"/>
      <c r="Y439" s="263"/>
      <c r="Z439" s="263"/>
      <c r="AA439" s="263"/>
      <c r="AB439" s="263"/>
      <c r="AC439" s="263"/>
      <c r="AD439" s="263"/>
      <c r="AE439" s="263"/>
      <c r="AF439" s="263"/>
      <c r="AG439" s="263"/>
      <c r="AH439" s="263"/>
      <c r="AI439" s="263"/>
      <c r="AJ439" s="263"/>
      <c r="AK439" s="263"/>
      <c r="AL439" s="263"/>
      <c r="AM439" s="242"/>
    </row>
    <row r="440" spans="1:39" ht="18" customHeight="1" x14ac:dyDescent="0.15">
      <c r="A440" s="240"/>
      <c r="B440" s="242"/>
      <c r="C440" s="240"/>
      <c r="D440" s="263"/>
      <c r="E440" s="242"/>
      <c r="F440" s="242"/>
      <c r="G440" s="242"/>
      <c r="H440" s="240"/>
      <c r="I440" s="263"/>
      <c r="J440" s="263"/>
      <c r="K440" s="263"/>
      <c r="L440" s="242"/>
      <c r="Q440" s="263"/>
      <c r="R440" s="263"/>
      <c r="S440" s="263"/>
      <c r="T440" s="263"/>
      <c r="U440" s="263"/>
      <c r="V440" s="263"/>
      <c r="W440" s="263"/>
      <c r="X440" s="263"/>
      <c r="Y440" s="263"/>
      <c r="Z440" s="263"/>
      <c r="AA440" s="263"/>
      <c r="AB440" s="263"/>
      <c r="AC440" s="263"/>
      <c r="AD440" s="263"/>
      <c r="AE440" s="263"/>
      <c r="AF440" s="263"/>
      <c r="AG440" s="263"/>
      <c r="AH440" s="263"/>
      <c r="AI440" s="263"/>
      <c r="AJ440" s="263"/>
      <c r="AK440" s="263"/>
      <c r="AL440" s="263"/>
      <c r="AM440" s="242"/>
    </row>
    <row r="441" spans="1:39" ht="18" customHeight="1" x14ac:dyDescent="0.15">
      <c r="A441" s="240"/>
      <c r="B441" s="242"/>
      <c r="C441" s="240"/>
      <c r="D441" s="263"/>
      <c r="E441" s="242"/>
      <c r="F441" s="242"/>
      <c r="G441" s="242"/>
      <c r="H441" s="240"/>
      <c r="I441" s="263"/>
      <c r="J441" s="263"/>
      <c r="K441" s="263"/>
      <c r="L441" s="242"/>
      <c r="Q441" s="263"/>
      <c r="R441" s="263"/>
      <c r="S441" s="263"/>
      <c r="T441" s="263"/>
      <c r="U441" s="263"/>
      <c r="V441" s="263"/>
      <c r="W441" s="263"/>
      <c r="X441" s="263"/>
      <c r="Y441" s="263"/>
      <c r="Z441" s="263"/>
      <c r="AA441" s="263"/>
      <c r="AB441" s="263"/>
      <c r="AC441" s="263"/>
      <c r="AD441" s="263"/>
      <c r="AE441" s="263"/>
      <c r="AF441" s="263"/>
      <c r="AG441" s="263"/>
      <c r="AH441" s="263"/>
      <c r="AI441" s="263"/>
      <c r="AJ441" s="263"/>
      <c r="AK441" s="263"/>
      <c r="AL441" s="263"/>
      <c r="AM441" s="242"/>
    </row>
    <row r="442" spans="1:39" ht="18" customHeight="1" x14ac:dyDescent="0.15">
      <c r="A442" s="240"/>
      <c r="B442" s="242"/>
      <c r="C442" s="240"/>
      <c r="D442" s="263"/>
      <c r="E442" s="242"/>
      <c r="F442" s="242"/>
      <c r="G442" s="242"/>
      <c r="H442" s="240"/>
      <c r="I442" s="263"/>
      <c r="J442" s="263"/>
      <c r="K442" s="263"/>
      <c r="L442" s="242"/>
      <c r="Q442" s="263"/>
      <c r="R442" s="263"/>
      <c r="S442" s="263"/>
      <c r="T442" s="263"/>
      <c r="U442" s="263"/>
      <c r="V442" s="263"/>
      <c r="W442" s="263"/>
      <c r="X442" s="263"/>
      <c r="Y442" s="263"/>
      <c r="Z442" s="263"/>
      <c r="AA442" s="263"/>
      <c r="AB442" s="263"/>
      <c r="AC442" s="263"/>
      <c r="AD442" s="263"/>
      <c r="AE442" s="263"/>
      <c r="AF442" s="263"/>
      <c r="AG442" s="263"/>
      <c r="AH442" s="263"/>
      <c r="AI442" s="263"/>
      <c r="AJ442" s="263"/>
      <c r="AK442" s="263"/>
      <c r="AL442" s="263"/>
      <c r="AM442" s="242"/>
    </row>
    <row r="443" spans="1:39" ht="18" customHeight="1" x14ac:dyDescent="0.15">
      <c r="A443" s="240"/>
      <c r="B443" s="242"/>
      <c r="C443" s="240"/>
      <c r="D443" s="263"/>
      <c r="E443" s="242"/>
      <c r="F443" s="242"/>
      <c r="G443" s="242"/>
      <c r="H443" s="240"/>
      <c r="I443" s="263"/>
      <c r="J443" s="263"/>
      <c r="K443" s="263"/>
      <c r="L443" s="242"/>
      <c r="Q443" s="263"/>
      <c r="R443" s="263"/>
      <c r="S443" s="263"/>
      <c r="T443" s="263"/>
      <c r="U443" s="263"/>
      <c r="V443" s="263"/>
      <c r="W443" s="263"/>
      <c r="X443" s="263"/>
      <c r="Y443" s="263"/>
      <c r="Z443" s="263"/>
      <c r="AA443" s="263"/>
      <c r="AB443" s="263"/>
      <c r="AC443" s="263"/>
      <c r="AD443" s="263"/>
      <c r="AE443" s="263"/>
      <c r="AF443" s="263"/>
      <c r="AG443" s="263"/>
      <c r="AH443" s="263"/>
      <c r="AI443" s="263"/>
      <c r="AJ443" s="263"/>
      <c r="AK443" s="263"/>
      <c r="AL443" s="263"/>
      <c r="AM443" s="242"/>
    </row>
    <row r="444" spans="1:39" ht="18" customHeight="1" x14ac:dyDescent="0.15">
      <c r="A444" s="240"/>
      <c r="B444" s="242"/>
      <c r="C444" s="240"/>
      <c r="D444" s="263"/>
      <c r="E444" s="242"/>
      <c r="F444" s="242"/>
      <c r="G444" s="242"/>
      <c r="H444" s="240"/>
      <c r="I444" s="263"/>
      <c r="J444" s="263"/>
      <c r="K444" s="263"/>
      <c r="L444" s="242"/>
      <c r="Q444" s="263"/>
      <c r="R444" s="263"/>
      <c r="S444" s="263"/>
      <c r="T444" s="263"/>
      <c r="U444" s="263"/>
      <c r="V444" s="263"/>
      <c r="W444" s="263"/>
      <c r="X444" s="263"/>
      <c r="Y444" s="263"/>
      <c r="Z444" s="263"/>
      <c r="AA444" s="263"/>
      <c r="AB444" s="263"/>
      <c r="AC444" s="263"/>
      <c r="AD444" s="263"/>
      <c r="AE444" s="263"/>
      <c r="AF444" s="263"/>
      <c r="AG444" s="263"/>
      <c r="AH444" s="263"/>
      <c r="AI444" s="263"/>
      <c r="AJ444" s="263"/>
      <c r="AK444" s="263"/>
      <c r="AL444" s="263"/>
      <c r="AM444" s="242"/>
    </row>
    <row r="445" spans="1:39" ht="18" customHeight="1" x14ac:dyDescent="0.15">
      <c r="A445" s="240"/>
      <c r="B445" s="242"/>
      <c r="C445" s="240"/>
      <c r="D445" s="263"/>
      <c r="E445" s="242"/>
      <c r="F445" s="242"/>
      <c r="G445" s="242"/>
      <c r="H445" s="240"/>
      <c r="I445" s="263"/>
      <c r="J445" s="263"/>
      <c r="K445" s="263"/>
      <c r="L445" s="242"/>
      <c r="Q445" s="263"/>
      <c r="R445" s="263"/>
      <c r="S445" s="263"/>
      <c r="T445" s="263"/>
      <c r="U445" s="263"/>
      <c r="V445" s="263"/>
      <c r="W445" s="263"/>
      <c r="X445" s="263"/>
      <c r="Y445" s="263"/>
      <c r="Z445" s="263"/>
      <c r="AA445" s="263"/>
      <c r="AB445" s="263"/>
      <c r="AC445" s="263"/>
      <c r="AD445" s="263"/>
      <c r="AE445" s="263"/>
      <c r="AF445" s="263"/>
      <c r="AG445" s="263"/>
      <c r="AH445" s="263"/>
      <c r="AI445" s="263"/>
      <c r="AJ445" s="263"/>
      <c r="AK445" s="263"/>
      <c r="AL445" s="263"/>
      <c r="AM445" s="242"/>
    </row>
    <row r="446" spans="1:39" ht="18" customHeight="1" x14ac:dyDescent="0.15">
      <c r="A446" s="240"/>
      <c r="B446" s="242"/>
      <c r="C446" s="240"/>
      <c r="D446" s="263"/>
      <c r="E446" s="242"/>
      <c r="F446" s="242"/>
      <c r="G446" s="242"/>
      <c r="H446" s="240"/>
      <c r="I446" s="263"/>
      <c r="J446" s="263"/>
      <c r="K446" s="263"/>
      <c r="L446" s="242"/>
      <c r="Q446" s="263"/>
      <c r="R446" s="263"/>
      <c r="S446" s="263"/>
      <c r="T446" s="263"/>
      <c r="U446" s="263"/>
      <c r="V446" s="263"/>
      <c r="W446" s="263"/>
      <c r="X446" s="263"/>
      <c r="Y446" s="263"/>
      <c r="Z446" s="263"/>
      <c r="AA446" s="263"/>
      <c r="AB446" s="263"/>
      <c r="AC446" s="263"/>
      <c r="AD446" s="263"/>
      <c r="AE446" s="263"/>
      <c r="AF446" s="263"/>
      <c r="AG446" s="263"/>
      <c r="AH446" s="263"/>
      <c r="AI446" s="263"/>
      <c r="AJ446" s="263"/>
      <c r="AK446" s="263"/>
      <c r="AL446" s="263"/>
      <c r="AM446" s="242"/>
    </row>
    <row r="447" spans="1:39" ht="18" customHeight="1" x14ac:dyDescent="0.15">
      <c r="A447" s="240"/>
      <c r="B447" s="242"/>
      <c r="C447" s="240"/>
      <c r="D447" s="263"/>
      <c r="E447" s="242"/>
      <c r="F447" s="242"/>
      <c r="G447" s="242"/>
      <c r="H447" s="240"/>
      <c r="I447" s="263"/>
      <c r="J447" s="263"/>
      <c r="K447" s="263"/>
      <c r="L447" s="242"/>
      <c r="Q447" s="263"/>
      <c r="R447" s="263"/>
      <c r="S447" s="263"/>
      <c r="T447" s="263"/>
      <c r="U447" s="263"/>
      <c r="V447" s="263"/>
      <c r="W447" s="263"/>
      <c r="X447" s="263"/>
      <c r="Y447" s="263"/>
      <c r="Z447" s="263"/>
      <c r="AA447" s="263"/>
      <c r="AB447" s="263"/>
      <c r="AC447" s="263"/>
      <c r="AD447" s="263"/>
      <c r="AE447" s="263"/>
      <c r="AF447" s="263"/>
      <c r="AG447" s="263"/>
      <c r="AH447" s="263"/>
      <c r="AI447" s="263"/>
      <c r="AJ447" s="263"/>
      <c r="AK447" s="263"/>
      <c r="AL447" s="263"/>
      <c r="AM447" s="242"/>
    </row>
    <row r="448" spans="1:39" ht="18" customHeight="1" x14ac:dyDescent="0.15">
      <c r="A448" s="240"/>
      <c r="B448" s="242"/>
      <c r="C448" s="240"/>
      <c r="D448" s="263"/>
      <c r="E448" s="242"/>
      <c r="F448" s="242"/>
      <c r="G448" s="242"/>
      <c r="H448" s="240"/>
      <c r="I448" s="263"/>
      <c r="J448" s="263"/>
      <c r="K448" s="263"/>
      <c r="L448" s="242"/>
      <c r="Q448" s="263"/>
      <c r="R448" s="263"/>
      <c r="S448" s="263"/>
      <c r="T448" s="263"/>
      <c r="U448" s="263"/>
      <c r="V448" s="263"/>
      <c r="W448" s="263"/>
      <c r="X448" s="263"/>
      <c r="Y448" s="263"/>
      <c r="Z448" s="263"/>
      <c r="AA448" s="263"/>
      <c r="AB448" s="263"/>
      <c r="AC448" s="263"/>
      <c r="AD448" s="263"/>
      <c r="AE448" s="263"/>
      <c r="AF448" s="263"/>
      <c r="AG448" s="263"/>
      <c r="AH448" s="263"/>
      <c r="AI448" s="263"/>
      <c r="AJ448" s="263"/>
      <c r="AK448" s="263"/>
      <c r="AL448" s="263"/>
      <c r="AM448" s="242"/>
    </row>
    <row r="449" spans="1:39" ht="18" customHeight="1" x14ac:dyDescent="0.15">
      <c r="A449" s="240"/>
      <c r="B449" s="242"/>
      <c r="C449" s="240"/>
      <c r="D449" s="263"/>
      <c r="E449" s="242"/>
      <c r="F449" s="242"/>
      <c r="G449" s="242"/>
      <c r="H449" s="240"/>
      <c r="I449" s="263"/>
      <c r="J449" s="263"/>
      <c r="K449" s="263"/>
      <c r="L449" s="242"/>
      <c r="Q449" s="263"/>
      <c r="R449" s="263"/>
      <c r="S449" s="263"/>
      <c r="T449" s="263"/>
      <c r="U449" s="263"/>
      <c r="V449" s="263"/>
      <c r="W449" s="263"/>
      <c r="X449" s="263"/>
      <c r="Y449" s="263"/>
      <c r="Z449" s="263"/>
      <c r="AA449" s="263"/>
      <c r="AB449" s="263"/>
      <c r="AC449" s="263"/>
      <c r="AD449" s="263"/>
      <c r="AE449" s="263"/>
      <c r="AF449" s="263"/>
      <c r="AG449" s="263"/>
      <c r="AH449" s="263"/>
      <c r="AI449" s="263"/>
      <c r="AJ449" s="263"/>
      <c r="AK449" s="263"/>
      <c r="AL449" s="263"/>
      <c r="AM449" s="242"/>
    </row>
    <row r="450" spans="1:39" ht="18" customHeight="1" x14ac:dyDescent="0.15">
      <c r="A450" s="240"/>
      <c r="B450" s="242"/>
      <c r="C450" s="240"/>
      <c r="D450" s="263"/>
      <c r="E450" s="242"/>
      <c r="F450" s="242"/>
      <c r="G450" s="242"/>
      <c r="H450" s="240"/>
      <c r="I450" s="263"/>
      <c r="J450" s="263"/>
      <c r="K450" s="263"/>
      <c r="L450" s="242"/>
      <c r="Q450" s="263"/>
      <c r="R450" s="263"/>
      <c r="S450" s="263"/>
      <c r="T450" s="263"/>
      <c r="U450" s="263"/>
      <c r="V450" s="263"/>
      <c r="W450" s="263"/>
      <c r="X450" s="263"/>
      <c r="Y450" s="263"/>
      <c r="Z450" s="263"/>
      <c r="AA450" s="263"/>
      <c r="AB450" s="263"/>
      <c r="AC450" s="263"/>
      <c r="AD450" s="263"/>
      <c r="AE450" s="263"/>
      <c r="AF450" s="263"/>
      <c r="AG450" s="263"/>
      <c r="AH450" s="263"/>
      <c r="AI450" s="263"/>
      <c r="AJ450" s="263"/>
      <c r="AK450" s="263"/>
      <c r="AL450" s="263"/>
      <c r="AM450" s="242"/>
    </row>
    <row r="451" spans="1:39" ht="18" customHeight="1" x14ac:dyDescent="0.15">
      <c r="A451" s="240"/>
      <c r="B451" s="242"/>
      <c r="C451" s="240"/>
      <c r="D451" s="263"/>
      <c r="E451" s="242"/>
      <c r="F451" s="242"/>
      <c r="G451" s="242"/>
      <c r="H451" s="240"/>
      <c r="I451" s="263"/>
      <c r="J451" s="263"/>
      <c r="K451" s="263"/>
      <c r="L451" s="242"/>
      <c r="Q451" s="263"/>
      <c r="R451" s="263"/>
      <c r="S451" s="263"/>
      <c r="T451" s="263"/>
      <c r="U451" s="263"/>
      <c r="V451" s="263"/>
      <c r="W451" s="263"/>
      <c r="X451" s="263"/>
      <c r="Y451" s="263"/>
      <c r="Z451" s="263"/>
      <c r="AA451" s="263"/>
      <c r="AB451" s="263"/>
      <c r="AC451" s="263"/>
      <c r="AD451" s="263"/>
      <c r="AE451" s="263"/>
      <c r="AF451" s="263"/>
      <c r="AG451" s="263"/>
      <c r="AH451" s="263"/>
      <c r="AI451" s="263"/>
      <c r="AJ451" s="263"/>
      <c r="AK451" s="263"/>
      <c r="AL451" s="263"/>
      <c r="AM451" s="242"/>
    </row>
    <row r="452" spans="1:39" ht="18" customHeight="1" x14ac:dyDescent="0.15">
      <c r="A452" s="240"/>
      <c r="B452" s="242"/>
      <c r="C452" s="240"/>
      <c r="D452" s="263"/>
      <c r="E452" s="242"/>
      <c r="F452" s="242"/>
      <c r="G452" s="242"/>
      <c r="H452" s="240"/>
      <c r="I452" s="263"/>
      <c r="J452" s="263"/>
      <c r="K452" s="263"/>
      <c r="L452" s="242"/>
      <c r="Q452" s="263"/>
      <c r="R452" s="263"/>
      <c r="S452" s="263"/>
      <c r="T452" s="263"/>
      <c r="U452" s="263"/>
      <c r="V452" s="263"/>
      <c r="W452" s="263"/>
      <c r="X452" s="263"/>
      <c r="Y452" s="263"/>
      <c r="Z452" s="263"/>
      <c r="AA452" s="263"/>
      <c r="AB452" s="263"/>
      <c r="AC452" s="263"/>
      <c r="AD452" s="263"/>
      <c r="AE452" s="263"/>
      <c r="AF452" s="263"/>
      <c r="AG452" s="263"/>
      <c r="AH452" s="263"/>
      <c r="AI452" s="263"/>
      <c r="AJ452" s="263"/>
      <c r="AK452" s="263"/>
      <c r="AL452" s="263"/>
      <c r="AM452" s="242"/>
    </row>
    <row r="453" spans="1:39" ht="18" customHeight="1" x14ac:dyDescent="0.15">
      <c r="A453" s="240"/>
      <c r="B453" s="242"/>
      <c r="C453" s="240"/>
      <c r="D453" s="263"/>
      <c r="E453" s="242"/>
      <c r="F453" s="242"/>
      <c r="G453" s="242"/>
      <c r="H453" s="240"/>
      <c r="I453" s="263"/>
      <c r="J453" s="263"/>
      <c r="K453" s="263"/>
      <c r="L453" s="242"/>
      <c r="Q453" s="263"/>
      <c r="R453" s="263"/>
      <c r="S453" s="263"/>
      <c r="T453" s="263"/>
      <c r="U453" s="263"/>
      <c r="V453" s="263"/>
      <c r="W453" s="263"/>
      <c r="X453" s="263"/>
      <c r="Y453" s="263"/>
      <c r="Z453" s="263"/>
      <c r="AA453" s="263"/>
      <c r="AB453" s="263"/>
      <c r="AC453" s="263"/>
      <c r="AD453" s="263"/>
      <c r="AE453" s="263"/>
      <c r="AF453" s="263"/>
      <c r="AG453" s="263"/>
      <c r="AH453" s="263"/>
      <c r="AI453" s="263"/>
      <c r="AJ453" s="263"/>
      <c r="AK453" s="263"/>
      <c r="AL453" s="263"/>
      <c r="AM453" s="242"/>
    </row>
    <row r="454" spans="1:39" ht="18" customHeight="1" x14ac:dyDescent="0.15">
      <c r="A454" s="240"/>
      <c r="B454" s="242"/>
      <c r="C454" s="240"/>
      <c r="D454" s="263"/>
      <c r="E454" s="242"/>
      <c r="F454" s="242"/>
      <c r="G454" s="242"/>
      <c r="H454" s="240"/>
      <c r="I454" s="263"/>
      <c r="J454" s="263"/>
      <c r="K454" s="263"/>
      <c r="L454" s="242"/>
      <c r="Q454" s="263"/>
      <c r="R454" s="263"/>
      <c r="S454" s="263"/>
      <c r="T454" s="263"/>
      <c r="U454" s="263"/>
      <c r="V454" s="263"/>
      <c r="W454" s="263"/>
      <c r="X454" s="263"/>
      <c r="Y454" s="263"/>
      <c r="Z454" s="263"/>
      <c r="AA454" s="263"/>
      <c r="AB454" s="263"/>
      <c r="AC454" s="263"/>
      <c r="AD454" s="263"/>
      <c r="AE454" s="263"/>
      <c r="AF454" s="263"/>
      <c r="AG454" s="263"/>
      <c r="AH454" s="263"/>
      <c r="AI454" s="263"/>
      <c r="AJ454" s="263"/>
      <c r="AK454" s="263"/>
      <c r="AL454" s="263"/>
      <c r="AM454" s="242"/>
    </row>
    <row r="455" spans="1:39" ht="18" customHeight="1" x14ac:dyDescent="0.15">
      <c r="A455" s="240"/>
      <c r="B455" s="242"/>
      <c r="C455" s="240"/>
      <c r="D455" s="263"/>
      <c r="E455" s="242"/>
      <c r="F455" s="242"/>
      <c r="G455" s="242"/>
      <c r="H455" s="240"/>
      <c r="I455" s="263"/>
      <c r="J455" s="263"/>
      <c r="K455" s="263"/>
      <c r="L455" s="242"/>
      <c r="Q455" s="263"/>
      <c r="R455" s="263"/>
      <c r="S455" s="263"/>
      <c r="T455" s="263"/>
      <c r="U455" s="263"/>
      <c r="V455" s="263"/>
      <c r="W455" s="263"/>
      <c r="X455" s="263"/>
      <c r="Y455" s="263"/>
      <c r="Z455" s="263"/>
      <c r="AA455" s="263"/>
      <c r="AB455" s="263"/>
      <c r="AC455" s="263"/>
      <c r="AD455" s="263"/>
      <c r="AE455" s="263"/>
      <c r="AF455" s="263"/>
      <c r="AG455" s="263"/>
      <c r="AH455" s="263"/>
      <c r="AI455" s="263"/>
      <c r="AJ455" s="263"/>
      <c r="AK455" s="263"/>
      <c r="AL455" s="263"/>
      <c r="AM455" s="242"/>
    </row>
    <row r="456" spans="1:39" ht="18" customHeight="1" x14ac:dyDescent="0.15">
      <c r="A456" s="240"/>
      <c r="B456" s="242"/>
      <c r="C456" s="240"/>
      <c r="D456" s="263"/>
      <c r="E456" s="242"/>
      <c r="F456" s="242"/>
      <c r="G456" s="242"/>
      <c r="H456" s="240"/>
      <c r="I456" s="263"/>
      <c r="J456" s="263"/>
      <c r="K456" s="263"/>
      <c r="L456" s="242"/>
      <c r="Q456" s="263"/>
      <c r="R456" s="263"/>
      <c r="S456" s="263"/>
      <c r="T456" s="263"/>
      <c r="U456" s="263"/>
      <c r="V456" s="263"/>
      <c r="W456" s="263"/>
      <c r="X456" s="263"/>
      <c r="Y456" s="263"/>
      <c r="Z456" s="263"/>
      <c r="AA456" s="263"/>
      <c r="AB456" s="263"/>
      <c r="AC456" s="263"/>
      <c r="AD456" s="263"/>
      <c r="AE456" s="263"/>
      <c r="AF456" s="263"/>
      <c r="AG456" s="263"/>
      <c r="AH456" s="263"/>
      <c r="AI456" s="263"/>
      <c r="AJ456" s="263"/>
      <c r="AK456" s="263"/>
      <c r="AL456" s="263"/>
      <c r="AM456" s="242"/>
    </row>
    <row r="457" spans="1:39" ht="18" customHeight="1" x14ac:dyDescent="0.15">
      <c r="A457" s="240"/>
      <c r="B457" s="242"/>
      <c r="C457" s="240"/>
      <c r="D457" s="263"/>
      <c r="E457" s="242"/>
      <c r="F457" s="242"/>
      <c r="G457" s="242"/>
      <c r="H457" s="240"/>
      <c r="I457" s="263"/>
      <c r="J457" s="263"/>
      <c r="K457" s="263"/>
      <c r="L457" s="242"/>
      <c r="Q457" s="263"/>
      <c r="R457" s="263"/>
      <c r="S457" s="263"/>
      <c r="T457" s="263"/>
      <c r="U457" s="263"/>
      <c r="V457" s="263"/>
      <c r="W457" s="263"/>
      <c r="X457" s="263"/>
      <c r="Y457" s="263"/>
      <c r="Z457" s="263"/>
      <c r="AA457" s="263"/>
      <c r="AB457" s="263"/>
      <c r="AC457" s="263"/>
      <c r="AD457" s="263"/>
      <c r="AE457" s="263"/>
      <c r="AF457" s="263"/>
      <c r="AG457" s="263"/>
      <c r="AH457" s="263"/>
      <c r="AI457" s="263"/>
      <c r="AJ457" s="263"/>
      <c r="AK457" s="263"/>
      <c r="AL457" s="263"/>
      <c r="AM457" s="242"/>
    </row>
    <row r="458" spans="1:39" ht="18" customHeight="1" x14ac:dyDescent="0.15">
      <c r="A458" s="240"/>
      <c r="B458" s="242"/>
      <c r="C458" s="240"/>
      <c r="D458" s="263"/>
      <c r="E458" s="242"/>
      <c r="F458" s="242"/>
      <c r="G458" s="242"/>
      <c r="H458" s="240"/>
      <c r="I458" s="263"/>
      <c r="J458" s="263"/>
      <c r="K458" s="263"/>
      <c r="L458" s="242"/>
      <c r="Q458" s="263"/>
      <c r="R458" s="263"/>
      <c r="S458" s="263"/>
      <c r="T458" s="263"/>
      <c r="U458" s="263"/>
      <c r="V458" s="263"/>
      <c r="W458" s="263"/>
      <c r="X458" s="263"/>
      <c r="Y458" s="263"/>
      <c r="Z458" s="263"/>
      <c r="AA458" s="263"/>
      <c r="AB458" s="263"/>
      <c r="AC458" s="263"/>
      <c r="AD458" s="263"/>
      <c r="AE458" s="263"/>
      <c r="AF458" s="263"/>
      <c r="AG458" s="263"/>
      <c r="AH458" s="263"/>
      <c r="AI458" s="263"/>
      <c r="AJ458" s="263"/>
      <c r="AK458" s="263"/>
      <c r="AL458" s="263"/>
      <c r="AM458" s="242"/>
    </row>
    <row r="459" spans="1:39" ht="18" customHeight="1" x14ac:dyDescent="0.15">
      <c r="A459" s="240"/>
      <c r="B459" s="242"/>
      <c r="C459" s="240"/>
      <c r="D459" s="263"/>
      <c r="E459" s="242"/>
      <c r="F459" s="242"/>
      <c r="G459" s="242"/>
      <c r="H459" s="240"/>
      <c r="I459" s="263"/>
      <c r="J459" s="263"/>
      <c r="K459" s="263"/>
      <c r="L459" s="242"/>
      <c r="Q459" s="263"/>
      <c r="R459" s="263"/>
      <c r="S459" s="263"/>
      <c r="T459" s="263"/>
      <c r="U459" s="263"/>
      <c r="V459" s="263"/>
      <c r="W459" s="263"/>
      <c r="X459" s="263"/>
      <c r="Y459" s="263"/>
      <c r="Z459" s="263"/>
      <c r="AA459" s="263"/>
      <c r="AB459" s="263"/>
      <c r="AC459" s="263"/>
      <c r="AD459" s="263"/>
      <c r="AE459" s="263"/>
      <c r="AF459" s="263"/>
      <c r="AG459" s="263"/>
      <c r="AH459" s="263"/>
      <c r="AI459" s="263"/>
      <c r="AJ459" s="263"/>
      <c r="AK459" s="263"/>
      <c r="AL459" s="263"/>
      <c r="AM459" s="242"/>
    </row>
    <row r="460" spans="1:39" ht="18" customHeight="1" x14ac:dyDescent="0.15">
      <c r="A460" s="240"/>
      <c r="B460" s="242"/>
      <c r="C460" s="240"/>
      <c r="D460" s="263"/>
      <c r="E460" s="242"/>
      <c r="F460" s="242"/>
      <c r="G460" s="242"/>
      <c r="H460" s="240"/>
      <c r="I460" s="263"/>
      <c r="J460" s="263"/>
      <c r="K460" s="263"/>
      <c r="L460" s="242"/>
      <c r="Q460" s="263"/>
      <c r="R460" s="263"/>
      <c r="S460" s="263"/>
      <c r="T460" s="263"/>
      <c r="U460" s="263"/>
      <c r="V460" s="263"/>
      <c r="W460" s="263"/>
      <c r="X460" s="263"/>
      <c r="Y460" s="263"/>
      <c r="Z460" s="263"/>
      <c r="AA460" s="263"/>
      <c r="AB460" s="263"/>
      <c r="AC460" s="263"/>
      <c r="AD460" s="263"/>
      <c r="AE460" s="263"/>
      <c r="AF460" s="263"/>
      <c r="AG460" s="263"/>
      <c r="AH460" s="263"/>
      <c r="AI460" s="263"/>
      <c r="AJ460" s="263"/>
      <c r="AK460" s="263"/>
      <c r="AL460" s="263"/>
      <c r="AM460" s="242"/>
    </row>
    <row r="461" spans="1:39" ht="18" customHeight="1" x14ac:dyDescent="0.15">
      <c r="A461" s="240"/>
      <c r="B461" s="242"/>
      <c r="C461" s="240"/>
      <c r="D461" s="263"/>
      <c r="E461" s="242"/>
      <c r="F461" s="242"/>
      <c r="G461" s="242"/>
      <c r="H461" s="240"/>
      <c r="I461" s="263"/>
      <c r="J461" s="263"/>
      <c r="K461" s="263"/>
      <c r="L461" s="242"/>
      <c r="Q461" s="263"/>
      <c r="R461" s="263"/>
      <c r="S461" s="263"/>
      <c r="T461" s="263"/>
      <c r="U461" s="263"/>
      <c r="V461" s="263"/>
      <c r="W461" s="263"/>
      <c r="X461" s="263"/>
      <c r="Y461" s="263"/>
      <c r="Z461" s="263"/>
      <c r="AA461" s="263"/>
      <c r="AB461" s="263"/>
      <c r="AC461" s="263"/>
      <c r="AD461" s="263"/>
      <c r="AE461" s="263"/>
      <c r="AF461" s="263"/>
      <c r="AG461" s="263"/>
      <c r="AH461" s="263"/>
      <c r="AI461" s="263"/>
      <c r="AJ461" s="263"/>
      <c r="AK461" s="263"/>
      <c r="AL461" s="263"/>
      <c r="AM461" s="242"/>
    </row>
    <row r="462" spans="1:39" ht="18" customHeight="1" x14ac:dyDescent="0.15">
      <c r="A462" s="240"/>
      <c r="B462" s="242"/>
      <c r="C462" s="240"/>
      <c r="D462" s="263"/>
      <c r="E462" s="242"/>
      <c r="F462" s="242"/>
      <c r="G462" s="242"/>
      <c r="H462" s="240"/>
      <c r="I462" s="263"/>
      <c r="J462" s="263"/>
      <c r="K462" s="263"/>
      <c r="L462" s="242"/>
      <c r="Q462" s="263"/>
      <c r="R462" s="263"/>
      <c r="S462" s="263"/>
      <c r="T462" s="263"/>
      <c r="U462" s="263"/>
      <c r="V462" s="263"/>
      <c r="W462" s="263"/>
      <c r="X462" s="263"/>
      <c r="Y462" s="263"/>
      <c r="Z462" s="263"/>
      <c r="AA462" s="263"/>
      <c r="AB462" s="263"/>
      <c r="AC462" s="263"/>
      <c r="AD462" s="263"/>
      <c r="AE462" s="263"/>
      <c r="AF462" s="263"/>
      <c r="AG462" s="263"/>
      <c r="AH462" s="263"/>
      <c r="AI462" s="263"/>
      <c r="AJ462" s="263"/>
      <c r="AK462" s="263"/>
      <c r="AL462" s="263"/>
      <c r="AM462" s="242"/>
    </row>
    <row r="463" spans="1:39" ht="18" customHeight="1" x14ac:dyDescent="0.15">
      <c r="A463" s="240"/>
      <c r="B463" s="242"/>
      <c r="C463" s="240"/>
      <c r="D463" s="263"/>
      <c r="E463" s="242"/>
      <c r="F463" s="242"/>
      <c r="G463" s="242"/>
      <c r="H463" s="240"/>
      <c r="I463" s="263"/>
      <c r="J463" s="263"/>
      <c r="K463" s="263"/>
      <c r="L463" s="242"/>
      <c r="Q463" s="263"/>
      <c r="R463" s="263"/>
      <c r="S463" s="263"/>
      <c r="T463" s="263"/>
      <c r="U463" s="263"/>
      <c r="V463" s="263"/>
      <c r="W463" s="263"/>
      <c r="X463" s="263"/>
      <c r="Y463" s="263"/>
      <c r="Z463" s="263"/>
      <c r="AA463" s="263"/>
      <c r="AB463" s="263"/>
      <c r="AC463" s="263"/>
      <c r="AD463" s="263"/>
      <c r="AE463" s="263"/>
      <c r="AF463" s="263"/>
      <c r="AG463" s="263"/>
      <c r="AH463" s="263"/>
      <c r="AI463" s="263"/>
      <c r="AJ463" s="263"/>
      <c r="AK463" s="263"/>
      <c r="AL463" s="263"/>
      <c r="AM463" s="242"/>
    </row>
    <row r="464" spans="1:39" ht="18" customHeight="1" x14ac:dyDescent="0.15">
      <c r="A464" s="240"/>
      <c r="B464" s="242"/>
      <c r="C464" s="240"/>
      <c r="D464" s="263"/>
      <c r="E464" s="242"/>
      <c r="F464" s="242"/>
      <c r="G464" s="242"/>
      <c r="H464" s="240"/>
      <c r="I464" s="263"/>
      <c r="J464" s="263"/>
      <c r="K464" s="263"/>
      <c r="L464" s="242"/>
      <c r="Q464" s="263"/>
      <c r="R464" s="263"/>
      <c r="S464" s="263"/>
      <c r="T464" s="263"/>
      <c r="U464" s="263"/>
      <c r="V464" s="263"/>
      <c r="W464" s="263"/>
      <c r="X464" s="263"/>
      <c r="Y464" s="263"/>
      <c r="Z464" s="263"/>
      <c r="AA464" s="263"/>
      <c r="AB464" s="263"/>
      <c r="AC464" s="263"/>
      <c r="AD464" s="263"/>
      <c r="AE464" s="263"/>
      <c r="AF464" s="263"/>
      <c r="AG464" s="263"/>
      <c r="AH464" s="263"/>
      <c r="AI464" s="263"/>
      <c r="AJ464" s="263"/>
      <c r="AK464" s="263"/>
      <c r="AL464" s="263"/>
      <c r="AM464" s="242"/>
    </row>
    <row r="465" spans="1:39" ht="18" customHeight="1" x14ac:dyDescent="0.15">
      <c r="A465" s="240"/>
      <c r="B465" s="242"/>
      <c r="C465" s="240"/>
      <c r="D465" s="263"/>
      <c r="E465" s="242"/>
      <c r="F465" s="242"/>
      <c r="G465" s="242"/>
      <c r="H465" s="240"/>
      <c r="I465" s="263"/>
      <c r="J465" s="263"/>
      <c r="K465" s="263"/>
      <c r="L465" s="242"/>
      <c r="Q465" s="263"/>
      <c r="R465" s="263"/>
      <c r="S465" s="263"/>
      <c r="T465" s="263"/>
      <c r="U465" s="263"/>
      <c r="V465" s="263"/>
      <c r="W465" s="263"/>
      <c r="X465" s="263"/>
      <c r="Y465" s="263"/>
      <c r="Z465" s="263"/>
      <c r="AA465" s="263"/>
      <c r="AB465" s="263"/>
      <c r="AC465" s="263"/>
      <c r="AD465" s="263"/>
      <c r="AE465" s="263"/>
      <c r="AF465" s="263"/>
      <c r="AG465" s="263"/>
      <c r="AH465" s="263"/>
      <c r="AI465" s="263"/>
      <c r="AJ465" s="263"/>
      <c r="AK465" s="263"/>
      <c r="AL465" s="263"/>
      <c r="AM465" s="242"/>
    </row>
    <row r="466" spans="1:39" ht="18" customHeight="1" x14ac:dyDescent="0.15">
      <c r="A466" s="240"/>
      <c r="B466" s="242"/>
      <c r="C466" s="240"/>
      <c r="D466" s="263"/>
      <c r="E466" s="242"/>
      <c r="F466" s="242"/>
      <c r="G466" s="242"/>
      <c r="H466" s="240"/>
      <c r="I466" s="263"/>
      <c r="J466" s="263"/>
      <c r="K466" s="263"/>
      <c r="L466" s="242"/>
      <c r="Q466" s="263"/>
      <c r="R466" s="263"/>
      <c r="S466" s="263"/>
      <c r="T466" s="263"/>
      <c r="U466" s="263"/>
      <c r="V466" s="263"/>
      <c r="W466" s="263"/>
      <c r="X466" s="263"/>
      <c r="Y466" s="263"/>
      <c r="Z466" s="263"/>
      <c r="AA466" s="263"/>
      <c r="AB466" s="263"/>
      <c r="AC466" s="263"/>
      <c r="AD466" s="263"/>
      <c r="AE466" s="263"/>
      <c r="AF466" s="263"/>
      <c r="AG466" s="263"/>
      <c r="AH466" s="263"/>
      <c r="AI466" s="263"/>
      <c r="AJ466" s="263"/>
      <c r="AK466" s="263"/>
      <c r="AL466" s="263"/>
      <c r="AM466" s="242"/>
    </row>
    <row r="467" spans="1:39" ht="18" customHeight="1" x14ac:dyDescent="0.15">
      <c r="A467" s="240"/>
      <c r="B467" s="242"/>
      <c r="C467" s="240"/>
      <c r="D467" s="263"/>
      <c r="E467" s="242"/>
      <c r="F467" s="242"/>
      <c r="G467" s="242"/>
      <c r="H467" s="240"/>
      <c r="I467" s="263"/>
      <c r="J467" s="263"/>
      <c r="K467" s="263"/>
      <c r="L467" s="242"/>
      <c r="Q467" s="263"/>
      <c r="R467" s="263"/>
      <c r="S467" s="263"/>
      <c r="T467" s="263"/>
      <c r="U467" s="263"/>
      <c r="V467" s="263"/>
      <c r="W467" s="263"/>
      <c r="X467" s="263"/>
      <c r="Y467" s="263"/>
      <c r="Z467" s="263"/>
      <c r="AA467" s="263"/>
      <c r="AB467" s="263"/>
      <c r="AC467" s="263"/>
      <c r="AD467" s="263"/>
      <c r="AE467" s="263"/>
      <c r="AF467" s="263"/>
      <c r="AG467" s="263"/>
      <c r="AH467" s="263"/>
      <c r="AI467" s="263"/>
      <c r="AJ467" s="263"/>
      <c r="AK467" s="263"/>
      <c r="AL467" s="263"/>
      <c r="AM467" s="242"/>
    </row>
    <row r="468" spans="1:39" ht="18" customHeight="1" x14ac:dyDescent="0.15">
      <c r="A468" s="240"/>
      <c r="B468" s="242"/>
      <c r="C468" s="240"/>
      <c r="D468" s="263"/>
      <c r="E468" s="242"/>
      <c r="F468" s="242"/>
      <c r="G468" s="242"/>
      <c r="H468" s="240"/>
      <c r="I468" s="263"/>
      <c r="J468" s="263"/>
      <c r="K468" s="263"/>
      <c r="L468" s="242"/>
      <c r="Q468" s="263"/>
      <c r="R468" s="263"/>
      <c r="S468" s="263"/>
      <c r="T468" s="263"/>
      <c r="U468" s="263"/>
      <c r="V468" s="263"/>
      <c r="W468" s="263"/>
      <c r="X468" s="263"/>
      <c r="Y468" s="263"/>
      <c r="Z468" s="263"/>
      <c r="AA468" s="263"/>
      <c r="AB468" s="263"/>
      <c r="AC468" s="263"/>
      <c r="AD468" s="263"/>
      <c r="AE468" s="263"/>
      <c r="AF468" s="263"/>
      <c r="AG468" s="263"/>
      <c r="AH468" s="263"/>
      <c r="AI468" s="263"/>
      <c r="AJ468" s="263"/>
      <c r="AK468" s="263"/>
      <c r="AL468" s="263"/>
      <c r="AM468" s="242"/>
    </row>
    <row r="469" spans="1:39" ht="18" customHeight="1" x14ac:dyDescent="0.15">
      <c r="A469" s="240"/>
      <c r="B469" s="242"/>
      <c r="C469" s="240"/>
      <c r="D469" s="263"/>
      <c r="E469" s="242"/>
      <c r="F469" s="242"/>
      <c r="G469" s="242"/>
      <c r="H469" s="240"/>
      <c r="I469" s="263"/>
      <c r="J469" s="263"/>
      <c r="K469" s="263"/>
      <c r="L469" s="242"/>
      <c r="Q469" s="263"/>
      <c r="R469" s="263"/>
      <c r="S469" s="263"/>
      <c r="T469" s="263"/>
      <c r="U469" s="263"/>
      <c r="V469" s="263"/>
      <c r="W469" s="263"/>
      <c r="X469" s="263"/>
      <c r="Y469" s="263"/>
      <c r="Z469" s="263"/>
      <c r="AA469" s="263"/>
      <c r="AB469" s="263"/>
      <c r="AC469" s="263"/>
      <c r="AD469" s="263"/>
      <c r="AE469" s="263"/>
      <c r="AF469" s="263"/>
      <c r="AG469" s="263"/>
      <c r="AH469" s="263"/>
      <c r="AI469" s="263"/>
      <c r="AJ469" s="263"/>
      <c r="AK469" s="263"/>
      <c r="AL469" s="263"/>
      <c r="AM469" s="242"/>
    </row>
    <row r="470" spans="1:39" ht="18" customHeight="1" x14ac:dyDescent="0.15">
      <c r="A470" s="240"/>
      <c r="B470" s="242"/>
      <c r="C470" s="240"/>
      <c r="D470" s="263"/>
      <c r="E470" s="242"/>
      <c r="F470" s="242"/>
      <c r="G470" s="242"/>
      <c r="H470" s="240"/>
      <c r="I470" s="263"/>
      <c r="J470" s="263"/>
      <c r="K470" s="263"/>
      <c r="L470" s="242"/>
      <c r="Q470" s="263"/>
      <c r="R470" s="263"/>
      <c r="S470" s="263"/>
      <c r="T470" s="263"/>
      <c r="U470" s="263"/>
      <c r="V470" s="263"/>
      <c r="W470" s="263"/>
      <c r="X470" s="263"/>
      <c r="Y470" s="263"/>
      <c r="Z470" s="263"/>
      <c r="AA470" s="263"/>
      <c r="AB470" s="263"/>
      <c r="AC470" s="263"/>
      <c r="AD470" s="263"/>
      <c r="AE470" s="263"/>
      <c r="AF470" s="263"/>
      <c r="AG470" s="263"/>
      <c r="AH470" s="263"/>
      <c r="AI470" s="263"/>
      <c r="AJ470" s="263"/>
      <c r="AK470" s="263"/>
      <c r="AL470" s="263"/>
      <c r="AM470" s="242"/>
    </row>
    <row r="471" spans="1:39" ht="18" customHeight="1" x14ac:dyDescent="0.15">
      <c r="A471" s="240"/>
      <c r="B471" s="242"/>
      <c r="C471" s="240"/>
      <c r="D471" s="263"/>
      <c r="E471" s="242"/>
      <c r="F471" s="242"/>
      <c r="G471" s="242"/>
      <c r="H471" s="240"/>
      <c r="I471" s="263"/>
      <c r="J471" s="263"/>
      <c r="K471" s="263"/>
      <c r="L471" s="242"/>
      <c r="Q471" s="263"/>
      <c r="R471" s="263"/>
      <c r="S471" s="263"/>
      <c r="T471" s="263"/>
      <c r="U471" s="263"/>
      <c r="V471" s="263"/>
      <c r="W471" s="263"/>
      <c r="X471" s="263"/>
      <c r="Y471" s="263"/>
      <c r="Z471" s="263"/>
      <c r="AA471" s="263"/>
      <c r="AB471" s="263"/>
      <c r="AC471" s="263"/>
      <c r="AD471" s="263"/>
      <c r="AE471" s="263"/>
      <c r="AF471" s="263"/>
      <c r="AG471" s="263"/>
      <c r="AH471" s="263"/>
      <c r="AI471" s="263"/>
      <c r="AJ471" s="263"/>
      <c r="AK471" s="263"/>
      <c r="AL471" s="263"/>
      <c r="AM471" s="242"/>
    </row>
    <row r="472" spans="1:39" ht="18" customHeight="1" x14ac:dyDescent="0.15">
      <c r="A472" s="240"/>
      <c r="B472" s="242"/>
      <c r="C472" s="240"/>
      <c r="D472" s="263"/>
      <c r="E472" s="242"/>
      <c r="F472" s="242"/>
      <c r="G472" s="242"/>
      <c r="H472" s="240"/>
      <c r="I472" s="263"/>
      <c r="J472" s="263"/>
      <c r="K472" s="263"/>
      <c r="L472" s="242"/>
      <c r="Q472" s="263"/>
      <c r="R472" s="263"/>
      <c r="S472" s="263"/>
      <c r="T472" s="263"/>
      <c r="U472" s="263"/>
      <c r="V472" s="263"/>
      <c r="W472" s="263"/>
      <c r="X472" s="263"/>
      <c r="Y472" s="263"/>
      <c r="Z472" s="263"/>
      <c r="AA472" s="263"/>
      <c r="AB472" s="263"/>
      <c r="AC472" s="263"/>
      <c r="AD472" s="263"/>
      <c r="AE472" s="263"/>
      <c r="AF472" s="263"/>
      <c r="AG472" s="263"/>
      <c r="AH472" s="263"/>
      <c r="AI472" s="263"/>
      <c r="AJ472" s="263"/>
      <c r="AK472" s="263"/>
      <c r="AL472" s="263"/>
      <c r="AM472" s="242"/>
    </row>
    <row r="473" spans="1:39" ht="18" customHeight="1" x14ac:dyDescent="0.15">
      <c r="A473" s="240"/>
      <c r="B473" s="242"/>
      <c r="C473" s="240"/>
      <c r="D473" s="263"/>
      <c r="E473" s="242"/>
      <c r="F473" s="242"/>
      <c r="G473" s="242"/>
      <c r="H473" s="240"/>
      <c r="I473" s="263"/>
      <c r="J473" s="263"/>
      <c r="K473" s="263"/>
      <c r="L473" s="242"/>
      <c r="Q473" s="263"/>
      <c r="R473" s="263"/>
      <c r="S473" s="263"/>
      <c r="T473" s="263"/>
      <c r="U473" s="263"/>
      <c r="V473" s="263"/>
      <c r="W473" s="263"/>
      <c r="X473" s="263"/>
      <c r="Y473" s="263"/>
      <c r="Z473" s="263"/>
      <c r="AA473" s="263"/>
      <c r="AB473" s="263"/>
      <c r="AC473" s="263"/>
      <c r="AD473" s="263"/>
      <c r="AE473" s="263"/>
      <c r="AF473" s="263"/>
      <c r="AG473" s="263"/>
      <c r="AH473" s="263"/>
      <c r="AI473" s="263"/>
      <c r="AJ473" s="263"/>
      <c r="AK473" s="263"/>
      <c r="AL473" s="263"/>
      <c r="AM473" s="242"/>
    </row>
    <row r="474" spans="1:39" ht="18" customHeight="1" x14ac:dyDescent="0.15">
      <c r="A474" s="240"/>
      <c r="B474" s="242"/>
      <c r="C474" s="240"/>
      <c r="D474" s="263"/>
      <c r="E474" s="242"/>
      <c r="F474" s="242"/>
      <c r="G474" s="242"/>
      <c r="H474" s="240"/>
      <c r="I474" s="263"/>
      <c r="J474" s="263"/>
      <c r="K474" s="263"/>
      <c r="L474" s="242"/>
      <c r="Q474" s="263"/>
      <c r="R474" s="263"/>
      <c r="S474" s="263"/>
      <c r="T474" s="263"/>
      <c r="U474" s="263"/>
      <c r="V474" s="263"/>
      <c r="W474" s="263"/>
      <c r="X474" s="263"/>
      <c r="Y474" s="263"/>
      <c r="Z474" s="263"/>
      <c r="AA474" s="263"/>
      <c r="AB474" s="263"/>
      <c r="AC474" s="263"/>
      <c r="AD474" s="263"/>
      <c r="AE474" s="263"/>
      <c r="AF474" s="263"/>
      <c r="AG474" s="263"/>
      <c r="AH474" s="263"/>
      <c r="AI474" s="263"/>
      <c r="AJ474" s="263"/>
      <c r="AK474" s="263"/>
      <c r="AL474" s="263"/>
      <c r="AM474" s="242"/>
    </row>
    <row r="475" spans="1:39" ht="18" customHeight="1" x14ac:dyDescent="0.15">
      <c r="A475" s="240"/>
      <c r="B475" s="242"/>
      <c r="C475" s="240"/>
      <c r="D475" s="263"/>
      <c r="E475" s="242"/>
      <c r="F475" s="242"/>
      <c r="G475" s="242"/>
      <c r="H475" s="240"/>
      <c r="I475" s="263"/>
      <c r="J475" s="263"/>
      <c r="K475" s="263"/>
      <c r="L475" s="242"/>
      <c r="Q475" s="263"/>
      <c r="R475" s="263"/>
      <c r="S475" s="263"/>
      <c r="T475" s="263"/>
      <c r="U475" s="263"/>
      <c r="V475" s="263"/>
      <c r="W475" s="263"/>
      <c r="X475" s="263"/>
      <c r="Y475" s="263"/>
      <c r="Z475" s="263"/>
      <c r="AA475" s="263"/>
      <c r="AB475" s="263"/>
      <c r="AC475" s="263"/>
      <c r="AD475" s="263"/>
      <c r="AE475" s="263"/>
      <c r="AF475" s="263"/>
      <c r="AG475" s="263"/>
      <c r="AH475" s="263"/>
      <c r="AI475" s="263"/>
      <c r="AJ475" s="263"/>
      <c r="AK475" s="263"/>
      <c r="AL475" s="263"/>
      <c r="AM475" s="242"/>
    </row>
    <row r="476" spans="1:39" ht="18" customHeight="1" x14ac:dyDescent="0.15">
      <c r="A476" s="240"/>
      <c r="B476" s="242"/>
      <c r="C476" s="240"/>
      <c r="D476" s="263"/>
      <c r="E476" s="242"/>
      <c r="F476" s="242"/>
      <c r="G476" s="242"/>
      <c r="H476" s="240"/>
      <c r="I476" s="263"/>
      <c r="J476" s="263"/>
      <c r="K476" s="263"/>
      <c r="L476" s="242"/>
      <c r="Q476" s="263"/>
      <c r="R476" s="263"/>
      <c r="S476" s="263"/>
      <c r="T476" s="263"/>
      <c r="U476" s="263"/>
      <c r="V476" s="263"/>
      <c r="W476" s="263"/>
      <c r="X476" s="263"/>
      <c r="Y476" s="263"/>
      <c r="Z476" s="263"/>
      <c r="AA476" s="263"/>
      <c r="AB476" s="263"/>
      <c r="AC476" s="263"/>
      <c r="AD476" s="263"/>
      <c r="AE476" s="263"/>
      <c r="AF476" s="263"/>
      <c r="AG476" s="263"/>
      <c r="AH476" s="263"/>
      <c r="AI476" s="263"/>
      <c r="AJ476" s="263"/>
      <c r="AK476" s="263"/>
      <c r="AL476" s="263"/>
      <c r="AM476" s="242"/>
    </row>
    <row r="477" spans="1:39" ht="18" customHeight="1" x14ac:dyDescent="0.15">
      <c r="A477" s="240"/>
      <c r="B477" s="242"/>
      <c r="C477" s="240"/>
      <c r="D477" s="263"/>
      <c r="E477" s="242"/>
      <c r="F477" s="242"/>
      <c r="G477" s="242"/>
      <c r="H477" s="240"/>
      <c r="I477" s="263"/>
      <c r="J477" s="263"/>
      <c r="K477" s="263"/>
      <c r="L477" s="242"/>
      <c r="Q477" s="263"/>
      <c r="R477" s="263"/>
      <c r="S477" s="263"/>
      <c r="T477" s="263"/>
      <c r="U477" s="263"/>
      <c r="V477" s="263"/>
      <c r="W477" s="263"/>
      <c r="X477" s="263"/>
      <c r="Y477" s="263"/>
      <c r="Z477" s="263"/>
      <c r="AA477" s="263"/>
      <c r="AB477" s="263"/>
      <c r="AC477" s="263"/>
      <c r="AD477" s="263"/>
      <c r="AE477" s="263"/>
      <c r="AF477" s="263"/>
      <c r="AG477" s="263"/>
      <c r="AH477" s="263"/>
      <c r="AI477" s="263"/>
      <c r="AJ477" s="263"/>
      <c r="AK477" s="263"/>
      <c r="AL477" s="263"/>
      <c r="AM477" s="242"/>
    </row>
    <row r="478" spans="1:39" ht="18" customHeight="1" x14ac:dyDescent="0.15">
      <c r="A478" s="240"/>
      <c r="B478" s="242"/>
      <c r="C478" s="240"/>
      <c r="D478" s="263"/>
      <c r="E478" s="242"/>
      <c r="F478" s="242"/>
      <c r="G478" s="242"/>
      <c r="H478" s="240"/>
      <c r="I478" s="263"/>
      <c r="J478" s="263"/>
      <c r="K478" s="263"/>
      <c r="L478" s="242"/>
      <c r="Q478" s="263"/>
      <c r="R478" s="263"/>
      <c r="S478" s="263"/>
      <c r="T478" s="263"/>
      <c r="U478" s="263"/>
      <c r="V478" s="263"/>
      <c r="W478" s="263"/>
      <c r="X478" s="263"/>
      <c r="Y478" s="263"/>
      <c r="Z478" s="263"/>
      <c r="AA478" s="263"/>
      <c r="AB478" s="263"/>
      <c r="AC478" s="263"/>
      <c r="AD478" s="263"/>
      <c r="AE478" s="263"/>
      <c r="AF478" s="263"/>
      <c r="AG478" s="263"/>
      <c r="AH478" s="263"/>
      <c r="AI478" s="263"/>
      <c r="AJ478" s="263"/>
      <c r="AK478" s="263"/>
      <c r="AL478" s="263"/>
      <c r="AM478" s="242"/>
    </row>
    <row r="479" spans="1:39" ht="18" customHeight="1" x14ac:dyDescent="0.15">
      <c r="A479" s="240"/>
      <c r="B479" s="242"/>
      <c r="C479" s="240"/>
      <c r="D479" s="263"/>
      <c r="E479" s="242"/>
      <c r="F479" s="242"/>
      <c r="G479" s="242"/>
      <c r="H479" s="240"/>
      <c r="I479" s="263"/>
      <c r="J479" s="263"/>
      <c r="K479" s="263"/>
      <c r="L479" s="242"/>
      <c r="Q479" s="263"/>
      <c r="R479" s="263"/>
      <c r="S479" s="263"/>
      <c r="T479" s="263"/>
      <c r="U479" s="263"/>
      <c r="V479" s="263"/>
      <c r="W479" s="263"/>
      <c r="X479" s="263"/>
      <c r="Y479" s="263"/>
      <c r="Z479" s="263"/>
      <c r="AA479" s="263"/>
      <c r="AB479" s="263"/>
      <c r="AC479" s="263"/>
      <c r="AD479" s="263"/>
      <c r="AE479" s="263"/>
      <c r="AF479" s="263"/>
      <c r="AG479" s="263"/>
      <c r="AH479" s="263"/>
      <c r="AI479" s="263"/>
      <c r="AJ479" s="263"/>
      <c r="AK479" s="263"/>
      <c r="AL479" s="263"/>
      <c r="AM479" s="242"/>
    </row>
    <row r="480" spans="1:39" ht="18" customHeight="1" x14ac:dyDescent="0.15">
      <c r="A480" s="240"/>
      <c r="B480" s="242"/>
      <c r="C480" s="240"/>
      <c r="D480" s="263"/>
      <c r="E480" s="242"/>
      <c r="F480" s="242"/>
      <c r="G480" s="242"/>
      <c r="H480" s="240"/>
      <c r="I480" s="263"/>
      <c r="J480" s="263"/>
      <c r="K480" s="263"/>
      <c r="L480" s="242"/>
      <c r="Q480" s="263"/>
      <c r="R480" s="263"/>
      <c r="S480" s="263"/>
      <c r="T480" s="263"/>
      <c r="U480" s="263"/>
      <c r="V480" s="263"/>
      <c r="W480" s="263"/>
      <c r="X480" s="263"/>
      <c r="Y480" s="263"/>
      <c r="Z480" s="263"/>
      <c r="AA480" s="263"/>
      <c r="AB480" s="263"/>
      <c r="AC480" s="263"/>
      <c r="AD480" s="263"/>
      <c r="AE480" s="263"/>
      <c r="AF480" s="263"/>
      <c r="AG480" s="263"/>
      <c r="AH480" s="263"/>
      <c r="AI480" s="263"/>
      <c r="AJ480" s="263"/>
      <c r="AK480" s="263"/>
      <c r="AL480" s="263"/>
      <c r="AM480" s="242"/>
    </row>
    <row r="481" spans="1:39" ht="18" customHeight="1" x14ac:dyDescent="0.15">
      <c r="A481" s="240"/>
      <c r="B481" s="242"/>
      <c r="C481" s="240"/>
      <c r="D481" s="263"/>
      <c r="E481" s="242"/>
      <c r="F481" s="242"/>
      <c r="G481" s="242"/>
      <c r="H481" s="240"/>
      <c r="I481" s="263"/>
      <c r="J481" s="263"/>
      <c r="K481" s="263"/>
      <c r="L481" s="242"/>
      <c r="Q481" s="263"/>
      <c r="R481" s="263"/>
      <c r="S481" s="263"/>
      <c r="T481" s="263"/>
      <c r="U481" s="263"/>
      <c r="V481" s="263"/>
      <c r="W481" s="263"/>
      <c r="X481" s="263"/>
      <c r="Y481" s="263"/>
      <c r="Z481" s="263"/>
      <c r="AA481" s="263"/>
      <c r="AB481" s="263"/>
      <c r="AC481" s="263"/>
      <c r="AD481" s="263"/>
      <c r="AE481" s="263"/>
      <c r="AF481" s="263"/>
      <c r="AG481" s="263"/>
      <c r="AH481" s="263"/>
      <c r="AI481" s="263"/>
      <c r="AJ481" s="263"/>
      <c r="AK481" s="263"/>
      <c r="AL481" s="263"/>
      <c r="AM481" s="242"/>
    </row>
    <row r="482" spans="1:39" ht="18" customHeight="1" x14ac:dyDescent="0.15">
      <c r="A482" s="240"/>
      <c r="B482" s="242"/>
      <c r="C482" s="240"/>
      <c r="D482" s="263"/>
      <c r="E482" s="242"/>
      <c r="F482" s="242"/>
      <c r="G482" s="242"/>
      <c r="H482" s="240"/>
      <c r="I482" s="263"/>
      <c r="J482" s="263"/>
      <c r="K482" s="263"/>
      <c r="L482" s="242"/>
      <c r="Q482" s="263"/>
      <c r="R482" s="263"/>
      <c r="S482" s="263"/>
      <c r="T482" s="263"/>
      <c r="U482" s="263"/>
      <c r="V482" s="263"/>
      <c r="W482" s="263"/>
      <c r="X482" s="263"/>
      <c r="Y482" s="263"/>
      <c r="Z482" s="263"/>
      <c r="AA482" s="263"/>
      <c r="AB482" s="263"/>
      <c r="AC482" s="263"/>
      <c r="AD482" s="263"/>
      <c r="AE482" s="263"/>
      <c r="AF482" s="263"/>
      <c r="AG482" s="263"/>
      <c r="AH482" s="263"/>
      <c r="AI482" s="263"/>
      <c r="AJ482" s="263"/>
      <c r="AK482" s="263"/>
      <c r="AL482" s="263"/>
      <c r="AM482" s="242"/>
    </row>
    <row r="483" spans="1:39" ht="18" customHeight="1" x14ac:dyDescent="0.15">
      <c r="A483" s="240"/>
      <c r="B483" s="242"/>
      <c r="C483" s="240"/>
      <c r="D483" s="263"/>
      <c r="E483" s="242"/>
      <c r="F483" s="242"/>
      <c r="G483" s="242"/>
      <c r="H483" s="240"/>
      <c r="I483" s="263"/>
      <c r="J483" s="263"/>
      <c r="K483" s="263"/>
      <c r="L483" s="242"/>
      <c r="Q483" s="263"/>
      <c r="R483" s="263"/>
      <c r="S483" s="263"/>
      <c r="T483" s="263"/>
      <c r="U483" s="263"/>
      <c r="V483" s="263"/>
      <c r="W483" s="263"/>
      <c r="X483" s="263"/>
      <c r="Y483" s="263"/>
      <c r="Z483" s="263"/>
      <c r="AA483" s="263"/>
      <c r="AB483" s="263"/>
      <c r="AC483" s="263"/>
      <c r="AD483" s="263"/>
      <c r="AE483" s="263"/>
      <c r="AF483" s="263"/>
      <c r="AG483" s="263"/>
      <c r="AH483" s="263"/>
      <c r="AI483" s="263"/>
      <c r="AJ483" s="263"/>
      <c r="AK483" s="263"/>
      <c r="AL483" s="263"/>
      <c r="AM483" s="242"/>
    </row>
    <row r="484" spans="1:39" ht="18" customHeight="1" x14ac:dyDescent="0.15">
      <c r="A484" s="240"/>
      <c r="B484" s="242"/>
      <c r="C484" s="240"/>
      <c r="D484" s="263"/>
      <c r="E484" s="242"/>
      <c r="F484" s="242"/>
      <c r="G484" s="242"/>
      <c r="H484" s="240"/>
      <c r="I484" s="263"/>
      <c r="J484" s="263"/>
      <c r="K484" s="263"/>
      <c r="L484" s="242"/>
      <c r="Q484" s="263"/>
      <c r="R484" s="263"/>
      <c r="S484" s="263"/>
      <c r="T484" s="263"/>
      <c r="U484" s="263"/>
      <c r="V484" s="263"/>
      <c r="W484" s="263"/>
      <c r="X484" s="263"/>
      <c r="Y484" s="263"/>
      <c r="Z484" s="263"/>
      <c r="AA484" s="263"/>
      <c r="AB484" s="263"/>
      <c r="AC484" s="263"/>
      <c r="AD484" s="263"/>
      <c r="AE484" s="263"/>
      <c r="AF484" s="263"/>
      <c r="AG484" s="263"/>
      <c r="AH484" s="263"/>
      <c r="AI484" s="263"/>
      <c r="AJ484" s="263"/>
      <c r="AK484" s="263"/>
      <c r="AL484" s="263"/>
      <c r="AM484" s="242"/>
    </row>
    <row r="485" spans="1:39" ht="18" customHeight="1" x14ac:dyDescent="0.15">
      <c r="A485" s="240"/>
      <c r="B485" s="242"/>
      <c r="C485" s="240"/>
      <c r="D485" s="263"/>
      <c r="E485" s="242"/>
      <c r="F485" s="242"/>
      <c r="G485" s="242"/>
      <c r="H485" s="240"/>
      <c r="I485" s="263"/>
      <c r="J485" s="263"/>
      <c r="K485" s="263"/>
      <c r="L485" s="242"/>
      <c r="Q485" s="263"/>
      <c r="R485" s="263"/>
      <c r="S485" s="263"/>
      <c r="T485" s="263"/>
      <c r="U485" s="263"/>
      <c r="V485" s="263"/>
      <c r="W485" s="263"/>
      <c r="X485" s="263"/>
      <c r="Y485" s="263"/>
      <c r="Z485" s="263"/>
      <c r="AA485" s="263"/>
      <c r="AB485" s="263"/>
      <c r="AC485" s="263"/>
      <c r="AD485" s="263"/>
      <c r="AE485" s="263"/>
      <c r="AF485" s="263"/>
      <c r="AG485" s="263"/>
      <c r="AH485" s="263"/>
      <c r="AI485" s="263"/>
      <c r="AJ485" s="263"/>
      <c r="AK485" s="263"/>
      <c r="AL485" s="263"/>
      <c r="AM485" s="242"/>
    </row>
    <row r="486" spans="1:39" ht="18" customHeight="1" x14ac:dyDescent="0.15">
      <c r="A486" s="240"/>
      <c r="B486" s="242"/>
      <c r="C486" s="240"/>
      <c r="D486" s="263"/>
      <c r="E486" s="242"/>
      <c r="F486" s="242"/>
      <c r="G486" s="242"/>
      <c r="H486" s="240"/>
      <c r="I486" s="263"/>
      <c r="J486" s="263"/>
      <c r="K486" s="263"/>
      <c r="L486" s="242"/>
      <c r="Q486" s="263"/>
      <c r="R486" s="263"/>
      <c r="S486" s="263"/>
      <c r="T486" s="263"/>
      <c r="U486" s="263"/>
      <c r="V486" s="263"/>
      <c r="W486" s="263"/>
      <c r="X486" s="263"/>
      <c r="Y486" s="263"/>
      <c r="Z486" s="263"/>
      <c r="AA486" s="263"/>
      <c r="AB486" s="263"/>
      <c r="AC486" s="263"/>
      <c r="AD486" s="263"/>
      <c r="AE486" s="263"/>
      <c r="AF486" s="263"/>
      <c r="AG486" s="263"/>
      <c r="AH486" s="263"/>
      <c r="AI486" s="263"/>
      <c r="AJ486" s="263"/>
      <c r="AK486" s="263"/>
      <c r="AL486" s="263"/>
      <c r="AM486" s="242"/>
    </row>
    <row r="487" spans="1:39" ht="18" customHeight="1" x14ac:dyDescent="0.15">
      <c r="A487" s="240"/>
      <c r="B487" s="242"/>
      <c r="C487" s="240"/>
      <c r="D487" s="263"/>
      <c r="E487" s="242"/>
      <c r="F487" s="242"/>
      <c r="G487" s="242"/>
      <c r="H487" s="240"/>
      <c r="I487" s="263"/>
      <c r="J487" s="263"/>
      <c r="K487" s="263"/>
      <c r="L487" s="242"/>
      <c r="Q487" s="263"/>
      <c r="R487" s="263"/>
      <c r="S487" s="263"/>
      <c r="T487" s="263"/>
      <c r="U487" s="263"/>
      <c r="V487" s="263"/>
      <c r="W487" s="263"/>
      <c r="X487" s="263"/>
      <c r="Y487" s="263"/>
      <c r="Z487" s="263"/>
      <c r="AA487" s="263"/>
      <c r="AB487" s="263"/>
      <c r="AC487" s="263"/>
      <c r="AD487" s="263"/>
      <c r="AE487" s="263"/>
      <c r="AF487" s="263"/>
      <c r="AG487" s="263"/>
      <c r="AH487" s="263"/>
      <c r="AI487" s="263"/>
      <c r="AJ487" s="263"/>
      <c r="AK487" s="263"/>
      <c r="AL487" s="263"/>
      <c r="AM487" s="242"/>
    </row>
    <row r="488" spans="1:39" ht="18" customHeight="1" x14ac:dyDescent="0.15">
      <c r="A488" s="240"/>
      <c r="B488" s="242"/>
      <c r="C488" s="240"/>
      <c r="D488" s="263"/>
      <c r="E488" s="242"/>
      <c r="F488" s="242"/>
      <c r="G488" s="242"/>
      <c r="H488" s="240"/>
      <c r="I488" s="263"/>
      <c r="J488" s="263"/>
      <c r="K488" s="263"/>
      <c r="L488" s="242"/>
      <c r="Q488" s="263"/>
      <c r="R488" s="263"/>
      <c r="S488" s="263"/>
      <c r="T488" s="263"/>
      <c r="U488" s="263"/>
      <c r="V488" s="263"/>
      <c r="W488" s="263"/>
      <c r="X488" s="263"/>
      <c r="Y488" s="263"/>
      <c r="Z488" s="263"/>
      <c r="AA488" s="263"/>
      <c r="AB488" s="263"/>
      <c r="AC488" s="263"/>
      <c r="AD488" s="263"/>
      <c r="AE488" s="263"/>
      <c r="AF488" s="263"/>
      <c r="AG488" s="263"/>
      <c r="AH488" s="263"/>
      <c r="AI488" s="263"/>
      <c r="AJ488" s="263"/>
      <c r="AK488" s="263"/>
      <c r="AL488" s="263"/>
      <c r="AM488" s="242"/>
    </row>
    <row r="489" spans="1:39" ht="18" customHeight="1" x14ac:dyDescent="0.15">
      <c r="A489" s="240"/>
      <c r="B489" s="242"/>
      <c r="C489" s="240"/>
      <c r="D489" s="263"/>
      <c r="E489" s="242"/>
      <c r="F489" s="242"/>
      <c r="G489" s="242"/>
      <c r="H489" s="240"/>
      <c r="I489" s="263"/>
      <c r="J489" s="263"/>
      <c r="K489" s="263"/>
      <c r="L489" s="242"/>
      <c r="Q489" s="263"/>
      <c r="R489" s="263"/>
      <c r="S489" s="263"/>
      <c r="T489" s="263"/>
      <c r="U489" s="263"/>
      <c r="V489" s="263"/>
      <c r="W489" s="263"/>
      <c r="X489" s="263"/>
      <c r="Y489" s="263"/>
      <c r="Z489" s="263"/>
      <c r="AA489" s="263"/>
      <c r="AB489" s="263"/>
      <c r="AC489" s="263"/>
      <c r="AD489" s="263"/>
      <c r="AE489" s="263"/>
      <c r="AF489" s="263"/>
      <c r="AG489" s="263"/>
      <c r="AH489" s="263"/>
      <c r="AI489" s="263"/>
      <c r="AJ489" s="263"/>
      <c r="AK489" s="263"/>
      <c r="AL489" s="263"/>
      <c r="AM489" s="242"/>
    </row>
    <row r="490" spans="1:39" ht="18" customHeight="1" x14ac:dyDescent="0.15">
      <c r="A490" s="240"/>
      <c r="B490" s="242"/>
      <c r="C490" s="240"/>
      <c r="D490" s="263"/>
      <c r="E490" s="242"/>
      <c r="F490" s="242"/>
      <c r="G490" s="242"/>
      <c r="H490" s="240"/>
      <c r="I490" s="263"/>
      <c r="J490" s="263"/>
      <c r="K490" s="263"/>
      <c r="L490" s="242"/>
      <c r="Q490" s="263"/>
      <c r="R490" s="263"/>
      <c r="S490" s="263"/>
      <c r="T490" s="263"/>
      <c r="U490" s="263"/>
      <c r="V490" s="263"/>
      <c r="W490" s="263"/>
      <c r="X490" s="263"/>
      <c r="Y490" s="263"/>
      <c r="Z490" s="263"/>
      <c r="AA490" s="263"/>
      <c r="AB490" s="263"/>
      <c r="AC490" s="263"/>
      <c r="AD490" s="263"/>
      <c r="AE490" s="263"/>
      <c r="AF490" s="263"/>
      <c r="AG490" s="263"/>
      <c r="AH490" s="263"/>
      <c r="AI490" s="263"/>
      <c r="AJ490" s="263"/>
      <c r="AK490" s="263"/>
      <c r="AL490" s="263"/>
      <c r="AM490" s="242"/>
    </row>
    <row r="491" spans="1:39" ht="18" customHeight="1" x14ac:dyDescent="0.15">
      <c r="A491" s="240"/>
      <c r="B491" s="242"/>
      <c r="C491" s="240"/>
      <c r="D491" s="263"/>
      <c r="E491" s="242"/>
      <c r="F491" s="242"/>
      <c r="G491" s="242"/>
      <c r="H491" s="240"/>
      <c r="I491" s="263"/>
      <c r="J491" s="263"/>
      <c r="K491" s="263"/>
      <c r="L491" s="242"/>
      <c r="Q491" s="263"/>
      <c r="R491" s="263"/>
      <c r="S491" s="263"/>
      <c r="T491" s="263"/>
      <c r="U491" s="263"/>
      <c r="V491" s="263"/>
      <c r="W491" s="263"/>
      <c r="X491" s="263"/>
      <c r="Y491" s="263"/>
      <c r="Z491" s="263"/>
      <c r="AA491" s="263"/>
      <c r="AB491" s="263"/>
      <c r="AC491" s="263"/>
      <c r="AD491" s="263"/>
      <c r="AE491" s="263"/>
      <c r="AF491" s="263"/>
      <c r="AG491" s="263"/>
      <c r="AH491" s="263"/>
      <c r="AI491" s="263"/>
      <c r="AJ491" s="263"/>
      <c r="AK491" s="263"/>
      <c r="AL491" s="263"/>
      <c r="AM491" s="242"/>
    </row>
    <row r="492" spans="1:39" ht="18" customHeight="1" x14ac:dyDescent="0.15">
      <c r="A492" s="240"/>
      <c r="B492" s="242"/>
      <c r="C492" s="240"/>
      <c r="D492" s="263"/>
      <c r="E492" s="242"/>
      <c r="F492" s="242"/>
      <c r="G492" s="242"/>
      <c r="H492" s="240"/>
      <c r="I492" s="263"/>
      <c r="J492" s="263"/>
      <c r="K492" s="263"/>
      <c r="L492" s="242"/>
      <c r="Q492" s="263"/>
      <c r="R492" s="263"/>
      <c r="S492" s="263"/>
      <c r="T492" s="263"/>
      <c r="U492" s="263"/>
      <c r="V492" s="263"/>
      <c r="W492" s="263"/>
      <c r="X492" s="263"/>
      <c r="Y492" s="263"/>
      <c r="Z492" s="263"/>
      <c r="AA492" s="263"/>
      <c r="AB492" s="263"/>
      <c r="AC492" s="263"/>
      <c r="AD492" s="263"/>
      <c r="AE492" s="263"/>
      <c r="AF492" s="263"/>
      <c r="AG492" s="263"/>
      <c r="AH492" s="263"/>
      <c r="AI492" s="263"/>
      <c r="AJ492" s="263"/>
      <c r="AK492" s="263"/>
      <c r="AL492" s="263"/>
      <c r="AM492" s="242"/>
    </row>
    <row r="493" spans="1:39" ht="18" customHeight="1" x14ac:dyDescent="0.15">
      <c r="A493" s="240"/>
      <c r="B493" s="242"/>
      <c r="C493" s="240"/>
      <c r="D493" s="263"/>
      <c r="E493" s="242"/>
      <c r="F493" s="242"/>
      <c r="G493" s="242"/>
      <c r="H493" s="240"/>
      <c r="I493" s="263"/>
      <c r="J493" s="263"/>
      <c r="K493" s="263"/>
      <c r="L493" s="242"/>
      <c r="Q493" s="263"/>
      <c r="R493" s="263"/>
      <c r="S493" s="263"/>
      <c r="T493" s="263"/>
      <c r="U493" s="263"/>
      <c r="V493" s="263"/>
      <c r="W493" s="263"/>
      <c r="X493" s="263"/>
      <c r="Y493" s="263"/>
      <c r="Z493" s="263"/>
      <c r="AA493" s="263"/>
      <c r="AB493" s="263"/>
      <c r="AC493" s="263"/>
      <c r="AD493" s="263"/>
      <c r="AE493" s="263"/>
      <c r="AF493" s="263"/>
      <c r="AG493" s="263"/>
      <c r="AH493" s="263"/>
      <c r="AI493" s="263"/>
      <c r="AJ493" s="263"/>
      <c r="AK493" s="263"/>
      <c r="AL493" s="263"/>
      <c r="AM493" s="242"/>
    </row>
    <row r="494" spans="1:39" ht="18" customHeight="1" x14ac:dyDescent="0.15">
      <c r="A494" s="240"/>
      <c r="B494" s="242"/>
      <c r="C494" s="240"/>
      <c r="D494" s="263"/>
      <c r="E494" s="242"/>
      <c r="F494" s="242"/>
      <c r="G494" s="242"/>
      <c r="H494" s="240"/>
      <c r="I494" s="263"/>
      <c r="J494" s="263"/>
      <c r="K494" s="263"/>
      <c r="L494" s="242"/>
      <c r="Q494" s="263"/>
      <c r="R494" s="263"/>
      <c r="S494" s="263"/>
      <c r="T494" s="263"/>
      <c r="U494" s="263"/>
      <c r="V494" s="263"/>
      <c r="W494" s="263"/>
      <c r="X494" s="263"/>
      <c r="Y494" s="263"/>
      <c r="Z494" s="263"/>
      <c r="AA494" s="263"/>
      <c r="AB494" s="263"/>
      <c r="AC494" s="263"/>
      <c r="AD494" s="263"/>
      <c r="AE494" s="263"/>
      <c r="AF494" s="263"/>
      <c r="AG494" s="263"/>
      <c r="AH494" s="263"/>
      <c r="AI494" s="263"/>
      <c r="AJ494" s="263"/>
      <c r="AK494" s="263"/>
      <c r="AL494" s="263"/>
      <c r="AM494" s="242"/>
    </row>
    <row r="495" spans="1:39" ht="18" customHeight="1" x14ac:dyDescent="0.15">
      <c r="A495" s="240"/>
      <c r="B495" s="242"/>
      <c r="C495" s="240"/>
      <c r="D495" s="263"/>
      <c r="E495" s="242"/>
      <c r="F495" s="242"/>
      <c r="G495" s="242"/>
      <c r="H495" s="240"/>
      <c r="I495" s="263"/>
      <c r="J495" s="263"/>
      <c r="K495" s="263"/>
      <c r="L495" s="242"/>
      <c r="Q495" s="263"/>
      <c r="R495" s="263"/>
      <c r="S495" s="263"/>
      <c r="T495" s="263"/>
      <c r="U495" s="263"/>
      <c r="V495" s="263"/>
      <c r="W495" s="263"/>
      <c r="X495" s="263"/>
      <c r="Y495" s="263"/>
      <c r="Z495" s="263"/>
      <c r="AA495" s="263"/>
      <c r="AB495" s="263"/>
      <c r="AC495" s="263"/>
      <c r="AD495" s="263"/>
      <c r="AE495" s="263"/>
      <c r="AF495" s="263"/>
      <c r="AG495" s="263"/>
      <c r="AH495" s="263"/>
      <c r="AI495" s="263"/>
      <c r="AJ495" s="263"/>
      <c r="AK495" s="263"/>
      <c r="AL495" s="263"/>
      <c r="AM495" s="242"/>
    </row>
    <row r="496" spans="1:39" ht="18" customHeight="1" x14ac:dyDescent="0.15">
      <c r="A496" s="240"/>
      <c r="B496" s="242"/>
      <c r="C496" s="240"/>
      <c r="D496" s="263"/>
      <c r="E496" s="242"/>
      <c r="F496" s="242"/>
      <c r="G496" s="242"/>
      <c r="H496" s="240"/>
      <c r="I496" s="263"/>
      <c r="J496" s="263"/>
      <c r="K496" s="263"/>
      <c r="L496" s="242"/>
      <c r="M496" s="240"/>
      <c r="N496" s="240"/>
      <c r="O496" s="240"/>
      <c r="P496" s="240"/>
      <c r="Q496" s="263"/>
      <c r="R496" s="263"/>
      <c r="S496" s="263"/>
      <c r="T496" s="263"/>
      <c r="U496" s="263"/>
      <c r="V496" s="263"/>
      <c r="W496" s="263"/>
      <c r="X496" s="263"/>
      <c r="Y496" s="263"/>
      <c r="Z496" s="263"/>
      <c r="AA496" s="263"/>
      <c r="AB496" s="263"/>
      <c r="AC496" s="263"/>
      <c r="AD496" s="263"/>
      <c r="AE496" s="263"/>
      <c r="AF496" s="263"/>
      <c r="AG496" s="263"/>
      <c r="AH496" s="263"/>
      <c r="AI496" s="263"/>
      <c r="AJ496" s="263"/>
      <c r="AK496" s="263"/>
      <c r="AL496" s="263"/>
      <c r="AM496" s="242"/>
    </row>
  </sheetData>
  <sheetProtection algorithmName="SHA-512" hashValue="OL0NrBUH8O8wLijXjq7/xTXjLH1VX9PYVruHKb8tBXbPtY5gv2VlpfnbD94rBjSAZZ6dCPU/opax+6sWR69esQ==" saltValue="EDE2nE/oxMStXSHvGjgHUA==" spinCount="100000" sheet="1" scenarios="1" formatCells="0" formatColumns="0" formatRows="0" insertColumns="0" insertRows="0" deleteColumns="0" deleteRows="0" sort="0" autoFilter="0" pivotTables="0"/>
  <protectedRanges>
    <protectedRange sqref="E45 B6 K29:K35 K38:K43 E9:F15 E29:F35 G34:G37 K18:K27 G25:G31 G15:G23 E18:F27 P29:P32 P38:P43 P9:P13 P18:P25 B28:D28 H16:J17 B36:D37 B3:D4 G6:G12 G42:G45 E72:F72 R109:R115 B72 E120:F120 P167 K9:K15 E38:F43 B5:C5 H44:J47 B16:D17 B7:D8 H36:J37 H28:J28 H5:J5 B44:D47 E48:F48 B48 P48:P70 B120:B137 B139:B166 AN1:XFD2 AM46:AN162 M497:M1048576 M36:O37 P120 M16:O17 M7:O8 M3:O5 M28:O28 Q7:Q45 S7:XFD45 R10:R45 H7:J8 O146:P146 J151:K151 J146:K146 J138:K138 J157:K157 J12 O12 J31 O128:P129 J128:K129 E151 E146:F146 E138:F138 E157:F157 E128:F129 O115 P34:P35 P15 P27 O104 O31 O157:P157 O138:P138 M44:O47 P7 G3:K4 E2:F6 K6:K7 E167:F1048576 B167:C1048576 AM163:XFD1048576 L163:L1048576 G163:G1048576 P3:XFD6 M3:M331 H3:H167 H332:H1048576 P117 P72:P115" name="Range1"/>
    <protectedRange sqref="C6:D6 B38:D43 B9:D15 M9:O11 H9:J11 H29:J30 P26 I6:J6 H18:J27 M38:O43 B18:D27 B29:D35 M18:O27 N6:O6 P14 M29:O30 M13:O15 H38:J43 M32:O35 M12:N12 H13:J15 H12:I12 H32:J35 H31:I31 P33 M31:N31" name="Range1_5"/>
    <protectedRange sqref="C119 B61:B64 I48:J48 H61:H64 M61:M64 N167:O167 G5 C48 N48:O48 I119:J119 E50:F58 AO46:XFD162 G46:G162 N119:O119" name="Range1_3"/>
    <protectedRange sqref="C66:D69 C61:D64 I50:J59 C50:D59 I66:J69 N50:O59 N61:O64 I61:J64 N66:O69" name="Range1_1_2"/>
    <protectedRange sqref="C65:D65 C60:D60 C49:D49 I70:J70 I60:J60 I49:J49 C70:D70 N60:O60 N65:O65 N49:O49 I65:J65 N70:O70" name="Range1_5_1"/>
    <protectedRange sqref="B49:B60 H49:H60 M49:M60 B65:B70 H65:H70 M65:M70" name="Range1_1_1_1"/>
    <protectedRange sqref="C157 C120 C129 C151 C146 C138 I146 I138 I157 I129 I151 N157 N138 N146 N151 N129 I120:J120 O147:P156 J152:K156 J147:K150 J158:K166 J139:K145 J130:K137 J121:K127 F147:F156 E152:E156 E147:E150 E158:F166 E139:F145 E130:F137 E121:F127 O121:P127 O139:P145 O130:P137 O158:P166 N120:O120" name="Range1_7"/>
    <protectedRange sqref="C139:C145 C147:C150 C158:C166 I152:I156 C152:C156 C121:C128 I121:I128 I130:I137 I139:I145 I147:I150 N121:N128 N158:N166 N147:N150 N139:N145 N152:N156 I158:I166 C130:C137 N130:N137" name="Range1_1_2_1"/>
    <protectedRange sqref="E92:F95 E99:F104 E106:F110 E88:F90 I72:J72 E77:F81 E74:F75 C72 N72:O72 E113:F117" name="Range1_4"/>
    <protectedRange sqref="C88:D90 C77:D81 C83:C84 C92:D93 C99:D104 I106:J110 I99:J103 I77:J79 I88:J90 I83:J84 N99:O103 N113:O114 N83:O84 N88:O90 N106:O110 I92:J93 N92:O93 I81:J81 C106:D110 I80 I113:J116 N104 I104 N77:O81 C113:D116 N115:N116 K114:K116 O116:P116" name="Range1_1_3"/>
    <protectedRange sqref="D94:D95 B97:F98 B76:F76 B83:B84 B73:F73 B85:F87 D83:F84 B74:D75 H83:H84 M83:M84 H91:J91 H94:J98 H105:J105 D96:F96 B91:F91 H111:J112 H117:J117 B105:F105 H73:J76 H82:J82 B117:D117 M111:O112 B82:F82 B94:C96 B111:F112 M105:O105 M94:O98 M91:O91 M85:O87 M82:O82 M73:O76 H85:J87 M117:O117" name="Range1_5_2"/>
    <protectedRange sqref="B92:B93 B88:B90 B106:B110 B99:B104 B77:B81 H92:H93 H88:H90 H106:H110 H99:H104 H77:H81 M92:M93 M88:M90 M106:M110 M99:M104 M77:M81 B113:B116 H113:H116 M113:M116" name="Range1_1_1_2"/>
  </protectedRanges>
  <dataConsolidate link="1"/>
  <phoneticPr fontId="14" type="noConversion"/>
  <hyperlinks>
    <hyperlink ref="N80" location="Sheet_PhaiThuDauTu!A1" display="Phải thu cho vay ngắn hạn" xr:uid="{0A1CEF01-2BB6-4B50-936C-B7E218C979DE}"/>
    <hyperlink ref="N92"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2" r:id="rId9"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0"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mc:AlternateContent xmlns:mc="http://schemas.openxmlformats.org/markup-compatibility/2006">
          <mc:Choice Requires="x14">
            <control shapeId="4" r:id="rId11"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10" r:id="rId12"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52230" r:id="rId13" name="Group Box 6">
              <controlPr defaultSize="0" autoFill="0" autoPict="0">
                <anchor moveWithCells="1" siz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4" name="Button 7">
              <controlPr defaultSize="0" autoFill="0" autoPict="0" macro="[0]!NhanNghin">
                <anchor moveWithCells="1" siz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5" name="Button 8">
              <controlPr defaultSize="0" autoFill="0" autoPict="0" macro="[0]!NhanTrieu">
                <anchor moveWithCells="1" siz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6" name="Button 9">
              <controlPr defaultSize="0" autoFill="0" autoPict="0" macro="[0]!NhanTy">
                <anchor moveWithCells="1" sizeWithCells="1">
                  <from>
                    <xdr:col>8</xdr:col>
                    <xdr:colOff>542925</xdr:colOff>
                    <xdr:row>0</xdr:row>
                    <xdr:rowOff>200025</xdr:rowOff>
                  </from>
                  <to>
                    <xdr:col>8</xdr:col>
                    <xdr:colOff>1009650</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S78:XFD84 A1:XFD2 Q78:Q84 Q85:XFD166 Q10:XFD77 Q3:XFD6 S7:XFD9 Q7:Q9 A496:XFD1048576 A332:L495 Q332:XFD495 A167:XFD167 A168:G331 L168:XFD331 A3:P166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V16" workbookViewId="0">
      <selection activeCell="AB26" sqref="AB26"/>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533</v>
      </c>
      <c r="N21" s="402"/>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1" cm="1">
        <f t="array" ref="AC21" xml:space="preserve">
+ IFERROR(
SUM(_xlfn._xlws.FILTER(Table_DonMua[Phải trả],
(Table_DonMua[Mã Đối tác] = NoXau_MaNCC) *
(Table_DonMua[Ngày lập] &lt;= NoXau_NgayTheoDoi)
)),0)
+IFERROR(
SUM(_xlfn._xlws.FILTER(Table_ChiPhiNV[Lương net],
(Table_ChiPhiNV[Nhân viên] = NoXau_MaNCC) *
(NOT(ISBLANK(Table_ChiPhiNV[Tháng]))) *
(Table_ChiPhiNV[Kỳ]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 IFERROR(
SUM(_xlfn._xlws.FILTER(Table_ChiPhiKD[Giá trị],
(Table_ChiPhiKD[Vendor] = NoXau_MaNCC) *
(ISBLANK(Table_ChiPhiKD[Tháng])) *
(Table_ChiPhiKD[Phân bổ đến]&lt;=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1">
        <f>P21</f>
        <v>0</v>
      </c>
      <c r="AL21" s="224"/>
    </row>
    <row r="22" spans="2:38" ht="16.5" x14ac:dyDescent="0.3">
      <c r="B22" s="97" t="s">
        <v>1228</v>
      </c>
      <c r="C22" s="97" t="s">
        <v>1156</v>
      </c>
      <c r="D22"/>
      <c r="E22"/>
      <c r="F22"/>
      <c r="G22"/>
      <c r="H22"/>
      <c r="I22"/>
      <c r="J22"/>
      <c r="M22" s="7" t="s">
        <v>540</v>
      </c>
      <c r="N22" s="7" t="s">
        <v>541</v>
      </c>
      <c r="O22" s="7" t="s">
        <v>542</v>
      </c>
      <c r="P22" s="7" t="s">
        <v>1244</v>
      </c>
      <c r="Q22" s="7" t="s">
        <v>873</v>
      </c>
      <c r="U22" s="7" t="s">
        <v>543</v>
      </c>
      <c r="V22" s="7" t="s">
        <v>1246</v>
      </c>
      <c r="W22" s="7" t="s">
        <v>544</v>
      </c>
      <c r="X22" s="7" t="s">
        <v>873</v>
      </c>
      <c r="AB22" s="7" t="s">
        <v>545</v>
      </c>
      <c r="AC22" s="7" t="s">
        <v>1246</v>
      </c>
      <c r="AD22" s="7" t="s">
        <v>544</v>
      </c>
      <c r="AE22" s="7" t="s">
        <v>873</v>
      </c>
      <c r="AG22" s="7" t="s">
        <v>3</v>
      </c>
      <c r="AH22" s="7" t="s">
        <v>2</v>
      </c>
      <c r="AI22" s="7" t="s">
        <v>1</v>
      </c>
      <c r="AJ22" s="7" t="s">
        <v>546</v>
      </c>
      <c r="AK22" s="7" t="s">
        <v>547</v>
      </c>
      <c r="AL22" s="7" t="s">
        <v>873</v>
      </c>
    </row>
    <row r="23" spans="2:38" ht="16.5" x14ac:dyDescent="0.3">
      <c r="B23" s="97" t="s">
        <v>23</v>
      </c>
      <c r="C23" t="s">
        <v>1195</v>
      </c>
      <c r="D23" t="s">
        <v>1196</v>
      </c>
      <c r="E23" s="504"/>
      <c r="F23" s="504"/>
      <c r="G23" s="504"/>
      <c r="H23" s="504"/>
      <c r="I23" s="504"/>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2" t="s">
        <v>1265</v>
      </c>
      <c r="V23" s="18" cm="1">
        <f t="array" ref="V23" xml:space="preserve">
IF(Table_PhaiThu_TuoiNoKH[[#This Row],[Ngày lên đơn]]&gt;NoXau_NgayTheoDoi,0,
MAX(0,
IFERROR(
SUM(_xlfn._xlws.FILTER(Table_DonBan[Phải thu],
(Table_DonBan[Mã Khách] = NoXau_MaKH) *
(ISBLANK(Table_DonBan[Phân bổ từ]))*
(ISBLANK(Table_DonBan[Phân bổ đến]))*
(Table_DonBan[Ngày lập] &lt;= Table_PhaiThu_TuoiNoKH[[#This Row],[Ngày lên đơn]])
)),0)
+IFERROR(
SUMPRODUCT(
_xlfn._xlws.FILTER(Table_DonBan[Phải thu],
(Table_DonBan[Mã Khách] = NoXau_MaKH) *
(Table_DonBan[Phân bổ từ]&lt;= NoXau_NgayTheoDoi)*
(Table_DonBan[Phân bổ đến]&gt;= NoXau_NgayTheoDoi)
),
_xlfn._xlws.FILTER(
ROUND(
(NoXau_NgayTheoDoi - 1 - Table_DonBan[Phân bổ từ]) / (362.25 / 12 ),
0),
(Table_DonBan[Mã Khách] = NoXau_MaKH) *
(Table_DonBan[Phân bổ từ]&lt;= NoXau_NgayTheoDoi)*
(Table_DonBan[Phân bổ đến]&gt;= NoXau_NgayTheoDoi)
),
_xlfn._xlws.FILTER(
1 / ROUND((Table_DonBan[Phân bổ đến] - Table_DonBan[Phân bổ từ]) / (362.25 / 12 ), 0),
(Table_DonBan[Mã Khách] = NoXau_MaKH) *
(Table_DonBan[Phân bổ từ]&lt;= NoXau_NgayTheoDoi)*
(Table_DonBan[Phân bổ đến]&gt;= NoXau_NgayTheoDoi)
)),0)
- NoXau_NhanThanhToan
))</f>
        <v>0</v>
      </c>
      <c r="W23" s="18">
        <f>IF(Table_PhaiThu_TuoiNoKH[[#This Row],[Giá trị nợ]] =0, 0, NoXau_NgayTheoDoi-Table_PhaiThu_TuoiNoKH[[#This Row],[Ngày lên đơn]])</f>
        <v>0</v>
      </c>
      <c r="X23" s="212"/>
      <c r="Z23" s="7" t="str" cm="1">
        <f t="array" ref="Z23:Z33">_xlfn.SORTBY(Table_NhaCungCap[Mã Đối tác], Table_NhaCungCap[Dư nợ],1)</f>
        <v>NCC2</v>
      </c>
      <c r="AA23" s="7" t="e" cm="1" vm="1">
        <f t="array" ref="AA23">_xlfn.UNIQUE(
_xlfn._xlws.FILTER(Table_ThuChiKD[Ngày GD],
(Table_ThuChiKD[Ngày GD] &lt; NoXau_NgayTheoDoi) *
(Table_ThuChiKD[Đối tác] = NoXau_MaNCC)
))</f>
        <v>#VALUE!</v>
      </c>
      <c r="AB23" s="392"/>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1196</v>
      </c>
      <c r="AK23" s="15">
        <v>100000</v>
      </c>
    </row>
    <row r="24" spans="2:38" ht="16.5" x14ac:dyDescent="0.3">
      <c r="B24" s="519">
        <v>45717</v>
      </c>
      <c r="C24" s="504">
        <v>100000</v>
      </c>
      <c r="D24" s="504">
        <v>200000</v>
      </c>
      <c r="E24" s="504"/>
      <c r="F24" s="504"/>
      <c r="G24" s="504"/>
      <c r="H24" s="504"/>
      <c r="I24" s="504"/>
      <c r="J24"/>
      <c r="S24" s="7" t="str">
        <v>KH2</v>
      </c>
      <c r="Z24" s="7" t="str">
        <v>NCC3</v>
      </c>
      <c r="AG24" s="33">
        <f>IFERROR(
IF(ISBLANK(Table_DuPhong[[#This Row],[Tháng]]),
DATE(Table_DuPhong[[#This Row],[Năm]],12,1),
DATE(Table_DuPhong[[#This Row],[Năm]],Table_DuPhong[[#This Row],[Tháng]],1)),0)</f>
        <v>45778</v>
      </c>
      <c r="AH24" s="7">
        <v>2025</v>
      </c>
      <c r="AI24" s="7">
        <v>5</v>
      </c>
      <c r="AJ24" s="7" t="s">
        <v>1195</v>
      </c>
      <c r="AK24" s="15">
        <v>200000</v>
      </c>
    </row>
    <row r="25" spans="2:38" ht="16.5" x14ac:dyDescent="0.3">
      <c r="B25" s="519">
        <v>45748</v>
      </c>
      <c r="C25" s="504">
        <v>200000</v>
      </c>
      <c r="D25" s="504">
        <v>100000</v>
      </c>
      <c r="E25" s="504"/>
      <c r="F25" s="504"/>
      <c r="G25" s="504"/>
      <c r="H25" s="504"/>
      <c r="I25" s="504"/>
      <c r="J25"/>
      <c r="S25" s="7" t="str">
        <v>KH3</v>
      </c>
      <c r="Z25" s="7" t="str">
        <v>Secu</v>
      </c>
      <c r="AG25" s="33">
        <f>IFERROR(
IF(ISBLANK(Table_DuPhong[[#This Row],[Tháng]]),
DATE(Table_DuPhong[[#This Row],[Năm]],12,1),
DATE(Table_DuPhong[[#This Row],[Năm]],Table_DuPhong[[#This Row],[Tháng]],1)),0)</f>
        <v>45748</v>
      </c>
      <c r="AH25" s="7">
        <v>2025</v>
      </c>
      <c r="AI25" s="7">
        <v>4</v>
      </c>
      <c r="AJ25" s="7" t="s">
        <v>1196</v>
      </c>
      <c r="AK25" s="15">
        <v>100000</v>
      </c>
    </row>
    <row r="26" spans="2:38" ht="16.5" x14ac:dyDescent="0.3">
      <c r="B26" s="519">
        <v>45778</v>
      </c>
      <c r="C26" s="504">
        <v>200000</v>
      </c>
      <c r="D26" s="504">
        <v>100000</v>
      </c>
      <c r="E26" s="504"/>
      <c r="F26" s="504"/>
      <c r="G26" s="504"/>
      <c r="H26" s="504"/>
      <c r="I26" s="504"/>
      <c r="J26"/>
      <c r="Z26" s="7" t="str">
        <v>Soft1</v>
      </c>
      <c r="AG26" s="33">
        <f>IFERROR(
IF(ISBLANK(Table_DuPhong[[#This Row],[Tháng]]),
DATE(Table_DuPhong[[#This Row],[Năm]],12,1),
DATE(Table_DuPhong[[#This Row],[Năm]],Table_DuPhong[[#This Row],[Tháng]],1)),0)</f>
        <v>45748</v>
      </c>
      <c r="AH26" s="7">
        <v>2025</v>
      </c>
      <c r="AI26" s="7">
        <v>4</v>
      </c>
      <c r="AJ26" s="7" t="s">
        <v>1195</v>
      </c>
      <c r="AK26" s="15">
        <v>200000</v>
      </c>
    </row>
    <row r="27" spans="2:38" ht="16.5" x14ac:dyDescent="0.3">
      <c r="B27" s="519" t="s">
        <v>1102</v>
      </c>
      <c r="C27" s="504">
        <v>500000</v>
      </c>
      <c r="D27" s="504">
        <v>400000</v>
      </c>
      <c r="E27"/>
      <c r="F27"/>
      <c r="G27"/>
      <c r="H27"/>
      <c r="I27"/>
      <c r="J27"/>
      <c r="Z27" s="7" t="str">
        <v>Agency1</v>
      </c>
      <c r="AG27" s="33">
        <f>IFERROR(
IF(ISBLANK(Table_DuPhong[[#This Row],[Tháng]]),
DATE(Table_DuPhong[[#This Row],[Năm]],12,1),
DATE(Table_DuPhong[[#This Row],[Năm]],Table_DuPhong[[#This Row],[Tháng]],1)),0)</f>
        <v>45717</v>
      </c>
      <c r="AH27" s="7">
        <v>2025</v>
      </c>
      <c r="AI27" s="7">
        <v>3</v>
      </c>
      <c r="AJ27" s="7" t="s">
        <v>1196</v>
      </c>
      <c r="AK27" s="15">
        <v>200000</v>
      </c>
    </row>
    <row r="28" spans="2:38" ht="16.5" x14ac:dyDescent="0.3">
      <c r="B28"/>
      <c r="C28"/>
      <c r="D28"/>
      <c r="E28"/>
      <c r="F28"/>
      <c r="G28"/>
      <c r="H28"/>
      <c r="I28"/>
      <c r="J28"/>
      <c r="Z28" s="7" t="str">
        <v>Ad1</v>
      </c>
      <c r="AG28" s="33">
        <f>IFERROR(
IF(ISBLANK(Table_DuPhong[[#This Row],[Tháng]]),
DATE(Table_DuPhong[[#This Row],[Năm]],12,1),
DATE(Table_DuPhong[[#This Row],[Năm]],Table_DuPhong[[#This Row],[Tháng]],1)),0)</f>
        <v>45717</v>
      </c>
      <c r="AH28" s="7">
        <v>2025</v>
      </c>
      <c r="AI28" s="7">
        <v>3</v>
      </c>
      <c r="AJ28" s="7" t="s">
        <v>1195</v>
      </c>
      <c r="AK28" s="15">
        <v>100000</v>
      </c>
    </row>
    <row r="29" spans="2:38" ht="16.5" x14ac:dyDescent="0.3">
      <c r="B29"/>
      <c r="C29"/>
      <c r="D29"/>
      <c r="E29"/>
      <c r="F29"/>
      <c r="G29"/>
      <c r="H29"/>
      <c r="I29"/>
      <c r="J29"/>
      <c r="Z29" s="7" t="str">
        <v>MT</v>
      </c>
    </row>
    <row r="30" spans="2:38" ht="16.5" x14ac:dyDescent="0.3">
      <c r="B30"/>
      <c r="C30"/>
      <c r="D30"/>
      <c r="E30"/>
      <c r="F30"/>
      <c r="G30"/>
      <c r="H30"/>
      <c r="I30"/>
      <c r="J30"/>
      <c r="Z30" s="7" t="str">
        <v>O&amp;M</v>
      </c>
    </row>
    <row r="31" spans="2:38" ht="16.5" x14ac:dyDescent="0.3">
      <c r="B31"/>
      <c r="C31"/>
      <c r="D31"/>
      <c r="E31"/>
      <c r="F31"/>
      <c r="G31"/>
      <c r="H31"/>
      <c r="I31"/>
      <c r="J31"/>
      <c r="Z31" s="7" t="str">
        <v>NSG</v>
      </c>
    </row>
    <row r="32" spans="2:38" ht="16.5" x14ac:dyDescent="0.3">
      <c r="B32"/>
      <c r="C32"/>
      <c r="D32"/>
      <c r="E32"/>
      <c r="F32"/>
      <c r="G32"/>
      <c r="H32"/>
      <c r="I32"/>
      <c r="J32"/>
      <c r="Z32" s="7" t="str">
        <v>EVN</v>
      </c>
    </row>
    <row r="33" spans="2:26" ht="16.5" x14ac:dyDescent="0.3">
      <c r="B33"/>
      <c r="C33"/>
      <c r="D33"/>
      <c r="E33"/>
      <c r="F33"/>
      <c r="G33"/>
      <c r="H33"/>
      <c r="I33"/>
      <c r="J33"/>
      <c r="Z33" s="7" t="str">
        <v>NCC1</v>
      </c>
    </row>
    <row r="34" spans="2:26" ht="16.5" x14ac:dyDescent="0.3">
      <c r="B34"/>
      <c r="C34"/>
      <c r="D34"/>
      <c r="E34"/>
      <c r="F34"/>
      <c r="G34"/>
      <c r="H34"/>
      <c r="I34"/>
      <c r="J34"/>
    </row>
    <row r="35" spans="2:26" ht="16.5" x14ac:dyDescent="0.3">
      <c r="B35"/>
      <c r="C35"/>
      <c r="D35"/>
      <c r="E35"/>
      <c r="F35"/>
      <c r="G35"/>
      <c r="H35"/>
      <c r="I35"/>
      <c r="J35"/>
    </row>
    <row r="36" spans="2:26" ht="16.5" x14ac:dyDescent="0.3">
      <c r="B36"/>
      <c r="C36"/>
      <c r="D36"/>
      <c r="E36"/>
      <c r="F36"/>
      <c r="G36"/>
      <c r="H36"/>
      <c r="I36"/>
      <c r="J36"/>
    </row>
    <row r="37" spans="2:26" ht="16.5" x14ac:dyDescent="0.3">
      <c r="B37"/>
      <c r="C37"/>
      <c r="D37"/>
      <c r="E37"/>
      <c r="F37"/>
      <c r="G37"/>
      <c r="H37"/>
      <c r="I37"/>
      <c r="J37"/>
    </row>
    <row r="38" spans="2:26" ht="16.5" x14ac:dyDescent="0.3">
      <c r="B38"/>
      <c r="C38"/>
      <c r="D38"/>
      <c r="E38"/>
      <c r="F38"/>
      <c r="G38"/>
      <c r="H38"/>
      <c r="I38"/>
      <c r="J38"/>
    </row>
    <row r="39" spans="2:26" ht="16.5" x14ac:dyDescent="0.3">
      <c r="B39"/>
      <c r="C39"/>
      <c r="D39"/>
      <c r="E39"/>
      <c r="F39"/>
      <c r="G39"/>
      <c r="H39"/>
      <c r="I39"/>
      <c r="J39"/>
    </row>
  </sheetData>
  <sheetProtection algorithmName="SHA-512" hashValue="XC6n6zc+NvrowMUn7D40wqlmB3vDBhFyk6XIizNUji4zbYc8dI1w2bM24CKQB1YU9AoGJQPXqs5rDQKbavfQWQ==" saltValue="mBcdwJPHIQ6vOId5g0/+Kw==" spinCount="100000" sheet="1" scenarios="1" formatCells="0" formatColumns="0" formatRows="0" insertColumns="0" insertRows="0" deleteColumns="0" deleteRows="0" sort="0" autoFilter="0" pivotTables="0"/>
  <dataValidations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topLeftCell="A13" zoomScaleNormal="100" workbookViewId="0">
      <selection activeCell="C16" sqref="C16"/>
    </sheetView>
  </sheetViews>
  <sheetFormatPr defaultRowHeight="17.25" outlineLevelRow="1" outlineLevelCol="1" x14ac:dyDescent="0.3"/>
  <cols>
    <col min="1" max="1" width="12.25" style="343"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399"/>
      <c r="E1" s="399">
        <v>45717</v>
      </c>
      <c r="F1" s="399">
        <v>45748</v>
      </c>
      <c r="G1" s="399">
        <v>45778</v>
      </c>
      <c r="H1" s="399"/>
    </row>
    <row r="2" spans="1:8" s="7" customFormat="1" ht="17.25" customHeight="1" x14ac:dyDescent="0.3">
      <c r="A2" s="21"/>
      <c r="B2" s="46">
        <v>2</v>
      </c>
      <c r="C2" s="10" t="s">
        <v>548</v>
      </c>
      <c r="D2" s="397">
        <f>+SUMIF(D$6:D$1048576,"&gt;0",D$6:D$1048576)</f>
        <v>0</v>
      </c>
      <c r="E2" s="397">
        <f>+SUMIF(E$5:E$1048576,"&gt;0",E$5:E$1048576)</f>
        <v>700000</v>
      </c>
      <c r="F2" s="397">
        <f>+SUMIF(F$5:F$1048576,"&gt;0",F$5:F$1048576)</f>
        <v>700000</v>
      </c>
      <c r="G2" s="397">
        <f>+SUMIF(G$5:G$1048576,"&gt;0",G$5:G$1048576)</f>
        <v>700000</v>
      </c>
      <c r="H2" s="397">
        <f>+SUMIF(H$5:H$1048576,"&gt;0",H$5:H$1048576)</f>
        <v>0</v>
      </c>
    </row>
    <row r="3" spans="1:8" s="21" customFormat="1" ht="17.25" customHeight="1" x14ac:dyDescent="0.3">
      <c r="B3" s="46">
        <v>3</v>
      </c>
      <c r="C3" s="9" t="s">
        <v>549</v>
      </c>
      <c r="D3" s="400"/>
      <c r="E3" s="400"/>
      <c r="F3" s="400"/>
      <c r="G3" s="400"/>
      <c r="H3" s="400"/>
    </row>
    <row r="4" spans="1:8" s="7" customFormat="1" ht="17.25" customHeight="1" x14ac:dyDescent="0.3">
      <c r="A4" s="21"/>
      <c r="B4" s="46">
        <v>4</v>
      </c>
      <c r="C4" s="10" t="s">
        <v>550</v>
      </c>
      <c r="D4" s="397">
        <f>-SUMIF(D$6:D$1048576,"&lt;0",D$6:D$1048576)</f>
        <v>0</v>
      </c>
      <c r="E4" s="397">
        <f>-SUMIF(E$5:E$1048576,"&lt;0",E$5:E$1048576)</f>
        <v>0</v>
      </c>
      <c r="F4" s="397">
        <f>-SUMIF(F$5:F$1048576,"&lt;0",F$5:F$1048576)</f>
        <v>500000</v>
      </c>
      <c r="G4" s="397">
        <f>-SUMIF(G$5:G$1048576,"&lt;0",G$5:G$1048576)</f>
        <v>800000</v>
      </c>
      <c r="H4" s="397">
        <f>-SUMIF(H$5:H$1048576,"&lt;0",H$5:H$1048576)</f>
        <v>0</v>
      </c>
    </row>
    <row r="5" spans="1:8" s="21" customFormat="1" ht="17.25" customHeight="1" x14ac:dyDescent="0.3">
      <c r="B5" s="46">
        <v>5</v>
      </c>
      <c r="C5" s="9" t="s">
        <v>549</v>
      </c>
      <c r="D5" s="34"/>
      <c r="E5" s="400"/>
      <c r="F5" s="400"/>
      <c r="G5" s="400"/>
      <c r="H5" s="400"/>
    </row>
    <row r="6" spans="1:8" s="21" customFormat="1" ht="17.25" customHeight="1" outlineLevel="1" x14ac:dyDescent="0.3">
      <c r="B6" s="46"/>
      <c r="C6" s="9"/>
      <c r="D6" s="34"/>
      <c r="E6" s="400"/>
      <c r="F6" s="400"/>
      <c r="G6" s="400"/>
      <c r="H6" s="400"/>
    </row>
    <row r="7" spans="1:8" s="21" customFormat="1" ht="17.25" customHeight="1" outlineLevel="1" x14ac:dyDescent="0.3">
      <c r="B7" s="46"/>
      <c r="C7" s="9"/>
      <c r="D7" s="34"/>
      <c r="E7" s="400"/>
      <c r="F7" s="400"/>
      <c r="G7" s="400"/>
      <c r="H7" s="400"/>
    </row>
    <row r="8" spans="1:8" s="21" customFormat="1" ht="17.25" customHeight="1" outlineLevel="1" x14ac:dyDescent="0.3">
      <c r="B8" s="46"/>
      <c r="C8" s="9"/>
      <c r="D8" s="34"/>
      <c r="E8" s="400"/>
      <c r="F8" s="400"/>
      <c r="G8" s="400"/>
      <c r="H8" s="400"/>
    </row>
    <row r="9" spans="1:8" s="21" customFormat="1" ht="17.25" customHeight="1" outlineLevel="1" x14ac:dyDescent="0.3">
      <c r="B9" s="46"/>
      <c r="C9" s="9"/>
      <c r="D9" s="34"/>
      <c r="E9" s="400"/>
      <c r="F9" s="400"/>
      <c r="G9" s="400"/>
      <c r="H9" s="400"/>
    </row>
    <row r="10" spans="1:8" s="21" customFormat="1" ht="17.25" customHeight="1" outlineLevel="1" x14ac:dyDescent="0.3">
      <c r="B10" s="46"/>
      <c r="C10" s="9"/>
      <c r="D10" s="34"/>
      <c r="E10" s="400"/>
      <c r="F10" s="400"/>
      <c r="G10" s="400"/>
      <c r="H10" s="400"/>
    </row>
    <row r="11" spans="1:8" s="21" customFormat="1" ht="17.25" customHeight="1" outlineLevel="1" x14ac:dyDescent="0.3">
      <c r="B11" s="46"/>
      <c r="C11" s="9"/>
      <c r="D11" s="34"/>
      <c r="E11" s="400"/>
      <c r="F11" s="400"/>
      <c r="G11" s="400"/>
      <c r="H11" s="400"/>
    </row>
    <row r="12" spans="1:8" s="21" customFormat="1" ht="17.25" customHeight="1" outlineLevel="1" x14ac:dyDescent="0.3">
      <c r="B12" s="46"/>
      <c r="C12" s="9"/>
      <c r="D12" s="34"/>
      <c r="E12" s="400"/>
      <c r="F12" s="400"/>
      <c r="G12" s="400"/>
      <c r="H12" s="400"/>
    </row>
    <row r="13" spans="1:8" s="21" customFormat="1" ht="17.25" customHeight="1" outlineLevel="1" x14ac:dyDescent="0.3">
      <c r="B13" s="46"/>
      <c r="C13" s="9"/>
      <c r="D13" s="34"/>
      <c r="E13" s="400"/>
      <c r="F13" s="400"/>
      <c r="G13" s="400"/>
      <c r="H13" s="400"/>
    </row>
    <row r="14" spans="1:8" s="21" customFormat="1" ht="17.25" customHeight="1" outlineLevel="1" x14ac:dyDescent="0.3">
      <c r="B14" s="46"/>
      <c r="C14" s="9"/>
      <c r="D14" s="34"/>
      <c r="E14" s="400"/>
      <c r="F14" s="400"/>
      <c r="G14" s="400"/>
      <c r="H14" s="400"/>
    </row>
    <row r="15" spans="1:8" s="21" customFormat="1" ht="17.25" customHeight="1" outlineLevel="1" x14ac:dyDescent="0.3">
      <c r="B15" s="46"/>
      <c r="C15" s="9"/>
      <c r="D15" s="34"/>
      <c r="E15" s="400"/>
      <c r="F15" s="400"/>
      <c r="G15" s="400"/>
      <c r="H15" s="400"/>
    </row>
    <row r="16" spans="1:8" s="21" customFormat="1" ht="17.25" customHeight="1" outlineLevel="1" x14ac:dyDescent="0.3">
      <c r="B16" s="46"/>
      <c r="C16" s="9"/>
      <c r="D16" s="34"/>
      <c r="E16" s="400"/>
      <c r="F16" s="400"/>
      <c r="G16" s="400"/>
      <c r="H16" s="400"/>
    </row>
    <row r="17" spans="1:9" s="21" customFormat="1" ht="17.25" customHeight="1" outlineLevel="1" x14ac:dyDescent="0.3">
      <c r="B17" s="46"/>
      <c r="C17" s="9"/>
      <c r="D17" s="34"/>
      <c r="E17" s="400"/>
      <c r="F17" s="400"/>
      <c r="G17" s="400"/>
      <c r="H17" s="400"/>
    </row>
    <row r="18" spans="1:9" s="21" customFormat="1" ht="17.25" customHeight="1" outlineLevel="1" x14ac:dyDescent="0.3">
      <c r="B18" s="46"/>
      <c r="C18" s="9"/>
      <c r="D18" s="34"/>
      <c r="E18" s="400"/>
      <c r="F18" s="400"/>
      <c r="G18" s="400"/>
      <c r="H18" s="400"/>
    </row>
    <row r="19" spans="1:9" s="21" customFormat="1" ht="17.25" customHeight="1" outlineLevel="1" x14ac:dyDescent="0.3">
      <c r="B19" s="46"/>
      <c r="C19" s="9"/>
      <c r="D19" s="34"/>
      <c r="E19" s="400"/>
      <c r="F19" s="400"/>
      <c r="G19" s="400"/>
      <c r="H19" s="400"/>
    </row>
    <row r="20" spans="1:9" s="21" customFormat="1" ht="17.25" customHeight="1" outlineLevel="1" x14ac:dyDescent="0.3">
      <c r="B20" s="46"/>
      <c r="C20" s="9"/>
      <c r="D20" s="34"/>
      <c r="E20" s="400"/>
      <c r="F20" s="400"/>
      <c r="G20" s="400"/>
      <c r="H20" s="400"/>
    </row>
    <row r="21" spans="1:9" s="21" customFormat="1" ht="17.25" customHeight="1" outlineLevel="1" x14ac:dyDescent="0.3">
      <c r="B21" s="46"/>
      <c r="C21" s="9"/>
      <c r="D21" s="34"/>
      <c r="E21" s="400"/>
      <c r="F21" s="400"/>
      <c r="G21" s="400"/>
      <c r="H21" s="400"/>
    </row>
    <row r="22" spans="1:9" s="21" customFormat="1" ht="17.25" customHeight="1" outlineLevel="1" x14ac:dyDescent="0.3">
      <c r="B22" s="46"/>
      <c r="C22" s="9"/>
      <c r="D22" s="34"/>
      <c r="E22" s="400"/>
      <c r="F22" s="400"/>
      <c r="G22" s="400"/>
      <c r="H22" s="400"/>
    </row>
    <row r="23" spans="1:9" ht="17.25" customHeight="1" x14ac:dyDescent="0.3">
      <c r="C23" s="19" t="s">
        <v>551</v>
      </c>
      <c r="D23" s="20" t="s">
        <v>552</v>
      </c>
      <c r="E23" s="20" t="s">
        <v>1222</v>
      </c>
      <c r="F23" s="20" t="s">
        <v>1223</v>
      </c>
      <c r="G23" s="20" t="s">
        <v>1224</v>
      </c>
      <c r="H23" s="20" t="s">
        <v>873</v>
      </c>
    </row>
    <row r="24" spans="1:9" s="5" customFormat="1" x14ac:dyDescent="0.3">
      <c r="A24" s="344"/>
      <c r="B24" s="21" t="str" cm="1">
        <f t="array" ref="B24:B26">_xlfn._xlws.SORT(Table_KhachHang[Mã KH])</f>
        <v>KH1</v>
      </c>
      <c r="C24" s="21" t="s">
        <v>1195</v>
      </c>
      <c r="D24" s="538"/>
      <c r="E24" s="17" cm="1">
        <f t="array" ref="E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cm="1">
        <f t="array" ref="F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cm="1">
        <f t="array" ref="G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cm="1">
        <f t="array" ref="H24"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4"/>
      <c r="B25" s="21" t="str">
        <v>KH2</v>
      </c>
      <c r="C25" s="21" t="s">
        <v>1196</v>
      </c>
      <c r="D25" s="538"/>
      <c r="E25" s="17" cm="1">
        <f t="array" ref="E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cm="1">
        <f t="array" ref="F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cm="1">
        <f t="array" ref="G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cm="1">
        <f t="array" ref="H25"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4"/>
      <c r="B26" s="21" t="str">
        <v>KH3</v>
      </c>
      <c r="C26" s="21" t="s">
        <v>1197</v>
      </c>
      <c r="D26" s="396"/>
      <c r="E26" s="17" cm="1">
        <f t="array" ref="E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lập]&lt;DATE(YEAR(E$1),MONTH(E$1)+1, 1))
)),0)
+ IFERROR(
SUM(
_xlfn._xlws.FILTER(Table_DonBan[Phải thu],
(Table_DonBan[Mã Khách]=Table_PhaiThu[[#This Row],[Đối tác]])*
(NOT(ISBLANK(Table_DonBan[Phân bổ từ])))*
(NOT(ISBLANK(Table_DonBan[Phân bổ đến])))*
(Table_DonBan[Phân bổ đến] &lt; DATE(YEAR(B$1),MONTH(B$1)+1, 1))
)),0)
+IFERROR(
SUMPRODUCT(
_xlfn._xlws.FILTER(Table_DonBan[Phải thu],
(Table_DonBan[Mã Khách]=Table_PhaiThu[[#This Row],[Đối tác]])*
(NOT(ISBLANK(Table_DonBan[Phân bổ từ])))*
(NOT(ISBLANK(Table_DonBan[Phân bổ đến])))*
(Table_DonBan[Phân bổ từ]&lt;DATE(YEAR(B$1),MONTH(B$1)+1, 1))*
(Table_DonBan[Phân bổ đến]&gt;DATE(YEAR(B$1),MONTH(B$1), 1))),
_xlfn._xlws.FILTER(
ROUND(
(DATE(YEAR(B$1),MONTH(B$1)+1, 1) - 1 - Table_DonBan[Phân bổ từ]) / (362.25 / 12 ),
0),
(Table_DonBan[Mã Khách]=Table_PhaiThu[[#This Row],[Đối tác]])*
(NOT(ISBLANK(Table_DonBan[Phân bổ từ])))*
(NOT(ISBLANK(Table_DonBan[Phân bổ đến])))*
(Table_DonBan[Phân bổ từ]&lt;DATE(YEAR(B$1),MONTH(B$1)+1, 1))*
(Table_DonBan[Phân bổ đến]&gt;DATE(YEAR(B$1),MONTH(B$1), 1))
),
_xlfn._xlws.FILTER(
1/ROUND((Table_DonBan[Phân bổ đến] - Table_DonBan[Phân bổ từ]) / (362.25 / 12 ),
0),
(Table_DonBan[Mã Khách]=Table_PhaiThu[[#This Row],[Đối tác]])*
(NOT(ISBLANK(Table_DonBan[Phân bổ từ])))*
(NOT(ISBLANK(Table_DonBan[Phân bổ đến])))*
(Table_DonBan[Phân bổ từ]&lt;DATE(YEAR(B$1),MONTH(B$1)+1, 1))*
(Table_DonBan[Phân bổ đến]&gt;DATE(YEAR(B$1),MONTH(B$1),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cm="1">
        <f t="array" ref="F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lập]&lt;DATE(YEAR(F$1),MONTH(F$1)+1, 1))
)),0)
+ IFERROR(
SUM(
_xlfn._xlws.FILTER(Table_DonBan[Phải thu],
(Table_DonBan[Mã Khách]=Table_PhaiThu[[#This Row],[Đối tác]])*
(NOT(ISBLANK(Table_DonBan[Phân bổ từ])))*
(NOT(ISBLANK(Table_DonBan[Phân bổ đến])))*
(Table_DonBan[Phân bổ đến] &lt; DATE(YEAR(C$1),MONTH(C$1)+1, 1))
)),0)
+IFERROR(
SUMPRODUCT(
_xlfn._xlws.FILTER(Table_DonBan[Phải thu],
(Table_DonBan[Mã Khách]=Table_PhaiThu[[#This Row],[Đối tác]])*
(NOT(ISBLANK(Table_DonBan[Phân bổ từ])))*
(NOT(ISBLANK(Table_DonBan[Phân bổ đến])))*
(Table_DonBan[Phân bổ từ]&lt;DATE(YEAR(C$1),MONTH(C$1)+1, 1))*
(Table_DonBan[Phân bổ đến]&gt;DATE(YEAR(C$1),MONTH(C$1), 1))),
_xlfn._xlws.FILTER(
ROUND(
(DATE(YEAR(C$1),MONTH(C$1)+1, 1) - 1 - Table_DonBan[Phân bổ từ]) / (362.25 / 12 ),
0),
(Table_DonBan[Mã Khách]=Table_PhaiThu[[#This Row],[Đối tác]])*
(NOT(ISBLANK(Table_DonBan[Phân bổ từ])))*
(NOT(ISBLANK(Table_DonBan[Phân bổ đến])))*
(Table_DonBan[Phân bổ từ]&lt;DATE(YEAR(C$1),MONTH(C$1)+1, 1))*
(Table_DonBan[Phân bổ đến]&gt;DATE(YEAR(C$1),MONTH(C$1), 1))
),
_xlfn._xlws.FILTER(
1/ROUND((Table_DonBan[Phân bổ đến] - Table_DonBan[Phân bổ từ]) / (362.25 / 12 ),
0),
(Table_DonBan[Mã Khách]=Table_PhaiThu[[#This Row],[Đối tác]])*
(NOT(ISBLANK(Table_DonBan[Phân bổ từ])))*
(NOT(ISBLANK(Table_DonBan[Phân bổ đến])))*
(Table_DonBan[Phân bổ từ]&lt;DATE(YEAR(C$1),MONTH(C$1)+1, 1))*
(Table_DonBan[Phân bổ đến]&gt;DATE(YEAR(C$1),MONTH(C$1),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cm="1">
        <f t="array" ref="G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lập]&lt;DATE(YEAR(G$1),MONTH(G$1)+1, 1))
)),0)
+ IFERROR(
SUM(
_xlfn._xlws.FILTER(Table_DonBan[Phải thu],
(Table_DonBan[Mã Khách]=Table_PhaiThu[[#This Row],[Đối tác]])*
(NOT(ISBLANK(Table_DonBan[Phân bổ từ])))*
(NOT(ISBLANK(Table_DonBan[Phân bổ đến])))*
(Table_DonBan[Phân bổ đến] &lt; DATE(YEAR(D$1),MONTH(D$1)+1, 1))
)),0)
+IFERROR(
SUMPRODUCT(
_xlfn._xlws.FILTER(Table_DonBan[Phải thu],
(Table_DonBan[Mã Khách]=Table_PhaiThu[[#This Row],[Đối tác]])*
(NOT(ISBLANK(Table_DonBan[Phân bổ từ])))*
(NOT(ISBLANK(Table_DonBan[Phân bổ đến])))*
(Table_DonBan[Phân bổ từ]&lt;DATE(YEAR(D$1),MONTH(D$1)+1, 1))*
(Table_DonBan[Phân bổ đến]&gt;DATE(YEAR(D$1),MONTH(D$1), 1))),
_xlfn._xlws.FILTER(
ROUND(
(DATE(YEAR(D$1),MONTH(D$1)+1, 1) - 1 - Table_DonBan[Phân bổ từ]) / (362.25 / 12 ),
0),
(Table_DonBan[Mã Khách]=Table_PhaiThu[[#This Row],[Đối tác]])*
(NOT(ISBLANK(Table_DonBan[Phân bổ từ])))*
(NOT(ISBLANK(Table_DonBan[Phân bổ đến])))*
(Table_DonBan[Phân bổ từ]&lt;DATE(YEAR(D$1),MONTH(D$1)+1, 1))*
(Table_DonBan[Phân bổ đến]&gt;DATE(YEAR(D$1),MONTH(D$1), 1))
),
_xlfn._xlws.FILTER(
1/ROUND((Table_DonBan[Phân bổ đến] - Table_DonBan[Phân bổ từ]) / (362.25 / 12 ),
0),
(Table_DonBan[Mã Khách]=Table_PhaiThu[[#This Row],[Đối tác]])*
(NOT(ISBLANK(Table_DonBan[Phân bổ từ])))*
(NOT(ISBLANK(Table_DonBan[Phân bổ đến])))*
(Table_DonBan[Phân bổ từ]&lt;DATE(YEAR(D$1),MONTH(D$1)+1, 1))*
(Table_DonBan[Phân bổ đến]&gt;DATE(YEAR(D$1),MONTH(D$1),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cm="1">
        <f t="array" ref="H26" xml:space="preserve">
IF(ISBLANK(Table_PhaiThu[[#This Row],[Đối tác]]),0,
+Table_PhaiThu[[#This Row],[Dư đầu kỳ]]
+IFERROR(
SUM(_xlfn._xlws.FILTER(Table_DonBan[Phải thu],
(Table_DonBan[Mã Khách]=Table_PhaiThu[[#This Row],[Đối tác]]) *
(ISBLANK(Table_DonBan[Phân bổ từ]))*
(ISBLANK(Table_DonBan[Phân bổ đến]))*
(Table_DonBan[Ngày lập]&lt;DATE(YEAR(H$1),MONTH(H$1)+1, 1))
)),0)
+ IFERROR(
SUM(
_xlfn._xlws.FILTER(Table_DonBan[Phải thu],
(Table_DonBan[Mã Khách]=Table_PhaiThu[[#This Row],[Đối tác]])*
(NOT(ISBLANK(Table_DonBan[Phân bổ từ])))*
(NOT(ISBLANK(Table_DonBan[Phân bổ đến])))*
(Table_DonBan[Phân bổ đến] &lt; DATE(YEAR(E$1),MONTH(E$1)+1, 1))
)),0)
+IFERROR(
SUMPRODUCT(
_xlfn._xlws.FILTER(Table_DonBan[Phải thu],
(Table_DonBan[Mã Khách]=Table_PhaiThu[[#This Row],[Đối tác]])*
(NOT(ISBLANK(Table_DonBan[Phân bổ từ])))*
(NOT(ISBLANK(Table_DonBan[Phân bổ đến])))*
(Table_DonBan[Phân bổ từ]&lt;DATE(YEAR(E$1),MONTH(E$1)+1, 1))*
(Table_DonBan[Phân bổ đến]&gt;DATE(YEAR(E$1),MONTH(E$1), 1))),
_xlfn._xlws.FILTER(
ROUND(
(DATE(YEAR(E$1),MONTH(E$1)+1, 1) - 1 - Table_DonBan[Phân bổ từ]) / (362.25 / 12 ),
0),
(Table_DonBan[Mã Khách]=Table_PhaiThu[[#This Row],[Đối tác]])*
(NOT(ISBLANK(Table_DonBan[Phân bổ từ])))*
(NOT(ISBLANK(Table_DonBan[Phân bổ đến])))*
(Table_DonBan[Phân bổ từ]&lt;DATE(YEAR(E$1),MONTH(E$1)+1, 1))*
(Table_DonBan[Phân bổ đến]&gt;DATE(YEAR(E$1),MONTH(E$1), 1))
),
_xlfn._xlws.FILTER(
1/ROUND((Table_DonBan[Phân bổ đến] - Table_DonBan[Phân bổ từ]) / (362.25 / 12 ),
0),
(Table_DonBan[Mã Khách]=Table_PhaiThu[[#This Row],[Đối tác]])*
(NOT(ISBLANK(Table_DonBan[Phân bổ từ])))*
(NOT(ISBLANK(Table_DonBan[Phân bổ đến])))*
(Table_DonBan[Phân bổ từ]&lt;DATE(YEAR(E$1),MONTH(E$1)+1, 1))*
(Table_DonBan[Phân bổ đến]&gt;DATE(YEAR(E$1),MONTH(E$1),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4"/>
      <c r="B27" s="21"/>
      <c r="C27" s="1"/>
      <c r="D27" s="38"/>
      <c r="E27" s="38"/>
      <c r="F27" s="38"/>
      <c r="G27" s="38"/>
      <c r="H27" s="38"/>
      <c r="I27" s="38"/>
    </row>
    <row r="28" spans="1:9" s="5" customFormat="1" x14ac:dyDescent="0.3">
      <c r="A28" s="344"/>
      <c r="B28" s="21"/>
      <c r="C28" s="1"/>
      <c r="D28" s="38"/>
      <c r="E28" s="38"/>
      <c r="F28" s="38"/>
      <c r="G28" s="38"/>
      <c r="H28" s="38"/>
      <c r="I28" s="1"/>
    </row>
    <row r="29" spans="1:9" s="5" customFormat="1" x14ac:dyDescent="0.3">
      <c r="A29" s="344"/>
      <c r="B29" s="21"/>
      <c r="C29" s="1"/>
      <c r="D29" s="38"/>
      <c r="E29" s="38"/>
      <c r="F29" s="38"/>
      <c r="G29" s="38"/>
      <c r="H29" s="38"/>
      <c r="I29" s="1"/>
    </row>
    <row r="30" spans="1:9" s="5" customFormat="1" x14ac:dyDescent="0.3">
      <c r="A30" s="344"/>
      <c r="B30" s="21"/>
      <c r="C30" s="1"/>
      <c r="D30" s="38"/>
      <c r="E30" s="38"/>
      <c r="F30" s="38"/>
      <c r="G30" s="38"/>
      <c r="H30" s="38"/>
      <c r="I30" s="1"/>
    </row>
    <row r="31" spans="1:9" s="5" customFormat="1" x14ac:dyDescent="0.3">
      <c r="A31" s="344"/>
      <c r="B31" s="21"/>
      <c r="C31" s="1"/>
      <c r="D31" s="38"/>
      <c r="E31" s="38"/>
      <c r="F31" s="38"/>
      <c r="G31" s="38"/>
      <c r="H31" s="38"/>
      <c r="I31" s="1"/>
    </row>
    <row r="32" spans="1:9" s="5" customFormat="1" x14ac:dyDescent="0.3">
      <c r="A32" s="344"/>
      <c r="B32" s="21"/>
      <c r="C32" s="1"/>
      <c r="D32" s="38"/>
      <c r="E32" s="38"/>
      <c r="F32" s="38"/>
      <c r="G32" s="38"/>
      <c r="H32" s="38"/>
      <c r="I32" s="1"/>
    </row>
    <row r="33" spans="1:9" s="5" customFormat="1" x14ac:dyDescent="0.3">
      <c r="A33" s="344"/>
      <c r="B33" s="21"/>
      <c r="C33" s="1"/>
      <c r="D33" s="38"/>
      <c r="E33" s="38"/>
      <c r="F33" s="38"/>
      <c r="G33" s="38"/>
      <c r="H33" s="38"/>
      <c r="I33" s="1"/>
    </row>
    <row r="35" spans="1:9" s="5" customFormat="1" x14ac:dyDescent="0.3">
      <c r="A35" s="344"/>
      <c r="B35" s="21"/>
      <c r="C35" s="1"/>
      <c r="D35" s="38"/>
      <c r="E35" s="38"/>
      <c r="F35" s="38"/>
      <c r="G35" s="38"/>
      <c r="H35" s="38"/>
      <c r="I35" s="1"/>
    </row>
    <row r="36" spans="1:9" s="5" customFormat="1" x14ac:dyDescent="0.3">
      <c r="A36" s="344"/>
      <c r="B36" s="21"/>
      <c r="C36" s="1"/>
      <c r="D36" s="38"/>
      <c r="E36" s="38"/>
      <c r="F36" s="38"/>
      <c r="G36" s="38"/>
      <c r="H36" s="38"/>
      <c r="I36" s="1"/>
    </row>
    <row r="37" spans="1:9" s="5" customFormat="1" x14ac:dyDescent="0.3">
      <c r="A37" s="344"/>
      <c r="B37" s="21"/>
      <c r="C37" s="1"/>
      <c r="D37" s="38"/>
      <c r="E37" s="38"/>
      <c r="F37" s="38"/>
      <c r="G37" s="38"/>
      <c r="H37" s="38"/>
      <c r="I37" s="1"/>
    </row>
    <row r="38" spans="1:9" s="5" customFormat="1" x14ac:dyDescent="0.3">
      <c r="A38" s="344"/>
      <c r="B38" s="21"/>
      <c r="C38" s="1"/>
      <c r="D38" s="38"/>
      <c r="E38" s="38"/>
      <c r="F38" s="38"/>
      <c r="G38" s="38"/>
      <c r="H38" s="38"/>
      <c r="I38" s="1"/>
    </row>
    <row r="39" spans="1:9" s="5" customFormat="1" x14ac:dyDescent="0.3">
      <c r="A39" s="344"/>
      <c r="B39" s="21"/>
      <c r="C39" s="1"/>
      <c r="D39" s="38"/>
      <c r="E39" s="38"/>
      <c r="F39" s="38"/>
      <c r="G39" s="38"/>
      <c r="H39" s="38"/>
      <c r="I39" s="1"/>
    </row>
    <row r="40" spans="1:9" s="5" customFormat="1" x14ac:dyDescent="0.3">
      <c r="A40" s="344"/>
      <c r="B40" s="21"/>
      <c r="C40" s="1"/>
      <c r="D40" s="38"/>
      <c r="E40" s="38"/>
      <c r="F40" s="38"/>
      <c r="G40" s="38"/>
      <c r="H40" s="38"/>
      <c r="I40" s="1"/>
    </row>
    <row r="41" spans="1:9" s="5" customFormat="1" x14ac:dyDescent="0.3">
      <c r="A41" s="344"/>
      <c r="B41" s="21"/>
      <c r="C41" s="1"/>
      <c r="D41" s="38"/>
      <c r="E41" s="38"/>
      <c r="F41" s="38"/>
      <c r="G41" s="38"/>
      <c r="H41" s="38"/>
      <c r="I41" s="1"/>
    </row>
    <row r="43" spans="1:9" s="6" customFormat="1" x14ac:dyDescent="0.3">
      <c r="A43" s="345"/>
      <c r="B43" s="21"/>
      <c r="C43" s="1"/>
      <c r="D43" s="38"/>
      <c r="E43" s="38"/>
      <c r="F43" s="38"/>
      <c r="G43" s="38"/>
      <c r="H43" s="38"/>
      <c r="I43" s="1"/>
    </row>
    <row r="44" spans="1:9" s="5" customFormat="1" x14ac:dyDescent="0.3">
      <c r="A44" s="344"/>
      <c r="B44" s="21"/>
      <c r="C44" s="1"/>
      <c r="D44" s="38"/>
      <c r="E44" s="38"/>
      <c r="F44" s="38"/>
      <c r="G44" s="38"/>
      <c r="H44" s="38"/>
      <c r="I44" s="1"/>
    </row>
    <row r="45" spans="1:9" s="5" customFormat="1" x14ac:dyDescent="0.3">
      <c r="A45" s="344"/>
      <c r="B45" s="21"/>
      <c r="C45" s="1"/>
      <c r="D45" s="38"/>
      <c r="E45" s="38"/>
      <c r="F45" s="38"/>
      <c r="G45" s="38"/>
      <c r="H45" s="38"/>
      <c r="I45" s="1"/>
    </row>
    <row r="46" spans="1:9" s="5" customFormat="1" x14ac:dyDescent="0.3">
      <c r="A46" s="344"/>
      <c r="B46" s="21"/>
      <c r="C46" s="1"/>
      <c r="D46" s="38"/>
      <c r="E46" s="38"/>
      <c r="F46" s="38"/>
      <c r="G46" s="38"/>
      <c r="H46" s="38"/>
      <c r="I46" s="1"/>
    </row>
    <row r="47" spans="1:9" s="5" customFormat="1" x14ac:dyDescent="0.3">
      <c r="A47" s="344"/>
      <c r="B47" s="21"/>
      <c r="C47" s="1"/>
      <c r="D47" s="38"/>
      <c r="E47" s="38"/>
      <c r="F47" s="38"/>
      <c r="G47" s="38"/>
      <c r="H47" s="38"/>
      <c r="I47" s="1"/>
    </row>
    <row r="49" spans="1:9" s="6" customFormat="1" x14ac:dyDescent="0.3">
      <c r="A49" s="345"/>
      <c r="B49" s="21"/>
      <c r="C49" s="1"/>
      <c r="D49" s="38"/>
      <c r="E49" s="38"/>
      <c r="F49" s="38"/>
      <c r="G49" s="38"/>
      <c r="H49" s="38"/>
      <c r="I49" s="1"/>
    </row>
    <row r="51" spans="1:9" s="6" customFormat="1" x14ac:dyDescent="0.3">
      <c r="A51" s="345"/>
      <c r="B51" s="21"/>
      <c r="C51" s="1"/>
      <c r="D51" s="38"/>
      <c r="E51" s="38"/>
      <c r="F51" s="38"/>
      <c r="G51" s="38"/>
      <c r="H51" s="38"/>
      <c r="I51" s="1"/>
    </row>
    <row r="54" spans="1:9" s="2" customFormat="1" x14ac:dyDescent="0.3">
      <c r="A54" s="345"/>
      <c r="B54" s="21"/>
      <c r="C54" s="1"/>
      <c r="D54" s="38"/>
      <c r="E54" s="38"/>
      <c r="F54" s="38"/>
      <c r="G54" s="38"/>
      <c r="H54" s="38"/>
      <c r="I54" s="1"/>
    </row>
  </sheetData>
  <sheetProtection algorithmName="SHA-512" hashValue="HW9xF/Ik2hqoPqViEZfFzhEiv1SK0vlLV+Xla5BCT4YvrftA6195rpeEhpCDz/WMHOiQaaOCW0G4gMGLx4GkLg==" saltValue="VCxSg1c8+bcl1drYhixfKw==" spinCount="100000" sheet="1" scenarios="1" formatCells="0" formatColumns="0" formatRows="0" insertColumns="0" insertRows="0" deleteColumns="0" deleteRows="0" sort="0" autoFilter="0" pivotTables="0"/>
  <protectedRanges>
    <protectedRange sqref="J58:XFD1048576 I25:I1048576 J25:XFD53 B25:B1048576 I23:XFD24 J1:XFD22 H5:H22 D2:H4 C1:C1048576 D23:H25" name="Range1_69"/>
    <protectedRange sqref="J54:XFD57" name="Range1_4_13"/>
    <protectedRange sqref="H1" name="Range1_69_1"/>
  </protectedRanges>
  <dataConsolidate link="1"/>
  <phoneticPr fontId="14" type="noConversion"/>
  <conditionalFormatting sqref="C24:C26">
    <cfRule type="duplicateValues" dxfId="865"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22" zoomScaleNormal="100" workbookViewId="0">
      <selection activeCell="E33" sqref="E33"/>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0"/>
    <col min="13" max="16384" width="9" style="7"/>
  </cols>
  <sheetData>
    <row r="1" spans="1:12" ht="18" customHeight="1" x14ac:dyDescent="0.3">
      <c r="A1" s="299">
        <v>1</v>
      </c>
      <c r="B1" s="240"/>
      <c r="C1" s="10" t="s">
        <v>1</v>
      </c>
      <c r="D1" s="399"/>
      <c r="E1" s="399">
        <v>45717</v>
      </c>
      <c r="F1" s="399">
        <v>45748</v>
      </c>
      <c r="G1" s="399">
        <v>45778</v>
      </c>
      <c r="H1" s="399"/>
      <c r="I1" s="240"/>
      <c r="J1" s="240"/>
      <c r="L1" s="7"/>
    </row>
    <row r="2" spans="1:12" ht="18" customHeight="1" x14ac:dyDescent="0.3">
      <c r="A2" s="299">
        <v>2</v>
      </c>
      <c r="B2" s="11" t="s">
        <v>553</v>
      </c>
      <c r="C2" s="10" t="s">
        <v>554</v>
      </c>
      <c r="D2" s="397">
        <f>+SUMIFS(D$26:D$1048576,D$26:D$1048576,"&gt;0",$B$26:$B$1048576,$B$2)</f>
        <v>0</v>
      </c>
      <c r="E2" s="397">
        <f>+SUMIFS(E$9:E$1048576,E$9:E$1048576,"&gt;0",$B$9:$B$1048576,$B$2)</f>
        <v>403962</v>
      </c>
      <c r="F2" s="397">
        <f>+SUMIFS(F$9:F$1048576,F$9:F$1048576,"&gt;0",$B$9:$B$1048576,$B$2)</f>
        <v>496415</v>
      </c>
      <c r="G2" s="397">
        <f>+SUMIFS(G$9:G$1048576,G$9:G$1048576,"&gt;0",$B$9:$B$1048576,$B$2)</f>
        <v>430146</v>
      </c>
      <c r="H2" s="397">
        <f>+SUMIFS(H$9:H$1048576,H$9:H$1048576,"&gt;0",$B$9:$B$1048576,$B$2)</f>
        <v>0</v>
      </c>
      <c r="I2" s="240"/>
      <c r="J2" s="240"/>
      <c r="L2" s="7"/>
    </row>
    <row r="3" spans="1:12" ht="18" customHeight="1" x14ac:dyDescent="0.3">
      <c r="A3" s="299">
        <v>3</v>
      </c>
      <c r="B3" s="13"/>
      <c r="C3" s="9" t="s">
        <v>549</v>
      </c>
      <c r="D3" s="398"/>
      <c r="E3" s="398"/>
      <c r="F3" s="398"/>
      <c r="G3" s="398"/>
      <c r="H3" s="398"/>
      <c r="I3" s="240"/>
      <c r="J3" s="240"/>
      <c r="L3" s="7"/>
    </row>
    <row r="4" spans="1:12" ht="18" customHeight="1" x14ac:dyDescent="0.3">
      <c r="A4" s="299">
        <v>4</v>
      </c>
      <c r="B4" s="257"/>
      <c r="C4" s="10" t="s">
        <v>550</v>
      </c>
      <c r="D4" s="397">
        <f>-SUMIFS(D$26:D$1048576,D$26:D$1048576,"&lt;=0",$B$26:$B$1048576,$B$2)</f>
        <v>0</v>
      </c>
      <c r="E4" s="397">
        <f>-SUMIFS(E$9:E$1048576,E$9:E$1048576,"&lt;=0",$B$9:$B$1048576,$B$2)</f>
        <v>175654</v>
      </c>
      <c r="F4" s="397">
        <f>-SUMIFS(F$9:F$1048576,F$9:F$1048576,"&lt;=0",$B$9:$B$1048576,$B$2)</f>
        <v>333042</v>
      </c>
      <c r="G4" s="397">
        <f>-SUMIFS(G$9:G$1048576,G$9:G$1048576,"&lt;=0",$B$9:$B$1048576,$B$2)</f>
        <v>629803</v>
      </c>
      <c r="H4" s="397">
        <f>-SUMIFS(H$9:H$1048576,H$9:H$1048576,"&lt;=0",$B$9:$B$1048576,$B$2)</f>
        <v>0</v>
      </c>
      <c r="I4" s="240"/>
      <c r="J4" s="240"/>
      <c r="L4" s="7"/>
    </row>
    <row r="5" spans="1:12" ht="18" customHeight="1" x14ac:dyDescent="0.3">
      <c r="A5" s="299">
        <v>5</v>
      </c>
      <c r="B5" s="13"/>
      <c r="C5" s="9" t="s">
        <v>549</v>
      </c>
      <c r="D5" s="398"/>
      <c r="E5" s="398"/>
      <c r="F5" s="398"/>
      <c r="G5" s="398"/>
      <c r="H5" s="398"/>
      <c r="I5" s="240"/>
      <c r="J5" s="258"/>
      <c r="L5" s="7"/>
    </row>
    <row r="6" spans="1:12" ht="18" customHeight="1" x14ac:dyDescent="0.3">
      <c r="A6" s="299">
        <v>6</v>
      </c>
      <c r="B6" s="11" t="s">
        <v>555</v>
      </c>
      <c r="C6" s="10" t="s">
        <v>554</v>
      </c>
      <c r="D6" s="397">
        <f>+SUMIFS(D$26:D$1048576,D$26:D$1048576,"&gt;0",$B$26:$B$1048576,$B$6)</f>
        <v>0</v>
      </c>
      <c r="E6" s="397">
        <f>+SUMIFS(E$9:E$1048576,E$9:E$1048576,"&gt;0",$B$9:$B$1048576,$B$6)</f>
        <v>0</v>
      </c>
      <c r="F6" s="397">
        <f>+SUMIFS(F$9:F$1048576,F$9:F$1048576,"&gt;0",$B$9:$B$1048576,$B$6)</f>
        <v>0</v>
      </c>
      <c r="G6" s="397">
        <f>+SUMIFS(G$9:G$1048576,G$9:G$1048576,"&gt;0",$B$9:$B$1048576,$B$6)</f>
        <v>0</v>
      </c>
      <c r="H6" s="397">
        <f>+SUMIFS(H$9:H$1048576,H$9:H$1048576,"&gt;0",$B$9:$B$1048576,$B$6)</f>
        <v>0</v>
      </c>
      <c r="I6" s="240"/>
      <c r="J6" s="258"/>
      <c r="L6" s="7"/>
    </row>
    <row r="7" spans="1:12" ht="18" customHeight="1" x14ac:dyDescent="0.3">
      <c r="A7" s="299">
        <v>7</v>
      </c>
      <c r="B7" s="13"/>
      <c r="C7" s="9" t="s">
        <v>549</v>
      </c>
      <c r="D7" s="398"/>
      <c r="E7" s="398"/>
      <c r="F7" s="398"/>
      <c r="G7" s="398"/>
      <c r="H7" s="398"/>
      <c r="I7" s="240"/>
      <c r="J7" s="258"/>
      <c r="L7" s="7"/>
    </row>
    <row r="8" spans="1:12" ht="18" customHeight="1" x14ac:dyDescent="0.3">
      <c r="A8" s="299">
        <v>8</v>
      </c>
      <c r="B8" s="240"/>
      <c r="C8" s="10" t="s">
        <v>550</v>
      </c>
      <c r="D8" s="397">
        <f>-SUMIFS(D$26:D$1048576,D$26:D$1048576,"&lt;=0",$B$26:$B$1048576,$B$6)</f>
        <v>0</v>
      </c>
      <c r="E8" s="397">
        <f>-SUMIFS(E$9:E$1048576,E$9:E$1048576,"&lt;=0",$B$9:$B$1048576,$B$6)</f>
        <v>0</v>
      </c>
      <c r="F8" s="397">
        <f>-SUMIFS(F$9:F$1048576,F$9:F$1048576,"&lt;=0",$B$9:$B$1048576,$B$6)</f>
        <v>0</v>
      </c>
      <c r="G8" s="397">
        <f>-SUMIFS(G$9:G$1048576,G$9:G$1048576,"&lt;=0",$B$9:$B$1048576,$B$6)</f>
        <v>0</v>
      </c>
      <c r="H8" s="397">
        <f>-SUMIFS(H$9:H$1048576,H$9:H$1048576,"&lt;=0",$B$9:$B$1048576,$B$6)</f>
        <v>0</v>
      </c>
      <c r="I8" s="240"/>
      <c r="J8" s="258"/>
      <c r="L8" s="7"/>
    </row>
    <row r="9" spans="1:12" ht="18" customHeight="1" x14ac:dyDescent="0.3">
      <c r="A9" s="299">
        <v>9</v>
      </c>
      <c r="B9" s="240"/>
      <c r="C9" s="9" t="s">
        <v>549</v>
      </c>
      <c r="D9" s="15"/>
      <c r="E9" s="398"/>
      <c r="F9" s="398"/>
      <c r="G9" s="398"/>
      <c r="H9" s="398"/>
      <c r="I9" s="240"/>
      <c r="J9" s="258"/>
      <c r="L9" s="7"/>
    </row>
    <row r="10" spans="1:12" ht="18" customHeight="1" outlineLevel="1" x14ac:dyDescent="0.3">
      <c r="A10" s="299"/>
      <c r="B10" s="240"/>
      <c r="C10" s="9"/>
      <c r="D10" s="15"/>
      <c r="E10" s="398"/>
      <c r="F10" s="398"/>
      <c r="G10" s="398"/>
      <c r="H10" s="398"/>
      <c r="I10" s="240"/>
      <c r="J10" s="258"/>
      <c r="L10" s="7"/>
    </row>
    <row r="11" spans="1:12" ht="18" customHeight="1" outlineLevel="1" x14ac:dyDescent="0.3">
      <c r="A11" s="299"/>
      <c r="B11" s="240"/>
      <c r="C11" s="9"/>
      <c r="D11" s="15"/>
      <c r="E11" s="398"/>
      <c r="F11" s="398"/>
      <c r="G11" s="398"/>
      <c r="H11" s="398"/>
      <c r="I11" s="240"/>
      <c r="J11" s="258"/>
      <c r="L11" s="7"/>
    </row>
    <row r="12" spans="1:12" ht="18" customHeight="1" outlineLevel="1" x14ac:dyDescent="0.3">
      <c r="A12" s="299"/>
      <c r="B12" s="240"/>
      <c r="C12" s="9"/>
      <c r="D12" s="15"/>
      <c r="E12" s="398"/>
      <c r="F12" s="398"/>
      <c r="G12" s="398"/>
      <c r="H12" s="398"/>
      <c r="I12" s="240"/>
      <c r="J12" s="258"/>
      <c r="L12" s="7"/>
    </row>
    <row r="13" spans="1:12" ht="18" customHeight="1" outlineLevel="1" x14ac:dyDescent="0.3">
      <c r="A13" s="299"/>
      <c r="B13" s="240"/>
      <c r="C13" s="9"/>
      <c r="D13" s="15"/>
      <c r="E13" s="398"/>
      <c r="F13" s="398"/>
      <c r="G13" s="398"/>
      <c r="H13" s="398"/>
      <c r="I13" s="240"/>
      <c r="J13" s="258"/>
      <c r="L13" s="7"/>
    </row>
    <row r="14" spans="1:12" ht="18" customHeight="1" outlineLevel="1" x14ac:dyDescent="0.3">
      <c r="A14" s="299"/>
      <c r="B14" s="240"/>
      <c r="C14" s="9"/>
      <c r="D14" s="15"/>
      <c r="E14" s="398"/>
      <c r="F14" s="398"/>
      <c r="G14" s="398"/>
      <c r="H14" s="398"/>
      <c r="I14" s="240"/>
      <c r="J14" s="258"/>
      <c r="L14" s="7"/>
    </row>
    <row r="15" spans="1:12" ht="18" customHeight="1" outlineLevel="1" x14ac:dyDescent="0.3">
      <c r="A15" s="299"/>
      <c r="B15" s="240"/>
      <c r="C15" s="9"/>
      <c r="D15" s="15"/>
      <c r="E15" s="398"/>
      <c r="F15" s="398"/>
      <c r="G15" s="398"/>
      <c r="H15" s="398"/>
      <c r="I15" s="240"/>
      <c r="J15" s="258"/>
    </row>
    <row r="16" spans="1:12" ht="18" customHeight="1" outlineLevel="1" x14ac:dyDescent="0.3">
      <c r="A16" s="299"/>
      <c r="B16" s="240"/>
      <c r="C16" s="9"/>
      <c r="D16" s="15"/>
      <c r="E16" s="398"/>
      <c r="F16" s="398"/>
      <c r="G16" s="398"/>
      <c r="H16" s="398"/>
      <c r="I16" s="240"/>
      <c r="J16" s="258"/>
    </row>
    <row r="17" spans="1:10" ht="18" customHeight="1" outlineLevel="1" x14ac:dyDescent="0.3">
      <c r="A17" s="299"/>
      <c r="B17" s="240"/>
      <c r="C17" s="9"/>
      <c r="D17" s="15"/>
      <c r="E17" s="398"/>
      <c r="F17" s="398"/>
      <c r="G17" s="398"/>
      <c r="H17" s="398"/>
      <c r="I17" s="240"/>
      <c r="J17" s="258"/>
    </row>
    <row r="18" spans="1:10" ht="18" customHeight="1" outlineLevel="1" x14ac:dyDescent="0.3">
      <c r="A18" s="299"/>
      <c r="B18" s="240"/>
      <c r="C18" s="9"/>
      <c r="D18" s="15"/>
      <c r="E18" s="398"/>
      <c r="F18" s="398"/>
      <c r="G18" s="398"/>
      <c r="H18" s="398"/>
      <c r="I18" s="240"/>
      <c r="J18" s="258"/>
    </row>
    <row r="19" spans="1:10" ht="18" customHeight="1" outlineLevel="1" x14ac:dyDescent="0.3">
      <c r="A19" s="299"/>
      <c r="B19" s="240"/>
      <c r="C19" s="9"/>
      <c r="D19" s="15"/>
      <c r="E19" s="398"/>
      <c r="F19" s="398"/>
      <c r="G19" s="398"/>
      <c r="H19" s="398"/>
      <c r="I19" s="240"/>
      <c r="J19" s="258"/>
    </row>
    <row r="20" spans="1:10" ht="18" customHeight="1" outlineLevel="1" x14ac:dyDescent="0.3">
      <c r="A20" s="299"/>
      <c r="B20" s="240"/>
      <c r="C20" s="9"/>
      <c r="D20" s="15"/>
      <c r="E20" s="398"/>
      <c r="F20" s="398"/>
      <c r="G20" s="398"/>
      <c r="H20" s="398"/>
      <c r="I20" s="240"/>
      <c r="J20" s="258"/>
    </row>
    <row r="21" spans="1:10" ht="18" customHeight="1" outlineLevel="1" x14ac:dyDescent="0.3">
      <c r="A21" s="299"/>
      <c r="B21" s="240"/>
      <c r="C21" s="9"/>
      <c r="D21" s="15"/>
      <c r="E21" s="398"/>
      <c r="F21" s="398"/>
      <c r="G21" s="398"/>
      <c r="H21" s="398"/>
      <c r="I21" s="240"/>
      <c r="J21" s="258"/>
    </row>
    <row r="22" spans="1:10" ht="18" customHeight="1" outlineLevel="1" x14ac:dyDescent="0.3">
      <c r="A22" s="299"/>
      <c r="B22" s="240"/>
      <c r="C22" s="9"/>
      <c r="D22" s="15"/>
      <c r="E22" s="398"/>
      <c r="F22" s="398"/>
      <c r="G22" s="398"/>
      <c r="H22" s="398"/>
      <c r="I22" s="240"/>
      <c r="J22" s="258"/>
    </row>
    <row r="23" spans="1:10" ht="18" customHeight="1" outlineLevel="1" x14ac:dyDescent="0.3">
      <c r="A23" s="299"/>
      <c r="B23" s="240"/>
      <c r="C23" s="9"/>
      <c r="D23" s="15"/>
      <c r="E23" s="398"/>
      <c r="F23" s="398"/>
      <c r="G23" s="398"/>
      <c r="H23" s="398"/>
      <c r="I23" s="240"/>
      <c r="J23" s="258"/>
    </row>
    <row r="24" spans="1:10" ht="18" customHeight="1" outlineLevel="1" x14ac:dyDescent="0.3">
      <c r="A24" s="299"/>
      <c r="B24" s="240"/>
      <c r="C24" s="9"/>
      <c r="D24" s="15"/>
      <c r="E24" s="398"/>
      <c r="F24" s="398"/>
      <c r="G24" s="398"/>
      <c r="H24" s="398"/>
      <c r="I24" s="240"/>
      <c r="J24" s="258"/>
    </row>
    <row r="25" spans="1:10" ht="18" customHeight="1" outlineLevel="1" x14ac:dyDescent="0.3">
      <c r="A25" s="299"/>
      <c r="B25" s="240"/>
      <c r="C25" s="9"/>
      <c r="D25" s="15"/>
      <c r="E25" s="398"/>
      <c r="F25" s="398"/>
      <c r="G25" s="398"/>
      <c r="H25" s="398"/>
      <c r="I25" s="240"/>
      <c r="J25" s="258"/>
    </row>
    <row r="26" spans="1:10" ht="18" customHeight="1" outlineLevel="1" x14ac:dyDescent="0.3">
      <c r="A26" s="299"/>
      <c r="B26" s="240"/>
      <c r="C26" s="9"/>
      <c r="D26" s="15"/>
      <c r="E26" s="398"/>
      <c r="F26" s="398"/>
      <c r="G26" s="398"/>
      <c r="H26" s="398"/>
      <c r="I26" s="240"/>
      <c r="J26" s="258"/>
    </row>
    <row r="27" spans="1:10" ht="18" customHeight="1" x14ac:dyDescent="0.3">
      <c r="A27" s="240"/>
      <c r="B27" s="19" t="s">
        <v>556</v>
      </c>
      <c r="C27" s="19" t="s">
        <v>551</v>
      </c>
      <c r="D27" s="20" t="s">
        <v>552</v>
      </c>
      <c r="E27" s="20" t="s">
        <v>1222</v>
      </c>
      <c r="F27" s="20" t="s">
        <v>1223</v>
      </c>
      <c r="G27" s="20" t="s">
        <v>1224</v>
      </c>
      <c r="H27" s="20" t="s">
        <v>873</v>
      </c>
      <c r="I27" s="240"/>
      <c r="J27" s="240"/>
    </row>
    <row r="28" spans="1:10" s="53" customFormat="1" ht="18" customHeight="1" x14ac:dyDescent="0.3">
      <c r="A28" s="240" t="str" cm="1">
        <f t="array" ref="A28:A38">_xlfn._xlws.SORT(Table_NhaCungCap[Mã Đối tác])</f>
        <v>Ad1</v>
      </c>
      <c r="B28" s="260" t="s">
        <v>553</v>
      </c>
      <c r="C28" s="240" t="s">
        <v>1158</v>
      </c>
      <c r="D28" s="538"/>
      <c r="E28" s="17" cm="1">
        <f t="array" ref="E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cm="1">
        <f t="array" ref="F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cm="1">
        <f t="array" ref="G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cm="1">
        <f t="array" ref="H28">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2"/>
      <c r="J28" s="262"/>
    </row>
    <row r="29" spans="1:10" ht="18" customHeight="1" x14ac:dyDescent="0.3">
      <c r="A29" s="240" t="str">
        <v>Agency1</v>
      </c>
      <c r="B29" s="260" t="s">
        <v>553</v>
      </c>
      <c r="C29" s="240" t="s">
        <v>1159</v>
      </c>
      <c r="D29" s="538"/>
      <c r="E29" s="17" cm="1">
        <f t="array" ref="E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cm="1">
        <f t="array" ref="F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cm="1">
        <f t="array" ref="G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cm="1">
        <f t="array" ref="H29">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2"/>
      <c r="J29" s="240"/>
    </row>
    <row r="30" spans="1:10" ht="18" customHeight="1" x14ac:dyDescent="0.3">
      <c r="A30" s="240" t="str">
        <v>EVN</v>
      </c>
      <c r="B30" s="260" t="s">
        <v>553</v>
      </c>
      <c r="C30" s="240" t="s">
        <v>1160</v>
      </c>
      <c r="D30" s="396"/>
      <c r="E30" s="17" cm="1">
        <f t="array" ref="E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(Table_LaiKhac[Phân bổ từ]&lt;DATE(YEAR(E$1),MONTH(E$1)+1, 1))*
(Table_LaiKhac[Phân bổ đến]&gt;DATE(YEAR(E$1),MONTH(E$1), 1))
),
_xlfn._xlws.FILTER(ROUND((DATE(YEAR(E$1),MONTH(E$1)+1, 1) - 1 - Table_LaiKhac[Phân bổ từ]) / (362.25 / 12 ), 0),
(Table_LaiKhac[Đối tác]=Table_PhaiTra[[#This Row],[Đối tác]]) *
(ISBLANK(Table_LaiKhac[Tháng])) *
(Table_LaiKhac[Phân bổ từ]&lt;DATE(YEAR(E$1),MONTH(E$1)+1, 1))*
(Table_LaiKhac[Phân bổ đến]&gt;DATE(YEAR(E$1),MONTH(E$1), 1))
),
_xlfn._xlws.FILTER(1/ROUND((Table_LaiKhac[Phân bổ đến] - Table_LaiKhac[Phân bổ từ]) / (362.25 / 12 ), 0),
(Table_LaiKhac[Đối tác]=Table_PhaiTra[[#This Row],[Đối tác]]) *
(ISBLANK(Table_LaiKhac[Tháng])) *
(Table_LaiKhac[Phân bổ từ]&lt;DATE(YEAR(E$1),MONTH(E$1)+1, 1))*
(Table_LaiKhac[Phân bổ đến]&gt;DATE(YEAR(E$1),MONTH(E$1), 1))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cm="1">
        <f t="array" ref="F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(Table_LaiKhac[Phân bổ từ]&lt;DATE(YEAR(F$1),MONTH(F$1)+1, 1))*
(Table_LaiKhac[Phân bổ đến]&gt;DATE(YEAR(F$1),MONTH(F$1), 1))
),
_xlfn._xlws.FILTER(ROUND((DATE(YEAR(F$1),MONTH(F$1)+1, 1) - 1 - Table_LaiKhac[Phân bổ từ]) / (362.25 / 12 ), 0),
(Table_LaiKhac[Đối tác]=Table_PhaiTra[[#This Row],[Đối tác]]) *
(ISBLANK(Table_LaiKhac[Tháng])) *
(Table_LaiKhac[Phân bổ từ]&lt;DATE(YEAR(F$1),MONTH(F$1)+1, 1))*
(Table_LaiKhac[Phân bổ đến]&gt;DATE(YEAR(F$1),MONTH(F$1), 1))
),
_xlfn._xlws.FILTER(1/ROUND((Table_LaiKhac[Phân bổ đến] - Table_LaiKhac[Phân bổ từ]) / (362.25 / 12 ), 0),
(Table_LaiKhac[Đối tác]=Table_PhaiTra[[#This Row],[Đối tác]]) *
(ISBLANK(Table_LaiKhac[Tháng])) *
(Table_LaiKhac[Phân bổ từ]&lt;DATE(YEAR(F$1),MONTH(F$1)+1, 1))*
(Table_LaiKhac[Phân bổ đến]&gt;DATE(YEAR(F$1),MONTH(F$1), 1))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cm="1">
        <f t="array" ref="G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(Table_LaiKhac[Phân bổ từ]&lt;DATE(YEAR(G$1),MONTH(G$1)+1, 1))*
(Table_LaiKhac[Phân bổ đến]&gt;DATE(YEAR(G$1),MONTH(G$1), 1))
),
_xlfn._xlws.FILTER(ROUND((DATE(YEAR(G$1),MONTH(G$1)+1, 1) - 1 - Table_LaiKhac[Phân bổ từ]) / (362.25 / 12 ), 0),
(Table_LaiKhac[Đối tác]=Table_PhaiTra[[#This Row],[Đối tác]]) *
(ISBLANK(Table_LaiKhac[Tháng])) *
(Table_LaiKhac[Phân bổ từ]&lt;DATE(YEAR(G$1),MONTH(G$1)+1, 1))*
(Table_LaiKhac[Phân bổ đến]&gt;DATE(YEAR(G$1),MONTH(G$1), 1))
),
_xlfn._xlws.FILTER(1/ROUND((Table_LaiKhac[Phân bổ đến] - Table_LaiKhac[Phân bổ từ]) / (362.25 / 12 ), 0),
(Table_LaiKhac[Đối tác]=Table_PhaiTra[[#This Row],[Đối tác]]) *
(ISBLANK(Table_LaiKhac[Tháng])) *
(Table_LaiKhac[Phân bổ từ]&lt;DATE(YEAR(G$1),MONTH(G$1)+1, 1))*
(Table_LaiKhac[Phân bổ đến]&gt;DATE(YEAR(G$1),MONTH(G$1), 1))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cm="1">
        <f t="array" ref="H30">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(Table_LaiKhac[Phân bổ từ]&lt;DATE(YEAR(H$1),MONTH(H$1)+1, 1))*
(Table_LaiKhac[Phân bổ đến]&gt;DATE(YEAR(H$1),MONTH(H$1), 1))
),
_xlfn._xlws.FILTER(ROUND((DATE(YEAR(H$1),MONTH(H$1)+1, 1) - 1 - Table_LaiKhac[Phân bổ từ]) / (362.25 / 12 ), 0),
(Table_LaiKhac[Đối tác]=Table_PhaiTra[[#This Row],[Đối tác]]) *
(ISBLANK(Table_LaiKhac[Tháng])) *
(Table_LaiKhac[Phân bổ từ]&lt;DATE(YEAR(H$1),MONTH(H$1)+1, 1))*
(Table_LaiKhac[Phân bổ đến]&gt;DATE(YEAR(H$1),MONTH(H$1), 1))
),
_xlfn._xlws.FILTER(1/ROUND((Table_LaiKhac[Phân bổ đến] - Table_LaiKhac[Phân bổ từ]) / (362.25 / 12 ), 0),
(Table_LaiKhac[Đối tác]=Table_PhaiTra[[#This Row],[Đối tác]]) *
(ISBLANK(Table_LaiKhac[Tháng])) *
(Table_LaiKhac[Phân bổ từ]&lt;DATE(YEAR(H$1),MONTH(H$1)+1, 1))*
(Table_LaiKhac[Phân bổ đến]&gt;DATE(YEAR(H$1),MONTH(H$1), 1))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2"/>
      <c r="J30" s="240"/>
    </row>
    <row r="31" spans="1:10" s="41" customFormat="1" ht="18" customHeight="1" x14ac:dyDescent="0.15">
      <c r="A31" s="264" t="str">
        <v>MT</v>
      </c>
      <c r="B31" s="240"/>
      <c r="C31" s="240"/>
      <c r="D31" s="240"/>
      <c r="E31" s="240"/>
      <c r="F31" s="240"/>
      <c r="G31" s="240"/>
      <c r="H31" s="263"/>
      <c r="I31" s="242"/>
      <c r="J31" s="240"/>
    </row>
    <row r="32" spans="1:10" ht="18" customHeight="1" x14ac:dyDescent="0.3">
      <c r="A32" s="240" t="str">
        <v>NCC1</v>
      </c>
      <c r="B32" s="240"/>
      <c r="C32" s="240"/>
      <c r="D32" s="240"/>
      <c r="E32" s="240"/>
      <c r="F32" s="240"/>
      <c r="G32" s="240"/>
      <c r="H32" s="263"/>
      <c r="I32" s="242"/>
      <c r="J32" s="240"/>
    </row>
    <row r="33" spans="1:10" ht="18" customHeight="1" x14ac:dyDescent="0.3">
      <c r="A33" s="240" t="str">
        <v>NCC2</v>
      </c>
      <c r="B33" s="240"/>
      <c r="C33" s="240"/>
      <c r="D33" s="240"/>
      <c r="E33" s="240"/>
      <c r="F33" s="240"/>
      <c r="G33" s="240"/>
      <c r="H33" s="263"/>
      <c r="I33" s="242"/>
      <c r="J33" s="240"/>
    </row>
    <row r="34" spans="1:10" s="52" customFormat="1" ht="18" customHeight="1" x14ac:dyDescent="0.15">
      <c r="A34" s="265" t="str">
        <v>NCC3</v>
      </c>
      <c r="B34" s="240"/>
      <c r="C34" s="240"/>
      <c r="D34" s="240"/>
      <c r="E34" s="240"/>
      <c r="F34" s="240"/>
      <c r="G34" s="240"/>
      <c r="H34" s="263"/>
      <c r="I34" s="242"/>
      <c r="J34" s="240"/>
    </row>
    <row r="35" spans="1:10" ht="18" customHeight="1" x14ac:dyDescent="0.3">
      <c r="A35" s="7" t="str">
        <v>NSG</v>
      </c>
      <c r="B35" s="240"/>
      <c r="C35" s="240"/>
      <c r="D35" s="240"/>
      <c r="E35" s="240"/>
      <c r="F35" s="240"/>
      <c r="G35" s="240"/>
      <c r="H35" s="263"/>
    </row>
    <row r="36" spans="1:10" ht="18" customHeight="1" x14ac:dyDescent="0.3">
      <c r="A36" s="7" t="str">
        <v>O&amp;M</v>
      </c>
      <c r="B36" s="240"/>
      <c r="C36" s="240"/>
      <c r="D36" s="240"/>
      <c r="E36" s="240"/>
      <c r="F36" s="240"/>
      <c r="G36" s="240"/>
      <c r="H36" s="263"/>
    </row>
    <row r="37" spans="1:10" ht="18" customHeight="1" x14ac:dyDescent="0.3">
      <c r="A37" s="7" t="str">
        <v>Secu</v>
      </c>
      <c r="B37" s="240"/>
      <c r="C37" s="240"/>
      <c r="D37" s="240"/>
      <c r="E37" s="240"/>
      <c r="F37" s="240"/>
      <c r="G37" s="240"/>
      <c r="H37" s="263"/>
    </row>
    <row r="38" spans="1:10" ht="18" customHeight="1" x14ac:dyDescent="0.3">
      <c r="A38" s="7" t="str">
        <v>Soft1</v>
      </c>
      <c r="B38" s="240"/>
      <c r="C38" s="240"/>
      <c r="D38" s="240"/>
      <c r="E38" s="240"/>
      <c r="F38" s="240"/>
      <c r="G38" s="240"/>
      <c r="H38" s="263"/>
    </row>
    <row r="39" spans="1:10" ht="18" customHeight="1" x14ac:dyDescent="0.3">
      <c r="B39" s="240"/>
      <c r="C39" s="240"/>
      <c r="D39" s="240"/>
      <c r="E39" s="240"/>
      <c r="F39" s="240"/>
      <c r="G39" s="240"/>
      <c r="H39" s="263"/>
    </row>
    <row r="40" spans="1:10" ht="18" customHeight="1" x14ac:dyDescent="0.3">
      <c r="B40" s="240"/>
      <c r="C40" s="240"/>
      <c r="D40" s="240"/>
      <c r="E40" s="240"/>
      <c r="F40" s="240"/>
      <c r="G40" s="240"/>
      <c r="H40" s="263"/>
    </row>
    <row r="41" spans="1:10" ht="18" customHeight="1" x14ac:dyDescent="0.3">
      <c r="B41" s="240"/>
      <c r="C41" s="240"/>
      <c r="D41" s="240"/>
      <c r="E41" s="240"/>
      <c r="F41" s="240"/>
      <c r="G41" s="240"/>
      <c r="H41" s="263"/>
    </row>
    <row r="42" spans="1:10" ht="18" customHeight="1" x14ac:dyDescent="0.3">
      <c r="B42" s="240"/>
      <c r="C42" s="240"/>
      <c r="D42" s="240"/>
      <c r="E42" s="240"/>
      <c r="F42" s="240"/>
      <c r="G42" s="240"/>
      <c r="H42" s="263"/>
    </row>
    <row r="43" spans="1:10" ht="18" customHeight="1" x14ac:dyDescent="0.3">
      <c r="B43" s="240"/>
      <c r="C43" s="240"/>
      <c r="D43" s="240"/>
      <c r="E43" s="240"/>
      <c r="F43" s="240"/>
      <c r="G43" s="240"/>
      <c r="H43" s="263"/>
    </row>
    <row r="44" spans="1:10" ht="18" customHeight="1" x14ac:dyDescent="0.3">
      <c r="B44" s="240"/>
      <c r="C44" s="240"/>
      <c r="D44" s="240"/>
      <c r="E44" s="240"/>
      <c r="F44" s="240"/>
      <c r="G44" s="240"/>
      <c r="H44" s="263"/>
    </row>
    <row r="45" spans="1:10" ht="18" customHeight="1" x14ac:dyDescent="0.3">
      <c r="B45" s="240"/>
      <c r="C45" s="240"/>
      <c r="D45" s="240"/>
      <c r="E45" s="240"/>
      <c r="F45" s="240"/>
      <c r="G45" s="240"/>
      <c r="H45" s="263"/>
    </row>
    <row r="46" spans="1:10" ht="18" customHeight="1" x14ac:dyDescent="0.3">
      <c r="B46" s="240"/>
      <c r="C46" s="240"/>
      <c r="D46" s="240"/>
      <c r="E46" s="240"/>
      <c r="F46" s="240"/>
      <c r="G46" s="240"/>
      <c r="H46" s="263"/>
    </row>
    <row r="47" spans="1:10" ht="18" customHeight="1" x14ac:dyDescent="0.3">
      <c r="B47" s="240"/>
      <c r="C47" s="240"/>
      <c r="D47" s="240"/>
      <c r="E47" s="240"/>
      <c r="F47" s="240"/>
      <c r="G47" s="240"/>
      <c r="H47" s="263"/>
    </row>
    <row r="48" spans="1:10" ht="18" customHeight="1" x14ac:dyDescent="0.3">
      <c r="B48" s="240"/>
      <c r="C48" s="240"/>
      <c r="D48" s="240"/>
      <c r="E48" s="240"/>
      <c r="F48" s="240"/>
      <c r="G48" s="240"/>
      <c r="H48" s="263"/>
    </row>
    <row r="49" spans="2:8" ht="18" customHeight="1" x14ac:dyDescent="0.3">
      <c r="B49" s="240"/>
      <c r="C49" s="240"/>
      <c r="D49" s="240"/>
      <c r="E49" s="240"/>
      <c r="F49" s="240"/>
      <c r="G49" s="240"/>
      <c r="H49" s="263"/>
    </row>
    <row r="50" spans="2:8" ht="18" customHeight="1" x14ac:dyDescent="0.3">
      <c r="B50" s="240"/>
      <c r="C50" s="240"/>
      <c r="D50" s="240"/>
      <c r="E50" s="240"/>
      <c r="F50" s="240"/>
      <c r="G50" s="240"/>
      <c r="H50" s="263"/>
    </row>
    <row r="51" spans="2:8" ht="18" customHeight="1" x14ac:dyDescent="0.3">
      <c r="B51" s="240"/>
      <c r="C51" s="240"/>
      <c r="D51" s="240"/>
      <c r="E51" s="240"/>
      <c r="F51" s="240"/>
      <c r="G51" s="240"/>
      <c r="H51" s="263"/>
    </row>
    <row r="52" spans="2:8" ht="18" customHeight="1" x14ac:dyDescent="0.3">
      <c r="B52" s="240"/>
      <c r="C52" s="240"/>
      <c r="D52" s="240"/>
      <c r="E52" s="240"/>
      <c r="F52" s="240"/>
      <c r="G52" s="240"/>
      <c r="H52" s="263"/>
    </row>
    <row r="53" spans="2:8" ht="18" customHeight="1" x14ac:dyDescent="0.3">
      <c r="B53" s="240"/>
      <c r="C53" s="240"/>
      <c r="D53" s="240"/>
      <c r="E53" s="240"/>
      <c r="F53" s="240"/>
      <c r="G53" s="240"/>
      <c r="H53" s="263"/>
    </row>
    <row r="54" spans="2:8" ht="18" customHeight="1" x14ac:dyDescent="0.3">
      <c r="B54" s="240"/>
      <c r="C54" s="240"/>
      <c r="D54" s="240"/>
      <c r="E54" s="240"/>
      <c r="F54" s="240"/>
      <c r="G54" s="240"/>
      <c r="H54" s="263"/>
    </row>
    <row r="55" spans="2:8" ht="18" customHeight="1" x14ac:dyDescent="0.3">
      <c r="B55" s="240"/>
      <c r="C55" s="240"/>
      <c r="D55" s="240"/>
      <c r="E55" s="240"/>
      <c r="F55" s="240"/>
      <c r="G55" s="240"/>
      <c r="H55" s="263"/>
    </row>
    <row r="56" spans="2:8" ht="18" customHeight="1" x14ac:dyDescent="0.3">
      <c r="B56" s="240"/>
      <c r="C56" s="240"/>
      <c r="D56" s="240"/>
      <c r="E56" s="240"/>
      <c r="F56" s="240"/>
      <c r="G56" s="240"/>
      <c r="H56" s="263"/>
    </row>
    <row r="57" spans="2:8" ht="18" customHeight="1" x14ac:dyDescent="0.3">
      <c r="B57" s="240"/>
      <c r="C57" s="240"/>
      <c r="D57" s="240"/>
      <c r="E57" s="240"/>
      <c r="F57" s="240"/>
      <c r="G57" s="240"/>
      <c r="H57" s="263"/>
    </row>
    <row r="58" spans="2:8" ht="18" customHeight="1" x14ac:dyDescent="0.3">
      <c r="B58" s="240"/>
      <c r="C58" s="240"/>
      <c r="D58" s="240"/>
      <c r="E58" s="240"/>
      <c r="F58" s="240"/>
      <c r="G58" s="240"/>
      <c r="H58" s="263"/>
    </row>
    <row r="59" spans="2:8" ht="18" customHeight="1" x14ac:dyDescent="0.3">
      <c r="B59" s="240"/>
      <c r="C59" s="240"/>
      <c r="D59" s="240"/>
      <c r="E59" s="240"/>
      <c r="F59" s="240"/>
      <c r="G59" s="240"/>
      <c r="H59" s="263"/>
    </row>
    <row r="60" spans="2:8" ht="18" customHeight="1" x14ac:dyDescent="0.3">
      <c r="B60" s="240"/>
      <c r="C60" s="240"/>
      <c r="D60" s="240"/>
      <c r="E60" s="240"/>
      <c r="F60" s="240"/>
      <c r="G60" s="240"/>
      <c r="H60" s="263"/>
    </row>
    <row r="61" spans="2:8" ht="18" customHeight="1" x14ac:dyDescent="0.3">
      <c r="B61" s="240"/>
      <c r="C61" s="240"/>
      <c r="D61" s="240"/>
      <c r="E61" s="240"/>
      <c r="F61" s="240"/>
      <c r="G61" s="240"/>
      <c r="H61" s="263"/>
    </row>
    <row r="62" spans="2:8" ht="18" customHeight="1" x14ac:dyDescent="0.3">
      <c r="B62" s="240"/>
      <c r="C62" s="240"/>
      <c r="D62" s="240"/>
      <c r="E62" s="240"/>
      <c r="F62" s="240"/>
      <c r="G62" s="240"/>
      <c r="H62" s="263"/>
    </row>
    <row r="63" spans="2:8" ht="18" customHeight="1" x14ac:dyDescent="0.3">
      <c r="B63" s="240"/>
      <c r="C63" s="240"/>
      <c r="D63" s="240"/>
      <c r="E63" s="240"/>
      <c r="F63" s="240"/>
      <c r="G63" s="240"/>
      <c r="H63" s="263"/>
    </row>
    <row r="64" spans="2:8" ht="18" customHeight="1" x14ac:dyDescent="0.3">
      <c r="B64" s="240"/>
      <c r="C64" s="240"/>
      <c r="D64" s="240"/>
      <c r="E64" s="240"/>
      <c r="F64" s="240"/>
      <c r="G64" s="240"/>
      <c r="H64" s="263"/>
    </row>
    <row r="65" spans="2:8" ht="18" customHeight="1" x14ac:dyDescent="0.3">
      <c r="B65" s="240"/>
      <c r="C65" s="240"/>
      <c r="D65" s="240"/>
      <c r="E65" s="240"/>
      <c r="F65" s="240"/>
      <c r="G65" s="240"/>
      <c r="H65" s="263"/>
    </row>
    <row r="66" spans="2:8" ht="18" customHeight="1" x14ac:dyDescent="0.3">
      <c r="B66" s="240"/>
      <c r="C66" s="240"/>
      <c r="D66" s="240"/>
      <c r="E66" s="240"/>
      <c r="F66" s="240"/>
      <c r="G66" s="240"/>
      <c r="H66" s="263"/>
    </row>
    <row r="67" spans="2:8" ht="18" customHeight="1" x14ac:dyDescent="0.3">
      <c r="B67" s="240"/>
      <c r="C67" s="240"/>
      <c r="D67" s="240"/>
      <c r="E67" s="240"/>
      <c r="F67" s="240"/>
      <c r="G67" s="240"/>
      <c r="H67" s="263"/>
    </row>
    <row r="68" spans="2:8" ht="18" customHeight="1" x14ac:dyDescent="0.3">
      <c r="B68" s="240"/>
      <c r="C68" s="240"/>
      <c r="D68" s="240"/>
      <c r="E68" s="240"/>
      <c r="F68" s="240"/>
      <c r="G68" s="240"/>
      <c r="H68" s="263"/>
    </row>
    <row r="69" spans="2:8" ht="18" customHeight="1" x14ac:dyDescent="0.3">
      <c r="B69" s="240"/>
      <c r="C69" s="240"/>
      <c r="D69" s="240"/>
      <c r="E69" s="240"/>
      <c r="F69" s="240"/>
      <c r="G69" s="240"/>
      <c r="H69" s="263"/>
    </row>
    <row r="70" spans="2:8" ht="18" customHeight="1" x14ac:dyDescent="0.3">
      <c r="B70" s="240"/>
      <c r="C70" s="240"/>
      <c r="D70" s="240"/>
      <c r="E70" s="240"/>
      <c r="F70" s="240"/>
      <c r="G70" s="240"/>
      <c r="H70" s="263"/>
    </row>
    <row r="71" spans="2:8" ht="18" customHeight="1" x14ac:dyDescent="0.3">
      <c r="B71" s="240"/>
      <c r="C71" s="240"/>
      <c r="D71" s="240"/>
      <c r="E71" s="240"/>
      <c r="F71" s="240"/>
      <c r="G71" s="240"/>
      <c r="H71" s="263"/>
    </row>
    <row r="72" spans="2:8" ht="18" customHeight="1" x14ac:dyDescent="0.3">
      <c r="B72" s="240"/>
      <c r="C72" s="240"/>
      <c r="D72" s="240"/>
      <c r="E72" s="240"/>
      <c r="F72" s="240"/>
      <c r="G72" s="240"/>
      <c r="H72" s="263"/>
    </row>
  </sheetData>
  <sheetProtection algorithmName="SHA-512" hashValue="baGVGMqe8gDv9YiQ1LfgCmEvZCxVEl3067sdrItK47M+hjMPWQ5L2LyNiztdteV2b+Qr5HvtJaG8AVInuudWeQ==" saltValue="EUkifh+LwitrCmIfabGm/g=="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55"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557</v>
      </c>
      <c r="N1" s="424">
        <v>45717</v>
      </c>
      <c r="O1" s="424">
        <v>45808</v>
      </c>
      <c r="P1" s="420">
        <f>SUM(Table_DiemDatHang[Giá trị cần đặt])</f>
        <v>377434.98990958062</v>
      </c>
    </row>
    <row r="2" spans="6:16" ht="18" customHeight="1" x14ac:dyDescent="0.3">
      <c r="M2" s="27" t="s">
        <v>1022</v>
      </c>
      <c r="N2" s="419">
        <v>10</v>
      </c>
      <c r="O2" s="419">
        <v>30</v>
      </c>
      <c r="P2" s="225"/>
    </row>
    <row r="3" spans="6:16" ht="18" customHeight="1" x14ac:dyDescent="0.3">
      <c r="M3" s="27" t="s">
        <v>558</v>
      </c>
      <c r="N3" s="424">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574</v>
      </c>
      <c r="D23"/>
      <c r="F23" s="7" t="s">
        <v>559</v>
      </c>
      <c r="G23" s="7" t="s">
        <v>1023</v>
      </c>
      <c r="H23" s="7" t="s">
        <v>1024</v>
      </c>
      <c r="I23" s="7" t="s">
        <v>560</v>
      </c>
      <c r="J23" s="7" t="s">
        <v>561</v>
      </c>
      <c r="K23" s="45" t="s">
        <v>1026</v>
      </c>
      <c r="L23" s="7" t="s">
        <v>562</v>
      </c>
      <c r="M23" s="7" t="s">
        <v>1025</v>
      </c>
      <c r="N23" s="7" t="s">
        <v>563</v>
      </c>
      <c r="O23" s="7" t="s">
        <v>564</v>
      </c>
      <c r="P23" s="7" t="s">
        <v>565</v>
      </c>
      <c r="Q23" s="7" t="s">
        <v>873</v>
      </c>
    </row>
    <row r="24" spans="2:17" ht="16.5" x14ac:dyDescent="0.3">
      <c r="B24" s="98" t="s">
        <v>1149</v>
      </c>
      <c r="C24" s="504">
        <v>0</v>
      </c>
      <c r="D24"/>
      <c r="E24" s="7" t="str" cm="1">
        <f t="array" ref="E24:E26">_xlfn._xlws.SORT(Table_SKU[Mã SKU])</f>
        <v>HH1</v>
      </c>
      <c r="F24" s="7" t="s">
        <v>1149</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65">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34"/>
    </row>
    <row r="25" spans="2:17" ht="16.5" x14ac:dyDescent="0.3">
      <c r="B25" s="98" t="s">
        <v>1150</v>
      </c>
      <c r="C25" s="504">
        <v>0</v>
      </c>
      <c r="D25"/>
      <c r="E25" s="7" t="str">
        <v>TP1</v>
      </c>
      <c r="F25" s="7" t="s">
        <v>1150</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65">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34"/>
    </row>
    <row r="26" spans="2:17" ht="16.5" x14ac:dyDescent="0.3">
      <c r="B26" s="98" t="s">
        <v>1151</v>
      </c>
      <c r="C26" s="504">
        <v>45.446739130434793</v>
      </c>
      <c r="D26"/>
      <c r="E26" s="7" t="str">
        <v>TP2</v>
      </c>
      <c r="F26" s="7" t="s">
        <v>1151</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65">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25"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1102</v>
      </c>
      <c r="C27" s="504">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43"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topLeftCell="AL13" zoomScaleNormal="100" workbookViewId="0">
      <selection activeCell="AT22" sqref="AT22"/>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0"/>
      <c r="AG1" s="7" t="s">
        <v>558</v>
      </c>
      <c r="AH1" s="466">
        <f ca="1">TODAY()</f>
        <v>45846</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45" t="s">
        <v>47</v>
      </c>
      <c r="F19" s="38" t="s">
        <v>1150</v>
      </c>
      <c r="Y19" s="7"/>
      <c r="Z19" s="7"/>
      <c r="AB19" s="7"/>
    </row>
    <row r="20" spans="2:48" ht="18" customHeight="1" x14ac:dyDescent="0.3">
      <c r="Y20" s="7"/>
      <c r="Z20" s="7"/>
      <c r="AB20" s="7"/>
      <c r="AC20" s="420">
        <f>SUM(Table_HieuQuaSX_DinhMuc[Giá trị tiêu thụ])</f>
        <v>90680843.182834223</v>
      </c>
      <c r="AM20" s="420">
        <f ca="1">SUM(Table_HieuQuaSX_KHTieuThu[Giá trị cần đặt])</f>
        <v>69112329.666208744</v>
      </c>
      <c r="AU20" s="67">
        <f>IFERROR(1-(SUM(Table_HieuQuaSX[Giá vốn thực tế])/SUM(Table_HieuQuaSX[Giá vốn mục tiêu])),0)</f>
        <v>1.0565309886262364E-2</v>
      </c>
    </row>
    <row r="21" spans="2:48" ht="16.5" x14ac:dyDescent="0.3">
      <c r="B21" s="545" t="s">
        <v>23</v>
      </c>
      <c r="C21" s="38" t="s">
        <v>1188</v>
      </c>
      <c r="D21" s="38"/>
      <c r="E21" s="545" t="s">
        <v>23</v>
      </c>
      <c r="F21" s="38" t="s">
        <v>1188</v>
      </c>
      <c r="G21" s="38"/>
      <c r="H21" s="545" t="s">
        <v>23</v>
      </c>
      <c r="I21" s="38" t="s">
        <v>17</v>
      </c>
      <c r="J21" s="38" t="s">
        <v>1191</v>
      </c>
      <c r="L21" s="545" t="s">
        <v>23</v>
      </c>
      <c r="M21" s="38" t="s">
        <v>127</v>
      </c>
      <c r="N21" s="38" t="s">
        <v>1192</v>
      </c>
      <c r="O21" s="38" t="s">
        <v>1193</v>
      </c>
      <c r="R21" s="7" t="s">
        <v>47</v>
      </c>
      <c r="S21" s="7" t="s">
        <v>1020</v>
      </c>
      <c r="T21" s="7" t="s">
        <v>1021</v>
      </c>
      <c r="U21" s="7" t="s">
        <v>138</v>
      </c>
      <c r="V21" s="7" t="s">
        <v>567</v>
      </c>
      <c r="W21" s="7" t="s">
        <v>1185</v>
      </c>
      <c r="X21" s="7" t="s">
        <v>321</v>
      </c>
      <c r="Y21" s="7" t="s">
        <v>568</v>
      </c>
      <c r="Z21" s="7" t="s">
        <v>570</v>
      </c>
      <c r="AA21" s="7" t="s">
        <v>573</v>
      </c>
      <c r="AB21" s="7" t="s">
        <v>569</v>
      </c>
      <c r="AC21" s="7" t="s">
        <v>571</v>
      </c>
      <c r="AD21" s="7" t="s">
        <v>1187</v>
      </c>
      <c r="AE21" s="7" t="s">
        <v>873</v>
      </c>
      <c r="AG21" s="7" t="s">
        <v>138</v>
      </c>
      <c r="AH21" s="7" t="s">
        <v>567</v>
      </c>
      <c r="AI21" s="7" t="s">
        <v>321</v>
      </c>
      <c r="AJ21" s="7" t="s">
        <v>569</v>
      </c>
      <c r="AK21" s="7" t="s">
        <v>572</v>
      </c>
      <c r="AL21" s="7" t="s">
        <v>574</v>
      </c>
      <c r="AM21" s="7" t="s">
        <v>565</v>
      </c>
      <c r="AN21" s="7" t="s">
        <v>873</v>
      </c>
      <c r="AP21" s="337" t="s">
        <v>3</v>
      </c>
      <c r="AQ21" s="7" t="s">
        <v>2</v>
      </c>
      <c r="AR21" s="7" t="s">
        <v>1</v>
      </c>
      <c r="AS21" s="7" t="s">
        <v>575</v>
      </c>
      <c r="AT21" s="7" t="s">
        <v>576</v>
      </c>
      <c r="AU21" s="7" t="s">
        <v>68</v>
      </c>
      <c r="AV21" s="7" t="s">
        <v>873</v>
      </c>
    </row>
    <row r="22" spans="2:48" ht="16.5" x14ac:dyDescent="0.3">
      <c r="B22" s="463" t="s">
        <v>1150</v>
      </c>
      <c r="C22" s="548">
        <v>319894.73684210522</v>
      </c>
      <c r="D22" s="38"/>
      <c r="E22" s="463" t="s">
        <v>1153</v>
      </c>
      <c r="F22" s="548">
        <v>210526.31578947368</v>
      </c>
      <c r="G22" s="38"/>
      <c r="H22" s="463" t="s">
        <v>1153</v>
      </c>
      <c r="I22" s="548">
        <v>169</v>
      </c>
      <c r="J22" s="548">
        <v>746.89799240368961</v>
      </c>
      <c r="L22" s="549">
        <v>45717</v>
      </c>
      <c r="M22" s="548">
        <v>25000000</v>
      </c>
      <c r="N22" s="548">
        <v>27200000</v>
      </c>
      <c r="O22" s="550">
        <v>-8.8000000000000078E-2</v>
      </c>
      <c r="Q22" s="7" t="str" cm="1">
        <f t="array" ref="Q22:Q24">_xlfn._xlws.SORT(Table_SKU[Mã SKU])</f>
        <v>HH1</v>
      </c>
      <c r="R22" s="15" t="s">
        <v>1150</v>
      </c>
      <c r="S22" s="18">
        <f>IFERROR(VLOOKUP(Table_HieuQuaSX_DinhMuc[[#This Row],[SKU]],Table_SKU[[Mã SKU]:[Add]],COUNTA(Table_SKU[[#Headers],[Mã SKU]:[Đơn vị]]),0),0)</f>
        <v>0</v>
      </c>
      <c r="T22" s="15">
        <v>200</v>
      </c>
      <c r="U22" s="7" t="s">
        <v>1153</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67">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1153</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2">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27200000</v>
      </c>
      <c r="AU22" s="423">
        <f>1-(Table_HieuQuaSX[[#This Row],[Giá vốn thực tế]]/Table_HieuQuaSX[[#This Row],[Giá vốn mục tiêu]])</f>
        <v>-8.8000000000000078E-2</v>
      </c>
    </row>
    <row r="23" spans="2:48" ht="16.5" x14ac:dyDescent="0.3">
      <c r="B23" s="463" t="s">
        <v>1151</v>
      </c>
      <c r="C23" s="548">
        <v>339175.25773195876</v>
      </c>
      <c r="D23" s="38"/>
      <c r="E23" s="463" t="s">
        <v>1152</v>
      </c>
      <c r="F23" s="548">
        <v>105263.15789473684</v>
      </c>
      <c r="G23" s="38"/>
      <c r="H23" s="463" t="s">
        <v>1152</v>
      </c>
      <c r="I23" s="548">
        <v>88</v>
      </c>
      <c r="J23" s="548">
        <v>264.68583830710799</v>
      </c>
      <c r="L23" s="549">
        <v>45748</v>
      </c>
      <c r="M23" s="548">
        <v>20000000</v>
      </c>
      <c r="N23" s="548">
        <v>18730437.570594341</v>
      </c>
      <c r="O23" s="550">
        <v>6.3478121470282978E-2</v>
      </c>
      <c r="Q23" s="7" t="str">
        <v>TP1</v>
      </c>
      <c r="R23" s="15" t="s">
        <v>1150</v>
      </c>
      <c r="S23" s="18">
        <f>IFERROR(VLOOKUP(Table_HieuQuaSX_DinhMuc[[#This Row],[SKU]],Table_SKU[[Mã SKU]:[Add]],COUNTA(Table_SKU[[#Headers],[Mã SKU]:[Đơn vị]]),0),0)</f>
        <v>0</v>
      </c>
      <c r="T23" s="15">
        <v>200</v>
      </c>
      <c r="U23" s="7" t="s">
        <v>1152</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67">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1152</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2">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18730437.570594341</v>
      </c>
      <c r="AU23" s="423">
        <f>1-(Table_HieuQuaSX[[#This Row],[Giá vốn thực tế]]/Table_HieuQuaSX[[#This Row],[Giá vốn mục tiêu]])</f>
        <v>6.3478121470282978E-2</v>
      </c>
    </row>
    <row r="24" spans="2:48" ht="16.5" x14ac:dyDescent="0.3">
      <c r="B24" s="463" t="s">
        <v>1102</v>
      </c>
      <c r="C24" s="548">
        <v>659069.99457406392</v>
      </c>
      <c r="D24" s="38"/>
      <c r="E24" s="463" t="s">
        <v>1190</v>
      </c>
      <c r="F24" s="548">
        <v>4105.2631578947367</v>
      </c>
      <c r="G24" s="38"/>
      <c r="H24" s="463" t="s">
        <v>1102</v>
      </c>
      <c r="I24" s="548">
        <v>257</v>
      </c>
      <c r="J24" s="548">
        <v>1011.5838307107977</v>
      </c>
      <c r="L24" s="549">
        <v>45778</v>
      </c>
      <c r="M24" s="548">
        <v>10000000</v>
      </c>
      <c r="N24" s="548">
        <v>8488470.3856612295</v>
      </c>
      <c r="O24" s="550">
        <v>0.15115296143387702</v>
      </c>
      <c r="Q24" s="7" t="str">
        <v>TP2</v>
      </c>
      <c r="R24" s="15" t="s">
        <v>1150</v>
      </c>
      <c r="S24" s="18">
        <f>IFERROR(VLOOKUP(Table_HieuQuaSX_DinhMuc[[#This Row],[SKU]],Table_SKU[[Mã SKU]:[Add]],COUNTA(Table_SKU[[#Headers],[Mã SKU]:[Đơn vị]]),0),0)</f>
        <v>0</v>
      </c>
      <c r="T24" s="15">
        <v>200</v>
      </c>
      <c r="V24" s="7" t="s">
        <v>761</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1186</v>
      </c>
      <c r="Y24" s="467">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761</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2">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
_xlfn._xlws.FILTER(Table_ChiPhiKD[Phân bổ sản xuất],
(Table_ChiPhiKD[Kỳ] = Table_HieuQuaSX[[#This Row],[Kỳ]]) *
(NOT(ISBLANK(Table_ChiPhiKD[Tháng])))*
(VLOOKUP(Table_ChiPhiKD[Nhóm chi phí],Table_ChiPhiKD_PhanNhom[],Sheet_ChiPhiKD!$J$2,0) = "Chưa phân bổ" )
)),0)</f>
        <v>8488470.3856612295</v>
      </c>
      <c r="AU24" s="423">
        <f>1-(Table_HieuQuaSX[[#This Row],[Giá vốn thực tế]]/Table_HieuQuaSX[[#This Row],[Giá vốn mục tiêu]])</f>
        <v>0.15115296143387702</v>
      </c>
    </row>
    <row r="25" spans="2:48" ht="16.5" x14ac:dyDescent="0.3">
      <c r="B25" s="38"/>
      <c r="C25" s="38"/>
      <c r="D25" s="38"/>
      <c r="E25" s="463" t="s">
        <v>1102</v>
      </c>
      <c r="F25" s="548">
        <v>319894.73684210522</v>
      </c>
      <c r="G25" s="38"/>
      <c r="H25" s="38"/>
      <c r="I25" s="38"/>
      <c r="J25" s="38"/>
      <c r="L25" s="549" t="s">
        <v>1102</v>
      </c>
      <c r="M25" s="548">
        <v>55000000</v>
      </c>
      <c r="N25" s="548">
        <v>54418907.95625557</v>
      </c>
      <c r="O25" s="550">
        <v>0.12663108290415992</v>
      </c>
      <c r="R25" s="15" t="s">
        <v>1151</v>
      </c>
      <c r="S25" s="18">
        <f>IFERROR(VLOOKUP(Table_HieuQuaSX_DinhMuc[[#This Row],[SKU]],Table_SKU[[Mã SKU]:[Add]],COUNTA(Table_SKU[[#Headers],[Mã SKU]:[Đơn vị]]),0),0)</f>
        <v>0</v>
      </c>
      <c r="T25" s="15">
        <v>300</v>
      </c>
      <c r="U25" s="7" t="s">
        <v>1153</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67">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763</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1151</v>
      </c>
      <c r="S26" s="18">
        <f>IFERROR(VLOOKUP(Table_HieuQuaSX_DinhMuc[[#This Row],[SKU]],Table_SKU[[Mã SKU]:[Add]],COUNTA(Table_SKU[[#Headers],[Mã SKU]:[Đơn vị]]),0),0)</f>
        <v>0</v>
      </c>
      <c r="T26" s="15">
        <v>300</v>
      </c>
      <c r="U26" s="7" t="s">
        <v>1152</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67">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1151</v>
      </c>
      <c r="S27" s="18">
        <f>IFERROR(VLOOKUP(Table_HieuQuaSX_DinhMuc[[#This Row],[SKU]],Table_SKU[[Mã SKU]:[Add]],COUNTA(Table_SKU[[#Headers],[Mã SKU]:[Đơn vị]]),0),0)</f>
        <v>0</v>
      </c>
      <c r="T27" s="15">
        <v>300</v>
      </c>
      <c r="V27" s="7" t="s">
        <v>763</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1189</v>
      </c>
      <c r="Y27" s="467">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RKaaxSosfeq6qGyGZWpg+CihSpfLx25WWpoBCLqc6LTgi0nippooTsdax/sn+5C2V/V8yiz3XhTV92maP1L23g==" saltValue="P0Sa+x5MksPoOcJfAFxBOQ=="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Sheet_ChiPhiKD!$I$14:$I$16</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45" t="s">
        <v>677</v>
      </c>
      <c r="C2" s="38" t="s">
        <v>1120</v>
      </c>
      <c r="D2" s="21"/>
      <c r="E2" s="38"/>
      <c r="F2" s="38"/>
      <c r="G2" s="21"/>
      <c r="H2" s="21"/>
      <c r="I2" s="21"/>
      <c r="J2" s="21"/>
      <c r="K2" s="21"/>
      <c r="L2" s="38"/>
      <c r="M2" s="38"/>
      <c r="N2" s="21"/>
      <c r="O2" s="21"/>
      <c r="P2" s="21"/>
    </row>
    <row r="3" spans="1:42" x14ac:dyDescent="0.3">
      <c r="A3" s="21"/>
      <c r="B3" s="545" t="s">
        <v>1236</v>
      </c>
      <c r="C3" s="38" t="s">
        <v>1120</v>
      </c>
      <c r="D3" s="21"/>
      <c r="E3" s="545" t="s">
        <v>675</v>
      </c>
      <c r="F3" s="38" t="s">
        <v>1116</v>
      </c>
      <c r="G3" s="21"/>
      <c r="H3" s="545" t="s">
        <v>675</v>
      </c>
      <c r="I3" s="38" t="s">
        <v>1116</v>
      </c>
      <c r="J3" s="21"/>
      <c r="K3" s="21"/>
      <c r="L3" s="545" t="s">
        <v>675</v>
      </c>
      <c r="M3" s="38" t="s">
        <v>1116</v>
      </c>
      <c r="N3" s="21"/>
      <c r="O3" s="21"/>
      <c r="P3" s="21"/>
    </row>
    <row r="4" spans="1:42" x14ac:dyDescent="0.3">
      <c r="A4" s="21"/>
      <c r="B4" s="545" t="s">
        <v>1237</v>
      </c>
      <c r="C4" s="38" t="s">
        <v>1120</v>
      </c>
      <c r="D4" s="21"/>
      <c r="E4" s="545" t="s">
        <v>1237</v>
      </c>
      <c r="F4" s="38" t="s">
        <v>1120</v>
      </c>
      <c r="G4" s="21"/>
      <c r="H4" s="545" t="s">
        <v>1236</v>
      </c>
      <c r="I4" s="38" t="s">
        <v>1120</v>
      </c>
      <c r="J4" s="21"/>
      <c r="K4" s="21"/>
      <c r="L4" s="545" t="s">
        <v>1236</v>
      </c>
      <c r="M4" s="38" t="s">
        <v>1149</v>
      </c>
      <c r="N4" s="21"/>
      <c r="O4" s="21"/>
      <c r="P4" s="21"/>
    </row>
    <row r="5" spans="1:42" x14ac:dyDescent="0.3">
      <c r="A5" s="21"/>
      <c r="B5" s="21"/>
      <c r="C5" s="21"/>
      <c r="D5" s="21"/>
      <c r="E5" s="21"/>
      <c r="F5" s="21"/>
      <c r="G5" s="21"/>
      <c r="H5" s="21"/>
      <c r="I5" s="21"/>
      <c r="J5" s="21"/>
      <c r="K5" s="21"/>
      <c r="L5" s="21"/>
      <c r="M5" s="21"/>
      <c r="N5" s="21"/>
      <c r="O5" s="21"/>
      <c r="P5" s="21"/>
    </row>
    <row r="6" spans="1:42" x14ac:dyDescent="0.3">
      <c r="B6" s="545" t="s">
        <v>23</v>
      </c>
      <c r="C6" s="38" t="s">
        <v>1238</v>
      </c>
      <c r="E6" s="545" t="s">
        <v>23</v>
      </c>
      <c r="F6" s="38" t="s">
        <v>1238</v>
      </c>
      <c r="G6" s="38"/>
      <c r="H6" s="545" t="s">
        <v>23</v>
      </c>
      <c r="I6" s="38" t="s">
        <v>1238</v>
      </c>
      <c r="J6" s="38"/>
      <c r="K6" s="38"/>
      <c r="L6" s="545" t="s">
        <v>23</v>
      </c>
      <c r="M6" s="38" t="s">
        <v>569</v>
      </c>
      <c r="N6" s="38" t="s">
        <v>1240</v>
      </c>
      <c r="AK6" s="27" t="s">
        <v>557</v>
      </c>
      <c r="AL6" s="424">
        <v>45717</v>
      </c>
      <c r="AM6" s="424">
        <v>45808</v>
      </c>
    </row>
    <row r="7" spans="1:42" x14ac:dyDescent="0.3">
      <c r="B7" s="463" t="s">
        <v>1145</v>
      </c>
      <c r="C7" s="546">
        <v>79228308</v>
      </c>
      <c r="E7" s="463" t="s">
        <v>1149</v>
      </c>
      <c r="F7" s="546">
        <v>23096559</v>
      </c>
      <c r="G7" s="38"/>
      <c r="H7" s="463" t="s">
        <v>1158</v>
      </c>
      <c r="I7" s="546">
        <v>54430146</v>
      </c>
      <c r="J7" s="38"/>
      <c r="K7" s="38"/>
      <c r="L7" s="463" t="s">
        <v>1158</v>
      </c>
      <c r="M7" s="38">
        <v>84882.25</v>
      </c>
      <c r="N7" s="38">
        <v>0.75</v>
      </c>
    </row>
    <row r="8" spans="1:42" x14ac:dyDescent="0.3">
      <c r="B8" s="463" t="s">
        <v>1107</v>
      </c>
      <c r="C8" s="546">
        <v>6935065</v>
      </c>
      <c r="E8" s="463" t="s">
        <v>1153</v>
      </c>
      <c r="F8" s="546">
        <v>39699855</v>
      </c>
      <c r="G8" s="38"/>
      <c r="H8" s="463" t="s">
        <v>1159</v>
      </c>
      <c r="I8" s="546">
        <v>48623099</v>
      </c>
      <c r="J8" s="38"/>
      <c r="K8" s="38"/>
      <c r="L8" s="463" t="s">
        <v>1160</v>
      </c>
      <c r="M8" s="38">
        <v>102040</v>
      </c>
      <c r="N8" s="38">
        <v>0</v>
      </c>
    </row>
    <row r="9" spans="1:42" x14ac:dyDescent="0.3">
      <c r="B9" s="463" t="s">
        <v>1108</v>
      </c>
      <c r="C9" s="546">
        <v>20636970</v>
      </c>
      <c r="E9" s="463" t="s">
        <v>1152</v>
      </c>
      <c r="F9" s="546">
        <v>44003929</v>
      </c>
      <c r="G9" s="38"/>
      <c r="H9" s="463" t="s">
        <v>1160</v>
      </c>
      <c r="I9" s="546">
        <v>3747098</v>
      </c>
      <c r="J9" s="38"/>
      <c r="K9" s="38"/>
      <c r="L9" s="463" t="s">
        <v>1159</v>
      </c>
      <c r="M9" s="38">
        <v>102194</v>
      </c>
      <c r="N9" s="38">
        <v>1</v>
      </c>
      <c r="AH9" s="44" t="s">
        <v>47</v>
      </c>
      <c r="AI9" s="44" t="s">
        <v>138</v>
      </c>
      <c r="AJ9" s="44" t="s">
        <v>876</v>
      </c>
      <c r="AK9" s="44" t="s">
        <v>1235</v>
      </c>
      <c r="AL9" s="44" t="s">
        <v>1241</v>
      </c>
      <c r="AM9" s="44" t="s">
        <v>1191</v>
      </c>
      <c r="AN9" s="44" t="s">
        <v>1242</v>
      </c>
      <c r="AO9" s="44" t="s">
        <v>21</v>
      </c>
      <c r="AP9" s="44" t="s">
        <v>873</v>
      </c>
    </row>
    <row r="10" spans="1:42" x14ac:dyDescent="0.3">
      <c r="B10" s="463" t="s">
        <v>1102</v>
      </c>
      <c r="C10" s="546">
        <v>106800343</v>
      </c>
      <c r="E10" s="463" t="s">
        <v>1102</v>
      </c>
      <c r="F10" s="546">
        <v>106800343</v>
      </c>
      <c r="G10" s="38"/>
      <c r="H10" s="463" t="s">
        <v>1102</v>
      </c>
      <c r="I10" s="546">
        <v>106800343</v>
      </c>
      <c r="J10" s="38"/>
      <c r="K10" s="38"/>
      <c r="L10" s="463" t="s">
        <v>1102</v>
      </c>
      <c r="M10" s="38">
        <v>90627.166666666672</v>
      </c>
      <c r="N10" s="38">
        <v>0.66666666666666663</v>
      </c>
      <c r="AH10" s="44"/>
      <c r="AI10" s="44" t="s">
        <v>1152</v>
      </c>
      <c r="AJ10" s="544" t="str">
        <f>IF(ISBLANK(Table_NguonHang[[#This Row],[SKU]]),Table_NguonHang[[#This Row],[Nguyên liệu]],Table_NguonHang[[#This Row],[SKU]])</f>
        <v>NL2</v>
      </c>
      <c r="AK10" s="44" t="s">
        <v>1160</v>
      </c>
      <c r="AL10" s="547"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47">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1152</v>
      </c>
      <c r="AJ11" s="544" t="str">
        <f>IF(ISBLANK(Table_NguonHang[[#This Row],[SKU]]),Table_NguonHang[[#This Row],[Nguyên liệu]],Table_NguonHang[[#This Row],[SKU]])</f>
        <v>NL2</v>
      </c>
      <c r="AK11" s="44" t="s">
        <v>1159</v>
      </c>
      <c r="AL11" s="547"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47">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1153</v>
      </c>
      <c r="AJ12" s="544" t="str">
        <f>IF(ISBLANK(Table_NguonHang[[#This Row],[SKU]]),Table_NguonHang[[#This Row],[Nguyên liệu]],Table_NguonHang[[#This Row],[SKU]])</f>
        <v>NL1</v>
      </c>
      <c r="AK12" s="44" t="s">
        <v>1158</v>
      </c>
      <c r="AL12" s="547"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47">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47">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1149</v>
      </c>
      <c r="AI13" s="44"/>
      <c r="AJ13" s="544" t="str">
        <f>IF(ISBLANK(Table_NguonHang[[#This Row],[SKU]]),Table_NguonHang[[#This Row],[Nguyên liệu]],Table_NguonHang[[#This Row],[SKU]])</f>
        <v>HH1</v>
      </c>
      <c r="AK13" s="44" t="s">
        <v>1158</v>
      </c>
      <c r="AL13" s="547"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47">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47">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577</v>
      </c>
      <c r="N1" s="422"/>
      <c r="O1" s="7"/>
      <c r="P1" s="420">
        <f>SUM(Table_TonKho_DuPhong[[#All],[Giá trị dự phòng]])</f>
        <v>0</v>
      </c>
      <c r="Q1" s="420"/>
      <c r="R1" s="15"/>
      <c r="S1" s="15"/>
      <c r="T1" s="15"/>
      <c r="U1" s="15"/>
      <c r="V1" s="421"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559</v>
      </c>
      <c r="N2" s="220"/>
      <c r="O2" s="220"/>
      <c r="Q2" s="15"/>
      <c r="R2" s="15"/>
      <c r="S2" s="15"/>
      <c r="T2" s="15"/>
      <c r="U2" s="15"/>
      <c r="V2" s="421"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578</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1194</v>
      </c>
      <c r="C21" s="97" t="s">
        <v>1156</v>
      </c>
      <c r="D21"/>
      <c r="E21"/>
      <c r="M21" s="7" t="s">
        <v>579</v>
      </c>
      <c r="N21" s="7" t="s">
        <v>580</v>
      </c>
      <c r="O21" s="7" t="s">
        <v>542</v>
      </c>
      <c r="P21" s="7" t="s">
        <v>1244</v>
      </c>
      <c r="Q21" s="7" t="s">
        <v>873</v>
      </c>
      <c r="U21" s="7" t="s">
        <v>581</v>
      </c>
      <c r="V21" s="7" t="s">
        <v>1245</v>
      </c>
      <c r="W21" s="7" t="s">
        <v>582</v>
      </c>
      <c r="X21" s="7" t="s">
        <v>873</v>
      </c>
    </row>
    <row r="22" spans="2:24" ht="16.5" x14ac:dyDescent="0.3">
      <c r="B22" s="97" t="s">
        <v>23</v>
      </c>
      <c r="C22" s="504" t="s">
        <v>1149</v>
      </c>
      <c r="D22" s="504" t="s">
        <v>1153</v>
      </c>
      <c r="E22" s="504" t="s">
        <v>1152</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37"/>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19">
        <v>45717</v>
      </c>
      <c r="C23" s="504">
        <v>71284.637313432802</v>
      </c>
      <c r="D23" s="504">
        <v>5461230.0948885884</v>
      </c>
      <c r="E23" s="504">
        <v>719490.96854972269</v>
      </c>
      <c r="N23" s="7"/>
      <c r="O23" s="7"/>
      <c r="S23" s="7" t="str">
        <v>TP1</v>
      </c>
    </row>
    <row r="24" spans="2:24" ht="16.5" x14ac:dyDescent="0.3">
      <c r="B24" s="519">
        <v>45748</v>
      </c>
      <c r="C24" s="504"/>
      <c r="D24" s="504">
        <v>3878156.8210526318</v>
      </c>
      <c r="E24" s="504">
        <v>994140.11321242829</v>
      </c>
      <c r="N24" s="7"/>
      <c r="O24" s="7"/>
      <c r="S24" s="7" t="str">
        <v>TP2</v>
      </c>
    </row>
    <row r="25" spans="2:24" ht="16.5" x14ac:dyDescent="0.3">
      <c r="B25" s="519">
        <v>45778</v>
      </c>
      <c r="C25" s="504">
        <v>304294.31268656714</v>
      </c>
      <c r="D25" s="504">
        <v>1585928.3</v>
      </c>
      <c r="E25" s="504">
        <v>1830850.8074074076</v>
      </c>
    </row>
    <row r="26" spans="2:24" ht="16.5" x14ac:dyDescent="0.3">
      <c r="B26" s="519" t="s">
        <v>1102</v>
      </c>
      <c r="C26" s="504">
        <v>375578.94999999995</v>
      </c>
      <c r="D26" s="504">
        <v>10925315.215941221</v>
      </c>
      <c r="E26" s="504">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19">
        <v>45778</v>
      </c>
      <c r="AX18" s="7"/>
      <c r="BD18" s="7"/>
      <c r="BE18" s="7"/>
      <c r="BR18" s="11"/>
    </row>
    <row r="19" spans="2:71" ht="16.5" outlineLevel="1" x14ac:dyDescent="0.3">
      <c r="B19" s="97" t="s">
        <v>559</v>
      </c>
      <c r="C19" t="s">
        <v>1116</v>
      </c>
      <c r="E19" s="97" t="s">
        <v>876</v>
      </c>
      <c r="F19" t="s">
        <v>1116</v>
      </c>
      <c r="P19" s="97" t="s">
        <v>578</v>
      </c>
      <c r="Q19" t="s">
        <v>1116</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1182</v>
      </c>
      <c r="C21"/>
      <c r="E21" s="97" t="s">
        <v>1157</v>
      </c>
      <c r="F21" s="97" t="s">
        <v>1156</v>
      </c>
      <c r="G21"/>
      <c r="H21"/>
      <c r="I21"/>
      <c r="J21"/>
      <c r="K21"/>
      <c r="L21"/>
      <c r="M21"/>
      <c r="N21"/>
      <c r="O21"/>
      <c r="P21" s="97" t="s">
        <v>1157</v>
      </c>
      <c r="Q21" s="97" t="s">
        <v>1156</v>
      </c>
      <c r="R21"/>
      <c r="S21"/>
      <c r="T21"/>
      <c r="U21"/>
      <c r="V21"/>
      <c r="W21"/>
      <c r="X21"/>
      <c r="Y21"/>
      <c r="Z21"/>
      <c r="AA21"/>
      <c r="AB21"/>
      <c r="AC21"/>
      <c r="AD21"/>
      <c r="AE21"/>
      <c r="AF21"/>
      <c r="AG21" s="97" t="s">
        <v>364</v>
      </c>
      <c r="AH21" s="97" t="s">
        <v>1156</v>
      </c>
      <c r="AI21"/>
      <c r="AJ21"/>
      <c r="AK21"/>
      <c r="AL21"/>
      <c r="AM21"/>
      <c r="AN21"/>
      <c r="AO21"/>
      <c r="AP21"/>
      <c r="AQ21"/>
      <c r="AR21"/>
      <c r="AS21"/>
      <c r="AU21" s="46" t="s">
        <v>3</v>
      </c>
      <c r="AV21" s="46" t="s">
        <v>2</v>
      </c>
      <c r="AW21" s="46" t="s">
        <v>1</v>
      </c>
      <c r="AX21" s="46" t="s">
        <v>47</v>
      </c>
      <c r="AY21" s="46" t="s">
        <v>138</v>
      </c>
      <c r="AZ21" s="46" t="s">
        <v>583</v>
      </c>
      <c r="BA21" s="46" t="s">
        <v>876</v>
      </c>
      <c r="BB21" s="46" t="s">
        <v>578</v>
      </c>
      <c r="BC21" s="46" t="s">
        <v>584</v>
      </c>
      <c r="BD21" s="46" t="s">
        <v>585</v>
      </c>
      <c r="BE21" s="46" t="s">
        <v>586</v>
      </c>
      <c r="BF21" s="46" t="s">
        <v>587</v>
      </c>
      <c r="BG21" s="46" t="s">
        <v>588</v>
      </c>
      <c r="BH21" s="46" t="s">
        <v>589</v>
      </c>
      <c r="BI21" s="46" t="s">
        <v>590</v>
      </c>
      <c r="BJ21" s="46" t="s">
        <v>591</v>
      </c>
      <c r="BK21" s="46" t="s">
        <v>592</v>
      </c>
      <c r="BL21" s="484" t="s">
        <v>593</v>
      </c>
      <c r="BM21" s="46" t="s">
        <v>1180</v>
      </c>
      <c r="BN21" s="46" t="s">
        <v>1181</v>
      </c>
      <c r="BO21" s="46" t="s">
        <v>594</v>
      </c>
      <c r="BP21" s="46" t="s">
        <v>894</v>
      </c>
      <c r="BQ21" s="46" t="s">
        <v>681</v>
      </c>
      <c r="BR21" s="484" t="s">
        <v>547</v>
      </c>
      <c r="BS21" s="46" t="s">
        <v>873</v>
      </c>
    </row>
    <row r="22" spans="2:71" ht="16.5" x14ac:dyDescent="0.3">
      <c r="B22" s="98" t="s">
        <v>1183</v>
      </c>
      <c r="C22" s="504">
        <v>35332325.538446799</v>
      </c>
      <c r="E22" s="97" t="s">
        <v>23</v>
      </c>
      <c r="F22" t="s">
        <v>1155</v>
      </c>
      <c r="G22"/>
      <c r="H22"/>
      <c r="I22"/>
      <c r="J22"/>
      <c r="K22"/>
      <c r="L22"/>
      <c r="M22"/>
      <c r="N22"/>
      <c r="O22"/>
      <c r="P22"/>
      <c r="Q22" t="s">
        <v>138</v>
      </c>
      <c r="R22"/>
      <c r="S22" t="s">
        <v>836</v>
      </c>
      <c r="T22"/>
      <c r="U22" t="s">
        <v>835</v>
      </c>
      <c r="V22"/>
      <c r="W22"/>
      <c r="X22"/>
      <c r="Y22"/>
      <c r="Z22"/>
      <c r="AA22"/>
      <c r="AB22"/>
      <c r="AC22"/>
      <c r="AD22"/>
      <c r="AE22"/>
      <c r="AF22"/>
      <c r="AG22" s="97" t="s">
        <v>23</v>
      </c>
      <c r="AH22" t="s">
        <v>1149</v>
      </c>
      <c r="AI22" t="s">
        <v>1153</v>
      </c>
      <c r="AJ22" t="s">
        <v>1152</v>
      </c>
      <c r="AK22"/>
      <c r="AL22"/>
      <c r="AM22"/>
      <c r="AN22"/>
      <c r="AO22"/>
      <c r="AP22"/>
      <c r="AQ22"/>
      <c r="AR22"/>
      <c r="AS22"/>
      <c r="AU22" s="49">
        <f>IFERROR(
IF(ISBLANK(AW22),
DATE(AV22,12,1),
DATE(AV22,AW22,1)),0)</f>
        <v>45778</v>
      </c>
      <c r="AV22" s="230">
        <v>2025</v>
      </c>
      <c r="AW22" s="230">
        <v>5</v>
      </c>
      <c r="AX22" s="230" t="s">
        <v>1151</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1155</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1"/>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0"/>
      <c r="BS22" s="232"/>
    </row>
    <row r="23" spans="2:71" ht="16.5" x14ac:dyDescent="0.3">
      <c r="B23" s="98" t="s">
        <v>1184</v>
      </c>
      <c r="C23" s="504">
        <v>12841853.32237763</v>
      </c>
      <c r="E23" s="519">
        <v>45717</v>
      </c>
      <c r="F23" s="504">
        <v>553</v>
      </c>
      <c r="G23"/>
      <c r="H23"/>
      <c r="I23"/>
      <c r="J23"/>
      <c r="K23"/>
      <c r="L23"/>
      <c r="M23"/>
      <c r="N23"/>
      <c r="O23"/>
      <c r="P23" s="97" t="s">
        <v>23</v>
      </c>
      <c r="Q23" t="s">
        <v>1153</v>
      </c>
      <c r="R23" t="s">
        <v>1152</v>
      </c>
      <c r="S23" t="s">
        <v>1150</v>
      </c>
      <c r="T23" t="s">
        <v>1151</v>
      </c>
      <c r="U23" t="s">
        <v>1149</v>
      </c>
      <c r="V23"/>
      <c r="W23"/>
      <c r="X23"/>
      <c r="Y23"/>
      <c r="Z23"/>
      <c r="AA23"/>
      <c r="AB23"/>
      <c r="AC23"/>
      <c r="AD23"/>
      <c r="AE23"/>
      <c r="AF23"/>
      <c r="AG23" s="519">
        <v>45717</v>
      </c>
      <c r="AH23" s="504">
        <v>5914113.746268657</v>
      </c>
      <c r="AI23" s="504">
        <v>5921794.871794872</v>
      </c>
      <c r="AJ23" s="504">
        <v>4812804.8167141499</v>
      </c>
      <c r="AK23"/>
      <c r="AL23"/>
      <c r="AM23"/>
      <c r="AN23"/>
      <c r="AO23"/>
      <c r="AP23"/>
      <c r="AQ23"/>
      <c r="AR23"/>
      <c r="AS23"/>
      <c r="AU23" s="49">
        <f t="shared" ref="AU23:AU36" si="0">IFERROR(
IF(ISBLANK(AW23),
DATE(AV23,12,1),
DATE(AV23,AW23,1)),0)</f>
        <v>45778</v>
      </c>
      <c r="AV23" s="230">
        <v>2025</v>
      </c>
      <c r="AW23" s="230">
        <v>5</v>
      </c>
      <c r="AX23" s="230" t="s">
        <v>1150</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1155</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1"/>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0"/>
      <c r="BS23" s="232"/>
    </row>
    <row r="24" spans="2:71" ht="16.5" x14ac:dyDescent="0.3">
      <c r="B24"/>
      <c r="C24"/>
      <c r="E24" s="519">
        <v>45748</v>
      </c>
      <c r="F24" s="504">
        <v>401</v>
      </c>
      <c r="G24"/>
      <c r="H24"/>
      <c r="I24"/>
      <c r="J24"/>
      <c r="K24"/>
      <c r="L24"/>
      <c r="M24"/>
      <c r="N24"/>
      <c r="O24"/>
      <c r="P24" s="519">
        <v>45717</v>
      </c>
      <c r="Q24" s="504">
        <v>171</v>
      </c>
      <c r="R24" s="504">
        <v>138</v>
      </c>
      <c r="S24" s="504">
        <v>106</v>
      </c>
      <c r="T24" s="504">
        <v>35</v>
      </c>
      <c r="U24" s="504">
        <v>103</v>
      </c>
      <c r="V24"/>
      <c r="W24"/>
      <c r="X24"/>
      <c r="Y24"/>
      <c r="Z24"/>
      <c r="AA24"/>
      <c r="AB24"/>
      <c r="AC24"/>
      <c r="AD24"/>
      <c r="AE24"/>
      <c r="AF24"/>
      <c r="AG24" s="519">
        <v>45748</v>
      </c>
      <c r="AH24" s="504">
        <v>9734331.7611940298</v>
      </c>
      <c r="AI24" s="504">
        <v>3007450.3741418766</v>
      </c>
      <c r="AJ24" s="504">
        <v>13305460.205299949</v>
      </c>
      <c r="AK24"/>
      <c r="AL24"/>
      <c r="AM24"/>
      <c r="AN24"/>
      <c r="AO24"/>
      <c r="AP24"/>
      <c r="AQ24"/>
      <c r="AR24"/>
      <c r="AS24"/>
      <c r="AU24" s="49">
        <f t="shared" si="0"/>
        <v>45778</v>
      </c>
      <c r="AV24" s="230">
        <v>2025</v>
      </c>
      <c r="AW24" s="230">
        <v>5</v>
      </c>
      <c r="AX24" s="230" t="s">
        <v>1149</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1155</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1"/>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0">
        <v>304294.31268656714</v>
      </c>
      <c r="BS24" s="232"/>
    </row>
    <row r="25" spans="2:71" ht="16.5" x14ac:dyDescent="0.3">
      <c r="B25"/>
      <c r="C25"/>
      <c r="E25" s="519">
        <v>45778</v>
      </c>
      <c r="F25" s="504">
        <v>437</v>
      </c>
      <c r="G25"/>
      <c r="H25"/>
      <c r="I25"/>
      <c r="J25"/>
      <c r="K25"/>
      <c r="L25"/>
      <c r="M25"/>
      <c r="N25"/>
      <c r="O25"/>
      <c r="P25" s="519">
        <v>45748</v>
      </c>
      <c r="Q25" s="504">
        <v>152</v>
      </c>
      <c r="R25" s="504">
        <v>75</v>
      </c>
      <c r="S25" s="504">
        <v>146</v>
      </c>
      <c r="T25" s="504">
        <v>20</v>
      </c>
      <c r="U25" s="504">
        <v>8</v>
      </c>
      <c r="V25"/>
      <c r="W25"/>
      <c r="X25"/>
      <c r="Y25"/>
      <c r="Z25"/>
      <c r="AA25"/>
      <c r="AB25"/>
      <c r="AC25"/>
      <c r="AD25"/>
      <c r="AE25"/>
      <c r="AF25"/>
      <c r="AG25" s="519">
        <v>45778</v>
      </c>
      <c r="AH25" s="504">
        <v>1425692.7462686568</v>
      </c>
      <c r="AI25" s="504">
        <v>5745298.7928473447</v>
      </c>
      <c r="AJ25" s="504">
        <v>8759216.8246460371</v>
      </c>
      <c r="AK25"/>
      <c r="AL25"/>
      <c r="AM25"/>
      <c r="AN25"/>
      <c r="AO25"/>
      <c r="AP25"/>
      <c r="AQ25"/>
      <c r="AR25"/>
      <c r="AS25"/>
      <c r="AU25" s="49">
        <f t="shared" si="0"/>
        <v>45778</v>
      </c>
      <c r="AV25" s="230">
        <v>2025</v>
      </c>
      <c r="AW25" s="230">
        <v>5</v>
      </c>
      <c r="AX25" s="230"/>
      <c r="AY25" s="230" t="s">
        <v>1153</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1155</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1"/>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0">
        <v>1585928.3</v>
      </c>
      <c r="BS25" s="232"/>
    </row>
    <row r="26" spans="2:71" ht="16.5" x14ac:dyDescent="0.3">
      <c r="B26"/>
      <c r="C26"/>
      <c r="E26" s="519" t="s">
        <v>1102</v>
      </c>
      <c r="F26" s="504">
        <v>1391</v>
      </c>
      <c r="G26"/>
      <c r="H26"/>
      <c r="I26"/>
      <c r="J26"/>
      <c r="K26"/>
      <c r="L26"/>
      <c r="M26"/>
      <c r="N26"/>
      <c r="O26"/>
      <c r="P26" s="519">
        <v>45778</v>
      </c>
      <c r="Q26" s="504">
        <v>169</v>
      </c>
      <c r="R26" s="504">
        <v>88</v>
      </c>
      <c r="S26" s="504">
        <v>66</v>
      </c>
      <c r="T26" s="504">
        <v>45</v>
      </c>
      <c r="U26" s="504">
        <v>69</v>
      </c>
      <c r="V26"/>
      <c r="W26"/>
      <c r="X26"/>
      <c r="Y26"/>
      <c r="Z26"/>
      <c r="AA26"/>
      <c r="AB26"/>
      <c r="AC26"/>
      <c r="AD26"/>
      <c r="AE26"/>
      <c r="AF26"/>
      <c r="AG26" s="519" t="s">
        <v>1102</v>
      </c>
      <c r="AH26" s="504">
        <v>17074138.253731344</v>
      </c>
      <c r="AI26" s="504">
        <v>14674544.038784092</v>
      </c>
      <c r="AJ26" s="504">
        <v>26877481.846660137</v>
      </c>
      <c r="AK26"/>
      <c r="AL26"/>
      <c r="AM26"/>
      <c r="AN26"/>
      <c r="AO26"/>
      <c r="AP26"/>
      <c r="AQ26"/>
      <c r="AR26"/>
      <c r="AS26"/>
      <c r="AU26" s="49">
        <f t="shared" si="0"/>
        <v>45778</v>
      </c>
      <c r="AV26" s="230">
        <v>2025</v>
      </c>
      <c r="AW26" s="230">
        <v>5</v>
      </c>
      <c r="AX26" s="230"/>
      <c r="AY26" s="230" t="s">
        <v>1152</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1155</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1"/>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0">
        <v>1830850.8074074076</v>
      </c>
      <c r="BS26" s="232"/>
    </row>
    <row r="27" spans="2:71" ht="16.5" x14ac:dyDescent="0.3">
      <c r="B27"/>
      <c r="C27"/>
      <c r="E27"/>
      <c r="F27"/>
      <c r="G27"/>
      <c r="H27"/>
      <c r="I27"/>
      <c r="J27"/>
      <c r="K27"/>
      <c r="L27"/>
      <c r="M27"/>
      <c r="N27"/>
      <c r="O27"/>
      <c r="P27" s="519" t="s">
        <v>1102</v>
      </c>
      <c r="Q27" s="504">
        <v>492</v>
      </c>
      <c r="R27" s="504">
        <v>301</v>
      </c>
      <c r="S27" s="504">
        <v>318</v>
      </c>
      <c r="T27" s="504">
        <v>100</v>
      </c>
      <c r="U27" s="504">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1151</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1155</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1"/>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0"/>
      <c r="BS27" s="232"/>
    </row>
    <row r="28" spans="2:71" ht="16.5" x14ac:dyDescent="0.3">
      <c r="B28"/>
      <c r="C28"/>
      <c r="E28"/>
      <c r="F28"/>
      <c r="P28"/>
      <c r="Q28"/>
      <c r="R28"/>
      <c r="AG28"/>
      <c r="AH28"/>
      <c r="AI28"/>
      <c r="AU28" s="49">
        <f t="shared" si="0"/>
        <v>45748</v>
      </c>
      <c r="AV28" s="230">
        <v>2025</v>
      </c>
      <c r="AW28" s="230">
        <v>4</v>
      </c>
      <c r="AX28" s="230" t="s">
        <v>1150</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1155</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1"/>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0"/>
      <c r="BS28" s="232"/>
    </row>
    <row r="29" spans="2:71" ht="16.5" x14ac:dyDescent="0.3">
      <c r="B29"/>
      <c r="C29"/>
      <c r="E29"/>
      <c r="F29"/>
      <c r="P29"/>
      <c r="Q29"/>
      <c r="R29"/>
      <c r="AG29"/>
      <c r="AH29"/>
      <c r="AI29"/>
      <c r="AU29" s="49">
        <f t="shared" si="0"/>
        <v>45748</v>
      </c>
      <c r="AV29" s="230">
        <v>2025</v>
      </c>
      <c r="AW29" s="230">
        <v>4</v>
      </c>
      <c r="AX29" s="230" t="s">
        <v>1149</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1155</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1"/>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0"/>
      <c r="BS29" s="232"/>
    </row>
    <row r="30" spans="2:71" ht="16.5" x14ac:dyDescent="0.3">
      <c r="B30"/>
      <c r="C30"/>
      <c r="E30"/>
      <c r="F30"/>
      <c r="P30"/>
      <c r="Q30"/>
      <c r="R30"/>
      <c r="AG30"/>
      <c r="AH30"/>
      <c r="AI30"/>
      <c r="AU30" s="49">
        <f t="shared" si="0"/>
        <v>45748</v>
      </c>
      <c r="AV30" s="230">
        <v>2025</v>
      </c>
      <c r="AW30" s="230">
        <v>4</v>
      </c>
      <c r="AX30" s="230"/>
      <c r="AY30" s="230" t="s">
        <v>1153</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1155</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1"/>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0">
        <v>3878156.8210526318</v>
      </c>
      <c r="BS30" s="232"/>
    </row>
    <row r="31" spans="2:71" ht="16.5" x14ac:dyDescent="0.3">
      <c r="B31"/>
      <c r="C31"/>
      <c r="E31"/>
      <c r="F31"/>
      <c r="P31"/>
      <c r="Q31"/>
      <c r="R31"/>
      <c r="AG31"/>
      <c r="AH31"/>
      <c r="AI31"/>
      <c r="AU31" s="49">
        <f t="shared" si="0"/>
        <v>45748</v>
      </c>
      <c r="AV31" s="230">
        <v>2025</v>
      </c>
      <c r="AW31" s="230">
        <v>4</v>
      </c>
      <c r="AX31" s="230"/>
      <c r="AY31" s="230" t="s">
        <v>1152</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1155</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1"/>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0">
        <v>994140.11321242829</v>
      </c>
      <c r="BS31" s="232"/>
    </row>
    <row r="32" spans="2:71" ht="16.5" x14ac:dyDescent="0.3">
      <c r="B32"/>
      <c r="C32"/>
      <c r="E32"/>
      <c r="F32"/>
      <c r="P32"/>
      <c r="Q32"/>
      <c r="R32"/>
      <c r="AG32"/>
      <c r="AH32"/>
      <c r="AI32"/>
      <c r="AU32" s="49">
        <f t="shared" si="0"/>
        <v>45717</v>
      </c>
      <c r="AV32" s="230">
        <v>2025</v>
      </c>
      <c r="AW32" s="230">
        <v>3</v>
      </c>
      <c r="AX32" s="230" t="s">
        <v>1151</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1155</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1"/>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0"/>
      <c r="BS32" s="232"/>
    </row>
    <row r="33" spans="2:71" ht="16.5" x14ac:dyDescent="0.3">
      <c r="B33"/>
      <c r="C33"/>
      <c r="E33"/>
      <c r="F33"/>
      <c r="P33"/>
      <c r="Q33"/>
      <c r="R33"/>
      <c r="AG33"/>
      <c r="AH33"/>
      <c r="AI33"/>
      <c r="AU33" s="49">
        <f t="shared" si="0"/>
        <v>45717</v>
      </c>
      <c r="AV33" s="230">
        <v>2025</v>
      </c>
      <c r="AW33" s="230">
        <v>3</v>
      </c>
      <c r="AX33" s="230" t="s">
        <v>1150</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1155</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1"/>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0"/>
      <c r="BS33" s="232"/>
    </row>
    <row r="34" spans="2:71" ht="16.5" x14ac:dyDescent="0.3">
      <c r="B34"/>
      <c r="C34"/>
      <c r="E34"/>
      <c r="F34"/>
      <c r="P34"/>
      <c r="Q34"/>
      <c r="R34"/>
      <c r="AG34"/>
      <c r="AH34"/>
      <c r="AI34"/>
      <c r="AU34" s="49">
        <f t="shared" si="0"/>
        <v>45717</v>
      </c>
      <c r="AV34" s="230">
        <v>2025</v>
      </c>
      <c r="AW34" s="230">
        <v>3</v>
      </c>
      <c r="AX34" s="230" t="s">
        <v>1149</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1155</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1"/>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0">
        <v>71284.637313432802</v>
      </c>
      <c r="BS34" s="232"/>
    </row>
    <row r="35" spans="2:71" ht="16.5" x14ac:dyDescent="0.3">
      <c r="B35"/>
      <c r="C35"/>
      <c r="E35"/>
      <c r="F35"/>
      <c r="P35"/>
      <c r="Q35"/>
      <c r="R35"/>
      <c r="AG35"/>
      <c r="AH35"/>
      <c r="AI35"/>
      <c r="AU35" s="49">
        <f t="shared" si="0"/>
        <v>45717</v>
      </c>
      <c r="AV35" s="230">
        <v>2025</v>
      </c>
      <c r="AW35" s="230">
        <v>3</v>
      </c>
      <c r="AX35" s="230"/>
      <c r="AY35" s="230" t="s">
        <v>1153</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1155</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1"/>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0">
        <v>5461230.0948885884</v>
      </c>
      <c r="BS35" s="232"/>
    </row>
    <row r="36" spans="2:71" ht="16.5" x14ac:dyDescent="0.3">
      <c r="B36"/>
      <c r="C36"/>
      <c r="E36"/>
      <c r="F36"/>
      <c r="P36"/>
      <c r="Q36"/>
      <c r="R36"/>
      <c r="AG36"/>
      <c r="AH36"/>
      <c r="AI36"/>
      <c r="AU36" s="49">
        <f t="shared" si="0"/>
        <v>45717</v>
      </c>
      <c r="AV36" s="230">
        <v>2025</v>
      </c>
      <c r="AW36" s="230">
        <v>3</v>
      </c>
      <c r="AX36" s="230"/>
      <c r="AY36" s="230" t="s">
        <v>1152</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1155</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1"/>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0">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C11" sqref="C11"/>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3"/>
      <c r="H3" s="403"/>
      <c r="I3" s="230"/>
      <c r="J3" s="51">
        <f xml:space="preserve">
IFERROR(
VLOOKUP(I3,Table_NhanVien[],COUNTA(Table_NhanVien[[#Headers],[Mã NV]:[Chức năng]]),0),0)</f>
        <v>0</v>
      </c>
      <c r="K3" s="405">
        <f xml:space="preserve">
IFERROR(
VLOOKUP(I3,Table_NhanVien[],COUNTA(Table_NhanVien[[#Headers],[Mã NV]:[Người phụ thuộc]]),0),0)</f>
        <v>0</v>
      </c>
      <c r="L3" s="48">
        <f xml:space="preserve">
IFERROR(
VLOOKUP(I3,Table_NhanVien[],COUNTA(Table_NhanVien[[#Headers],[Mã NV]:[Lương gross]]),0),0)</f>
        <v>0</v>
      </c>
      <c r="M3" s="405">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0"/>
      <c r="R3" s="405"/>
      <c r="S3" s="405"/>
      <c r="T3" s="405"/>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4"/>
      <c r="AD3" s="234"/>
      <c r="AE3" s="7"/>
      <c r="AF3" s="7"/>
      <c r="AG3" s="7"/>
    </row>
    <row r="4" spans="1:33" ht="18" customHeight="1" x14ac:dyDescent="0.3">
      <c r="A4" s="28"/>
      <c r="B4" s="7" t="s">
        <v>638</v>
      </c>
      <c r="C4" s="7" t="s">
        <v>639</v>
      </c>
      <c r="D4" s="7" t="s">
        <v>3</v>
      </c>
      <c r="E4" s="7" t="s">
        <v>2</v>
      </c>
      <c r="F4" s="7" t="s">
        <v>1</v>
      </c>
      <c r="G4" s="7" t="s">
        <v>640</v>
      </c>
      <c r="H4" s="7" t="s">
        <v>641</v>
      </c>
      <c r="I4" s="7" t="s">
        <v>37</v>
      </c>
      <c r="J4" s="7" t="s">
        <v>583</v>
      </c>
      <c r="K4" s="7" t="s">
        <v>642</v>
      </c>
      <c r="L4" s="7" t="s">
        <v>617</v>
      </c>
      <c r="M4" s="7" t="s">
        <v>1232</v>
      </c>
      <c r="N4" s="7" t="s">
        <v>643</v>
      </c>
      <c r="O4" s="7" t="s">
        <v>140</v>
      </c>
      <c r="P4" s="7" t="s">
        <v>885</v>
      </c>
      <c r="Q4" s="7" t="s">
        <v>886</v>
      </c>
      <c r="R4" s="7" t="s">
        <v>644</v>
      </c>
      <c r="S4" s="7" t="s">
        <v>645</v>
      </c>
      <c r="T4" s="7" t="s">
        <v>646</v>
      </c>
      <c r="U4" s="7" t="s">
        <v>884</v>
      </c>
      <c r="V4" s="7" t="s">
        <v>647</v>
      </c>
      <c r="W4" s="7" t="s">
        <v>648</v>
      </c>
      <c r="X4" s="7" t="s">
        <v>649</v>
      </c>
      <c r="Y4" s="7" t="s">
        <v>650</v>
      </c>
      <c r="Z4" s="7" t="s">
        <v>651</v>
      </c>
      <c r="AA4" s="7" t="s">
        <v>257</v>
      </c>
      <c r="AB4" s="7" t="s">
        <v>652</v>
      </c>
      <c r="AC4" s="7" t="s">
        <v>873</v>
      </c>
      <c r="AD4" s="7" t="s">
        <v>1243</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3"/>
      <c r="H5" s="403"/>
      <c r="J5" s="51">
        <f xml:space="preserve">
IFERROR(
VLOOKUP(I5,Table_NhanVien[],COUNTA(Table_NhanVien[[#Headers],[Mã NV]:[Chức năng]]),0),0)</f>
        <v>0</v>
      </c>
      <c r="K5" s="405">
        <f xml:space="preserve">
IFERROR(
VLOOKUP(I5,Table_NhanVien[],COUNTA(Table_NhanVien[[#Headers],[Mã NV]:[Người phụ thuộc]]),0),0)</f>
        <v>0</v>
      </c>
      <c r="L5" s="48">
        <f xml:space="preserve">
IFERROR(
VLOOKUP(I5,Table_NhanVien[],COUNTA(Table_NhanVien[[#Headers],[Mã NV]:[Lương gross]]),0),0)</f>
        <v>0</v>
      </c>
      <c r="M5" s="405"/>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0"/>
      <c r="R5" s="405"/>
      <c r="S5" s="405"/>
      <c r="T5" s="405"/>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4"/>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B1:BN57"/>
  <sheetViews>
    <sheetView showGridLines="0" workbookViewId="0">
      <selection activeCell="U19" sqref="U19"/>
    </sheetView>
  </sheetViews>
  <sheetFormatPr defaultRowHeight="18" customHeight="1" outlineLevelRow="1" outlineLevelCol="2" x14ac:dyDescent="0.3"/>
  <cols>
    <col min="1" max="1" width="9.625" style="7" customWidth="1"/>
    <col min="2" max="2" width="8.5" style="7" customWidth="1" outlineLevel="1"/>
    <col min="3" max="3" width="11.75" style="7" customWidth="1" outlineLevel="1"/>
    <col min="4" max="4" width="1.625" style="7" customWidth="1" outlineLevel="1"/>
    <col min="5" max="5" width="11.75" style="7" customWidth="1" outlineLevel="1"/>
    <col min="6" max="6" width="8.625" style="7" customWidth="1" outlineLevel="1"/>
    <col min="7" max="7" width="8.5" style="7" customWidth="1" outlineLevel="1"/>
    <col min="8" max="8" width="8.75" style="7" customWidth="1" outlineLevel="1"/>
    <col min="9" max="9" width="1.625" style="7" customWidth="1" outlineLevel="1"/>
    <col min="10" max="10" width="9.5" style="7" customWidth="1" outlineLevel="1"/>
    <col min="11" max="11" width="10.125" style="7" customWidth="1" outlineLevel="1"/>
    <col min="12" max="12" width="10.375" style="7" customWidth="1" outlineLevel="1"/>
    <col min="13" max="13" width="8.25" style="7" customWidth="1" outlineLevel="1"/>
    <col min="14" max="14" width="1.625" style="7" customWidth="1" outlineLevel="1"/>
    <col min="15" max="17" width="11.75" style="7" customWidth="1" outlineLevel="1"/>
    <col min="18" max="18" width="12.75" style="7" customWidth="1" outlineLevel="2"/>
    <col min="19" max="19" width="13" style="7" customWidth="1" outlineLevel="2"/>
    <col min="20" max="20" width="6.75" style="7"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997</v>
      </c>
      <c r="Y1" s="25" t="s">
        <v>595</v>
      </c>
      <c r="Z1" s="26" t="s">
        <v>596</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597</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1"/>
      <c r="Q3" s="391"/>
      <c r="R3" s="120">
        <f xml:space="preserve">
IF(ISBLANK(Q3),0,O3*(Q3-P3))</f>
        <v>0</v>
      </c>
      <c r="S3" s="120" cm="1">
        <f t="array" ref="S3">+
IF(P3=0,0,
IFERROR(
SUM(_xlfn._xlws.FILTER(Table_ChiPhiNV_ThueSuatTNCN[Thuế tối đa],
(Table_ChiPhiNV_ThueSuatTNCN[Thuế suất]&lt;O3)
)),0))</f>
        <v>0</v>
      </c>
      <c r="T3" s="232"/>
      <c r="W3" s="27" t="s">
        <v>598</v>
      </c>
      <c r="X3" s="419">
        <v>11000000</v>
      </c>
      <c r="Y3" s="8" t="s">
        <v>599</v>
      </c>
      <c r="Z3" s="217">
        <f>8*(COUNT(AC1:BG1) - COUNTA(AC3:BG3))</f>
        <v>8</v>
      </c>
      <c r="AB3" s="12" t="s">
        <v>600</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595</v>
      </c>
      <c r="C4" s="12" t="s">
        <v>601</v>
      </c>
      <c r="E4" s="12" t="s">
        <v>21</v>
      </c>
      <c r="F4" s="12" t="s">
        <v>602</v>
      </c>
      <c r="G4" s="12" t="s">
        <v>603</v>
      </c>
      <c r="H4" s="12" t="s">
        <v>604</v>
      </c>
      <c r="J4" s="12" t="s">
        <v>0</v>
      </c>
      <c r="K4" s="12" t="s">
        <v>605</v>
      </c>
      <c r="L4" s="12" t="s">
        <v>606</v>
      </c>
      <c r="M4" s="12" t="s">
        <v>156</v>
      </c>
      <c r="O4" s="12" t="s">
        <v>607</v>
      </c>
      <c r="P4" s="12" t="s">
        <v>608</v>
      </c>
      <c r="Q4" s="12" t="s">
        <v>609</v>
      </c>
      <c r="R4" s="12" t="s">
        <v>610</v>
      </c>
      <c r="S4" s="12" t="s">
        <v>611</v>
      </c>
      <c r="T4" s="12" t="s">
        <v>280</v>
      </c>
      <c r="W4" s="27" t="s">
        <v>612</v>
      </c>
      <c r="X4" s="419">
        <v>4400000</v>
      </c>
      <c r="Y4" s="27" t="s">
        <v>613</v>
      </c>
      <c r="Z4" s="319">
        <v>2.0833333333333332E-2</v>
      </c>
      <c r="AB4" s="12" t="s">
        <v>614</v>
      </c>
      <c r="AC4" s="338">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38"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38"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38"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38"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38"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38"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38"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38"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38"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38"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38"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38"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38"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38"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38"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38"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38"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38"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38"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38"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38"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38"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38"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38"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38"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38"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38"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38"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38"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38"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596</v>
      </c>
      <c r="C5" s="15">
        <v>4960000</v>
      </c>
      <c r="E5" s="12" t="s">
        <v>615</v>
      </c>
      <c r="F5" s="15">
        <f>F8*F9</f>
        <v>46800000</v>
      </c>
      <c r="G5" s="15">
        <f>G8*G9</f>
        <v>46800000</v>
      </c>
      <c r="H5" s="15">
        <f>H8*H9</f>
        <v>99200000</v>
      </c>
      <c r="J5" s="12" t="s">
        <v>616</v>
      </c>
      <c r="K5" s="317">
        <v>0</v>
      </c>
      <c r="L5" s="317">
        <v>0.25</v>
      </c>
      <c r="M5" s="31">
        <v>1.3</v>
      </c>
      <c r="O5" s="32">
        <v>0.05</v>
      </c>
      <c r="P5" s="417">
        <v>0</v>
      </c>
      <c r="Q5" s="417">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617</v>
      </c>
      <c r="X5" s="34" t="e">
        <f>VLOOKUP(X1,Table_NhanVien[],COUNTA(Table_NhanVien[[#Headers],[Mã NV]:[Lương gross]]),0)</f>
        <v>#N/A</v>
      </c>
      <c r="Y5" s="8" t="s">
        <v>618</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619</v>
      </c>
      <c r="AC5" s="338">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38"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38"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38"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38"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38"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38"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38"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38"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38"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38"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38"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38"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38"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38"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38"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38"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38"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38"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38"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38"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38"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38"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38"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38"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38"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38"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38"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38"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38"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38"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620</v>
      </c>
      <c r="C6" s="15">
        <v>4410000</v>
      </c>
      <c r="E6" s="12" t="s">
        <v>621</v>
      </c>
      <c r="F6" s="30">
        <v>0.17499999999999999</v>
      </c>
      <c r="G6" s="31">
        <v>0.03</v>
      </c>
      <c r="H6" s="31">
        <v>0.01</v>
      </c>
      <c r="J6" s="12" t="s">
        <v>616</v>
      </c>
      <c r="K6" s="317">
        <v>0.25</v>
      </c>
      <c r="L6" s="317">
        <v>0.91666666666666663</v>
      </c>
      <c r="M6" s="31">
        <v>1</v>
      </c>
      <c r="O6" s="32">
        <v>0.1</v>
      </c>
      <c r="P6" s="417">
        <v>5000000</v>
      </c>
      <c r="Q6" s="417">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887</v>
      </c>
      <c r="X6" s="35" t="e">
        <f>SUM(AC9:BG57)/2*((X5-Z5)/Z3)</f>
        <v>#N/A</v>
      </c>
      <c r="Y6" s="8" t="s">
        <v>622</v>
      </c>
      <c r="Z6" s="7" t="e">
        <f>VLOOKUP(X1,Table_NhanVien[],COUNTA(Table_NhanVien[[#Headers],[Mã NV]:[Người phụ thuộc]]),0)</f>
        <v>#N/A</v>
      </c>
      <c r="AB6" s="7" t="s">
        <v>623</v>
      </c>
    </row>
    <row r="7" spans="2:66" ht="18" customHeight="1" x14ac:dyDescent="0.3">
      <c r="B7" s="12" t="s">
        <v>624</v>
      </c>
      <c r="C7" s="15">
        <v>3860000</v>
      </c>
      <c r="E7" s="12" t="s">
        <v>625</v>
      </c>
      <c r="F7" s="30">
        <v>0.08</v>
      </c>
      <c r="G7" s="30">
        <v>1.4999999999999999E-2</v>
      </c>
      <c r="H7" s="31">
        <v>0.01</v>
      </c>
      <c r="J7" s="12" t="s">
        <v>616</v>
      </c>
      <c r="K7" s="317">
        <v>0.91666666666666663</v>
      </c>
      <c r="L7" s="317">
        <v>0.99998842592592596</v>
      </c>
      <c r="M7" s="31">
        <v>1.3</v>
      </c>
      <c r="O7" s="32">
        <v>0.15</v>
      </c>
      <c r="P7" s="417">
        <v>10000000</v>
      </c>
      <c r="Q7" s="417">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884</v>
      </c>
      <c r="X7" s="339" t="e">
        <f>(SUMIF(AC9:BG57, "&gt;1", AC9:BG57)-COUNTIF(AC9:BG57, "&gt;1"))/2*((X5-Z5)/Z3)</f>
        <v>#N/A</v>
      </c>
      <c r="Y7" s="7" t="s">
        <v>1231</v>
      </c>
      <c r="Z7" s="7">
        <f>COUNTIF(AC8:BG8,"Lương")</f>
        <v>0</v>
      </c>
      <c r="AA7" s="540"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626</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45"/>
      <c r="BJ7" s="446"/>
      <c r="BK7" s="447">
        <f ca="1">NOW()</f>
        <v>45846.326116666663</v>
      </c>
      <c r="BL7" s="449">
        <f ca="1">INT(BK7)</f>
        <v>45846</v>
      </c>
      <c r="BM7" s="450">
        <f ca="1">BK7-BL7</f>
        <v>0.32611666666343808</v>
      </c>
      <c r="BN7" s="448"/>
    </row>
    <row r="8" spans="2:66" ht="18" customHeight="1" x14ac:dyDescent="0.3">
      <c r="B8" s="12" t="s">
        <v>627</v>
      </c>
      <c r="C8" s="15">
        <v>3450000</v>
      </c>
      <c r="E8" s="12" t="s">
        <v>628</v>
      </c>
      <c r="F8" s="15">
        <v>2340000</v>
      </c>
      <c r="G8" s="15">
        <v>2340000</v>
      </c>
      <c r="H8" s="15">
        <f>VLOOKUP(Z1,Table_ChiPhiNV_LuongToiThieu[],2,0)</f>
        <v>4960000</v>
      </c>
      <c r="J8" s="12" t="s">
        <v>633</v>
      </c>
      <c r="K8" s="317">
        <v>0</v>
      </c>
      <c r="L8" s="317">
        <v>0.25</v>
      </c>
      <c r="M8" s="31">
        <v>2.7</v>
      </c>
      <c r="O8" s="32">
        <v>0.2</v>
      </c>
      <c r="P8" s="417">
        <v>18000000</v>
      </c>
      <c r="Q8" s="417">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629</v>
      </c>
      <c r="W8" s="7" t="s">
        <v>250</v>
      </c>
      <c r="X8" s="7" t="s">
        <v>251</v>
      </c>
      <c r="Y8" s="7" t="s">
        <v>630</v>
      </c>
      <c r="Z8" s="7" t="s">
        <v>631</v>
      </c>
      <c r="AA8" s="7" t="s">
        <v>873</v>
      </c>
      <c r="AB8" s="12" t="s">
        <v>1229</v>
      </c>
      <c r="BI8" s="7" t="s">
        <v>32</v>
      </c>
      <c r="BJ8" s="7" t="s">
        <v>875</v>
      </c>
      <c r="BK8" s="7" t="s">
        <v>1000</v>
      </c>
      <c r="BL8" s="7" t="s">
        <v>0</v>
      </c>
      <c r="BM8" s="7" t="s">
        <v>1001</v>
      </c>
      <c r="BN8" s="7" t="s">
        <v>873</v>
      </c>
    </row>
    <row r="9" spans="2:66" ht="18" customHeight="1" outlineLevel="1" x14ac:dyDescent="0.3">
      <c r="E9" s="12" t="s">
        <v>632</v>
      </c>
      <c r="F9" s="7">
        <v>20</v>
      </c>
      <c r="G9" s="7">
        <v>20</v>
      </c>
      <c r="H9" s="7">
        <v>20</v>
      </c>
      <c r="J9" s="12" t="s">
        <v>633</v>
      </c>
      <c r="K9" s="317">
        <v>0.25</v>
      </c>
      <c r="L9" s="317">
        <v>0.91666666666666663</v>
      </c>
      <c r="M9" s="31">
        <v>2</v>
      </c>
      <c r="O9" s="32">
        <v>0.25</v>
      </c>
      <c r="P9" s="417">
        <v>32000000</v>
      </c>
      <c r="Q9" s="417">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634</v>
      </c>
      <c r="W9" s="318">
        <v>0.33333333333333298</v>
      </c>
      <c r="X9" s="318">
        <v>0.70833333333333304</v>
      </c>
      <c r="Y9" s="318">
        <v>0.5</v>
      </c>
      <c r="Z9" s="318">
        <v>0.54166666666666696</v>
      </c>
      <c r="AB9" s="318">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47"/>
      <c r="BL9" s="449">
        <f>INT(Table_ChiPhiNV_ChamCong[[#This Row],[Thời điểm]])</f>
        <v>0</v>
      </c>
      <c r="BM9" s="450">
        <f>Table_ChiPhiNV_ChamCong[[#This Row],[Thời điểm]]-Table_ChiPhiNV_ChamCong[[#This Row],[Ngày]]</f>
        <v>0</v>
      </c>
    </row>
    <row r="10" spans="2:66" ht="18" customHeight="1" outlineLevel="1" x14ac:dyDescent="0.3">
      <c r="J10" s="12" t="s">
        <v>633</v>
      </c>
      <c r="K10" s="317">
        <v>0.91666666666666663</v>
      </c>
      <c r="L10" s="317">
        <v>0.99998842592592596</v>
      </c>
      <c r="M10" s="31">
        <v>2.7</v>
      </c>
      <c r="O10" s="32">
        <v>0.3</v>
      </c>
      <c r="P10" s="417">
        <v>52000000</v>
      </c>
      <c r="Q10" s="417">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635</v>
      </c>
      <c r="W10" s="318">
        <v>0.66666666666666696</v>
      </c>
      <c r="X10" s="318">
        <v>4.1666666666666664E-2</v>
      </c>
      <c r="Y10" s="318">
        <v>0.83333333333333304</v>
      </c>
      <c r="Z10" s="318">
        <v>0.875</v>
      </c>
      <c r="AB10" s="318">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637</v>
      </c>
      <c r="K11" s="317">
        <v>0</v>
      </c>
      <c r="L11" s="317">
        <v>0.25</v>
      </c>
      <c r="M11" s="31">
        <v>3.9</v>
      </c>
      <c r="O11" s="32">
        <v>0.35</v>
      </c>
      <c r="P11" s="417">
        <v>80000000</v>
      </c>
      <c r="Q11" s="417"/>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636</v>
      </c>
      <c r="W11" s="318">
        <v>0</v>
      </c>
      <c r="X11" s="318">
        <v>0.375</v>
      </c>
      <c r="Y11" s="318">
        <v>0.16666666666666699</v>
      </c>
      <c r="Z11" s="318">
        <v>0.20833333333333301</v>
      </c>
      <c r="AB11" s="318">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637</v>
      </c>
      <c r="K12" s="317">
        <v>0.25</v>
      </c>
      <c r="L12" s="317">
        <v>0.91666666666666663</v>
      </c>
      <c r="M12" s="31">
        <v>3</v>
      </c>
      <c r="AB12" s="318">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637</v>
      </c>
      <c r="K13" s="317">
        <v>0.91666666666666663</v>
      </c>
      <c r="L13" s="317">
        <v>0.99998842592592596</v>
      </c>
      <c r="M13" s="31">
        <v>3.9</v>
      </c>
      <c r="AB13" s="318">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18">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18">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18">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18">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18">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4"/>
      <c r="AB19" s="318">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18">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18">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18">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18">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18">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18">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18">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18">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18">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18">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18">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18">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18">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18">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18">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18">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18">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18">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18">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18">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18">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18">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18">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18">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18">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18">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18">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18">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18">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18">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18">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18">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18">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18">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18">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18">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18">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18">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14</xdr:col>
                    <xdr:colOff>114300</xdr:colOff>
                    <xdr:row>0</xdr:row>
                    <xdr:rowOff>57150</xdr:rowOff>
                  </from>
                  <to>
                    <xdr:col>14</xdr:col>
                    <xdr:colOff>114300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14</xdr:col>
                    <xdr:colOff>114300</xdr:colOff>
                    <xdr:row>1</xdr:row>
                    <xdr:rowOff>38100</xdr:rowOff>
                  </from>
                  <to>
                    <xdr:col>14</xdr:col>
                    <xdr:colOff>114300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9</xdr:col>
                    <xdr:colOff>200025</xdr:colOff>
                    <xdr:row>0</xdr:row>
                    <xdr:rowOff>57150</xdr:rowOff>
                  </from>
                  <to>
                    <xdr:col>9</xdr:col>
                    <xdr:colOff>200025</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9</xdr:col>
                    <xdr:colOff>200025</xdr:colOff>
                    <xdr:row>1</xdr:row>
                    <xdr:rowOff>38100</xdr:rowOff>
                  </from>
                  <to>
                    <xdr:col>9</xdr:col>
                    <xdr:colOff>200025</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85725</xdr:colOff>
                    <xdr:row>0</xdr:row>
                    <xdr:rowOff>57150</xdr:rowOff>
                  </from>
                  <to>
                    <xdr:col>1</xdr:col>
                    <xdr:colOff>85725</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85725</xdr:colOff>
                    <xdr:row>1</xdr:row>
                    <xdr:rowOff>38100</xdr:rowOff>
                  </from>
                  <to>
                    <xdr:col>1</xdr:col>
                    <xdr:colOff>85725</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4"/>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526</v>
      </c>
      <c r="C4" s="7" t="s">
        <v>527</v>
      </c>
      <c r="D4" s="7" t="s">
        <v>528</v>
      </c>
      <c r="E4" s="7" t="s">
        <v>529</v>
      </c>
      <c r="F4" s="7" t="s">
        <v>530</v>
      </c>
      <c r="G4" s="7" t="s">
        <v>873</v>
      </c>
      <c r="I4" s="7" t="s">
        <v>3</v>
      </c>
      <c r="J4" s="7" t="s">
        <v>2</v>
      </c>
      <c r="K4" s="7" t="s">
        <v>1</v>
      </c>
      <c r="L4" s="7" t="s">
        <v>37</v>
      </c>
      <c r="M4" s="7" t="s">
        <v>38</v>
      </c>
      <c r="N4" s="7" t="s">
        <v>531</v>
      </c>
      <c r="O4" s="7" t="s">
        <v>532</v>
      </c>
      <c r="P4" s="7" t="s">
        <v>215</v>
      </c>
      <c r="Q4" s="7" t="s">
        <v>142</v>
      </c>
      <c r="R4" s="7" t="s">
        <v>873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1147</v>
      </c>
      <c r="D20" t="s">
        <v>1146</v>
      </c>
      <c r="E20" t="s">
        <v>1148</v>
      </c>
      <c r="F20" t="s">
        <v>69</v>
      </c>
      <c r="I20" s="7" t="s">
        <v>3</v>
      </c>
      <c r="J20" s="7" t="s">
        <v>2</v>
      </c>
      <c r="K20" s="7" t="s">
        <v>1</v>
      </c>
      <c r="L20" s="7" t="s">
        <v>150</v>
      </c>
      <c r="M20" s="7" t="s">
        <v>924</v>
      </c>
      <c r="N20" s="7" t="s">
        <v>925</v>
      </c>
      <c r="O20" s="7" t="s">
        <v>926</v>
      </c>
      <c r="P20" s="7" t="s">
        <v>653</v>
      </c>
      <c r="Q20" s="7" t="s">
        <v>873</v>
      </c>
    </row>
    <row r="21" spans="2:17" ht="16.5" x14ac:dyDescent="0.3">
      <c r="B21" s="98" t="s">
        <v>1140</v>
      </c>
      <c r="C21" s="515">
        <v>152500000</v>
      </c>
      <c r="D21" s="515">
        <v>25416666.666666664</v>
      </c>
      <c r="E21" s="515">
        <v>0</v>
      </c>
      <c r="F21" s="515">
        <v>177916666.66666663</v>
      </c>
      <c r="I21" s="33">
        <f>IFERROR(
IF(ISBLANK(Table_TSCD_KhauHao[[#This Row],[Tháng]]),
DATE(Table_TSCD_KhauHao[[#This Row],[Năm]],12,1),
DATE(Table_TSCD_KhauHao[[#This Row],[Năm]],Table_TSCD_KhauHao[[#This Row],[Tháng]],1)),0)</f>
        <v>45992</v>
      </c>
      <c r="J21" s="240">
        <v>2025</v>
      </c>
      <c r="K21" s="240">
        <v>12</v>
      </c>
      <c r="L21" s="244">
        <f>+Table_TSCD_KhauHao[[#This Row],[Khấu hao sản xuất]]+Table_TSCD_KhauHao[[#This Row],[Khấu hao bán hàng]]+Table_TSCD_KhauHao[[#This Row],[Khấu hao quản lý]]</f>
        <v>51111111.111111104</v>
      </c>
      <c r="M2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4">
        <f t="shared" ref="P21:P53" si="0">L21</f>
        <v>51111111.111111104</v>
      </c>
      <c r="Q21" s="240"/>
    </row>
    <row r="22" spans="2:17" ht="16.5" x14ac:dyDescent="0.3">
      <c r="B22" s="503" t="s">
        <v>1107</v>
      </c>
      <c r="C22" s="515">
        <v>10000000</v>
      </c>
      <c r="D22" s="515">
        <v>0</v>
      </c>
      <c r="E22" s="515">
        <v>0</v>
      </c>
      <c r="F22" s="515">
        <v>10000000</v>
      </c>
      <c r="I22" s="33">
        <f>IFERROR(
IF(ISBLANK(Table_TSCD_KhauHao[[#This Row],[Tháng]]),
DATE(Table_TSCD_KhauHao[[#This Row],[Năm]],12,1),
DATE(Table_TSCD_KhauHao[[#This Row],[Năm]],Table_TSCD_KhauHao[[#This Row],[Tháng]],1)),0)</f>
        <v>45962</v>
      </c>
      <c r="J22" s="240">
        <v>2025</v>
      </c>
      <c r="K22" s="240">
        <v>11</v>
      </c>
      <c r="L22" s="244">
        <f>+Table_TSCD_KhauHao[[#This Row],[Khấu hao sản xuất]]+Table_TSCD_KhauHao[[#This Row],[Khấu hao bán hàng]]+Table_TSCD_KhauHao[[#This Row],[Khấu hao quản lý]]</f>
        <v>51111111.111111104</v>
      </c>
      <c r="M2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4">
        <f t="shared" si="0"/>
        <v>51111111.111111104</v>
      </c>
      <c r="Q22" s="240"/>
    </row>
    <row r="23" spans="2:17" ht="16.5" x14ac:dyDescent="0.3">
      <c r="B23" s="503" t="s">
        <v>1108</v>
      </c>
      <c r="C23" s="515">
        <v>10000000</v>
      </c>
      <c r="D23" s="515">
        <v>0</v>
      </c>
      <c r="E23" s="515">
        <v>0</v>
      </c>
      <c r="F23" s="515">
        <v>10000000</v>
      </c>
      <c r="I23" s="33">
        <f>IFERROR(
IF(ISBLANK(Table_TSCD_KhauHao[[#This Row],[Tháng]]),
DATE(Table_TSCD_KhauHao[[#This Row],[Năm]],12,1),
DATE(Table_TSCD_KhauHao[[#This Row],[Năm]],Table_TSCD_KhauHao[[#This Row],[Tháng]],1)),0)</f>
        <v>45931</v>
      </c>
      <c r="J23" s="240">
        <v>2025</v>
      </c>
      <c r="K23" s="240">
        <v>10</v>
      </c>
      <c r="L23" s="244">
        <f>+Table_TSCD_KhauHao[[#This Row],[Khấu hao sản xuất]]+Table_TSCD_KhauHao[[#This Row],[Khấu hao bán hàng]]+Table_TSCD_KhauHao[[#This Row],[Khấu hao quản lý]]</f>
        <v>51111111.111111104</v>
      </c>
      <c r="M2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4">
        <f t="shared" si="0"/>
        <v>51111111.111111104</v>
      </c>
      <c r="Q23" s="240"/>
    </row>
    <row r="24" spans="2:17" ht="16.5" x14ac:dyDescent="0.3">
      <c r="B24" s="503" t="s">
        <v>1109</v>
      </c>
      <c r="C24" s="515">
        <v>10000000</v>
      </c>
      <c r="D24" s="515">
        <v>0</v>
      </c>
      <c r="E24" s="515">
        <v>0</v>
      </c>
      <c r="F24" s="515">
        <v>10000000</v>
      </c>
      <c r="I24" s="33">
        <f>IFERROR(
IF(ISBLANK(Table_TSCD_KhauHao[[#This Row],[Tháng]]),
DATE(Table_TSCD_KhauHao[[#This Row],[Năm]],12,1),
DATE(Table_TSCD_KhauHao[[#This Row],[Năm]],Table_TSCD_KhauHao[[#This Row],[Tháng]],1)),0)</f>
        <v>45901</v>
      </c>
      <c r="J24" s="240">
        <v>2025</v>
      </c>
      <c r="K24" s="240">
        <v>9</v>
      </c>
      <c r="L24" s="244">
        <f>+Table_TSCD_KhauHao[[#This Row],[Khấu hao sản xuất]]+Table_TSCD_KhauHao[[#This Row],[Khấu hao bán hàng]]+Table_TSCD_KhauHao[[#This Row],[Khấu hao quản lý]]</f>
        <v>51111111.111111104</v>
      </c>
      <c r="M2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4">
        <f t="shared" si="0"/>
        <v>51111111.111111104</v>
      </c>
      <c r="Q24" s="240"/>
    </row>
    <row r="25" spans="2:17" ht="16.5" x14ac:dyDescent="0.3">
      <c r="B25" s="503" t="s">
        <v>1110</v>
      </c>
      <c r="C25" s="515">
        <v>10000000</v>
      </c>
      <c r="D25" s="515">
        <v>0</v>
      </c>
      <c r="E25" s="515">
        <v>0</v>
      </c>
      <c r="F25" s="515">
        <v>10000000</v>
      </c>
      <c r="I25" s="33">
        <f>IFERROR(
IF(ISBLANK(Table_TSCD_KhauHao[[#This Row],[Tháng]]),
DATE(Table_TSCD_KhauHao[[#This Row],[Năm]],12,1),
DATE(Table_TSCD_KhauHao[[#This Row],[Năm]],Table_TSCD_KhauHao[[#This Row],[Tháng]],1)),0)</f>
        <v>45870</v>
      </c>
      <c r="J25" s="240">
        <v>2025</v>
      </c>
      <c r="K25" s="240">
        <v>8</v>
      </c>
      <c r="L25" s="244">
        <f>+Table_TSCD_KhauHao[[#This Row],[Khấu hao sản xuất]]+Table_TSCD_KhauHao[[#This Row],[Khấu hao bán hàng]]+Table_TSCD_KhauHao[[#This Row],[Khấu hao quản lý]]</f>
        <v>51111111.111111104</v>
      </c>
      <c r="M2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4">
        <f t="shared" si="0"/>
        <v>51111111.111111104</v>
      </c>
      <c r="Q25" s="240"/>
    </row>
    <row r="26" spans="2:17" ht="16.5" x14ac:dyDescent="0.3">
      <c r="B26" s="503" t="s">
        <v>1111</v>
      </c>
      <c r="C26" s="515">
        <v>10000000</v>
      </c>
      <c r="D26" s="515">
        <v>0</v>
      </c>
      <c r="E26" s="515">
        <v>0</v>
      </c>
      <c r="F26" s="515">
        <v>10000000</v>
      </c>
      <c r="I26" s="33">
        <f>IFERROR(
IF(ISBLANK(Table_TSCD_KhauHao[[#This Row],[Tháng]]),
DATE(Table_TSCD_KhauHao[[#This Row],[Năm]],12,1),
DATE(Table_TSCD_KhauHao[[#This Row],[Năm]],Table_TSCD_KhauHao[[#This Row],[Tháng]],1)),0)</f>
        <v>45839</v>
      </c>
      <c r="J26" s="240">
        <v>2025</v>
      </c>
      <c r="K26" s="240">
        <v>7</v>
      </c>
      <c r="L26" s="244">
        <f>+Table_TSCD_KhauHao[[#This Row],[Khấu hao sản xuất]]+Table_TSCD_KhauHao[[#This Row],[Khấu hao bán hàng]]+Table_TSCD_KhauHao[[#This Row],[Khấu hao quản lý]]</f>
        <v>51111111.111111104</v>
      </c>
      <c r="M2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4">
        <f t="shared" si="0"/>
        <v>51111111.111111104</v>
      </c>
      <c r="Q26" s="240"/>
    </row>
    <row r="27" spans="2:17" ht="16.5" x14ac:dyDescent="0.3">
      <c r="B27" s="503" t="s">
        <v>1112</v>
      </c>
      <c r="C27" s="515">
        <v>10000000</v>
      </c>
      <c r="D27" s="515">
        <v>0</v>
      </c>
      <c r="E27" s="515">
        <v>0</v>
      </c>
      <c r="F27" s="515">
        <v>10000000</v>
      </c>
      <c r="I27" s="33">
        <f>IFERROR(
IF(ISBLANK(Table_TSCD_KhauHao[[#This Row],[Tháng]]),
DATE(Table_TSCD_KhauHao[[#This Row],[Năm]],12,1),
DATE(Table_TSCD_KhauHao[[#This Row],[Năm]],Table_TSCD_KhauHao[[#This Row],[Tháng]],1)),0)</f>
        <v>45809</v>
      </c>
      <c r="J27" s="240">
        <v>2025</v>
      </c>
      <c r="K27" s="240">
        <v>6</v>
      </c>
      <c r="L27" s="244">
        <f>+Table_TSCD_KhauHao[[#This Row],[Khấu hao sản xuất]]+Table_TSCD_KhauHao[[#This Row],[Khấu hao bán hàng]]+Table_TSCD_KhauHao[[#This Row],[Khấu hao quản lý]]</f>
        <v>51111111.111111104</v>
      </c>
      <c r="M2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4">
        <f t="shared" si="0"/>
        <v>51111111.111111104</v>
      </c>
      <c r="Q27" s="240"/>
    </row>
    <row r="28" spans="2:17" ht="16.5" x14ac:dyDescent="0.3">
      <c r="B28" s="503" t="s">
        <v>1113</v>
      </c>
      <c r="C28" s="515">
        <v>30833333.333333332</v>
      </c>
      <c r="D28" s="515">
        <v>2916666.6666666665</v>
      </c>
      <c r="E28" s="515">
        <v>0</v>
      </c>
      <c r="F28" s="515">
        <v>33750000</v>
      </c>
      <c r="I28" s="33">
        <f>IFERROR(
IF(ISBLANK(Table_TSCD_KhauHao[[#This Row],[Tháng]]),
DATE(Table_TSCD_KhauHao[[#This Row],[Năm]],12,1),
DATE(Table_TSCD_KhauHao[[#This Row],[Năm]],Table_TSCD_KhauHao[[#This Row],[Tháng]],1)),0)</f>
        <v>45778</v>
      </c>
      <c r="J28" s="240">
        <v>2025</v>
      </c>
      <c r="K28" s="240">
        <v>5</v>
      </c>
      <c r="L28" s="244">
        <f>+Table_TSCD_KhauHao[[#This Row],[Khấu hao sản xuất]]+Table_TSCD_KhauHao[[#This Row],[Khấu hao bán hàng]]+Table_TSCD_KhauHao[[#This Row],[Khấu hao quản lý]]</f>
        <v>51111111.111111104</v>
      </c>
      <c r="M2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4">
        <f t="shared" si="0"/>
        <v>51111111.111111104</v>
      </c>
      <c r="Q28" s="240"/>
    </row>
    <row r="29" spans="2:17" ht="16.5" x14ac:dyDescent="0.3">
      <c r="B29" s="503" t="s">
        <v>1142</v>
      </c>
      <c r="C29" s="515">
        <v>30833333.333333332</v>
      </c>
      <c r="D29" s="515">
        <v>11250000</v>
      </c>
      <c r="E29" s="515">
        <v>0</v>
      </c>
      <c r="F29" s="515">
        <v>42083333.333333328</v>
      </c>
      <c r="I29" s="33">
        <f>IFERROR(
IF(ISBLANK(Table_TSCD_KhauHao[[#This Row],[Tháng]]),
DATE(Table_TSCD_KhauHao[[#This Row],[Năm]],12,1),
DATE(Table_TSCD_KhauHao[[#This Row],[Năm]],Table_TSCD_KhauHao[[#This Row],[Tháng]],1)),0)</f>
        <v>45748</v>
      </c>
      <c r="J29" s="240">
        <v>2025</v>
      </c>
      <c r="K29" s="240">
        <v>4</v>
      </c>
      <c r="L29" s="244">
        <f>+Table_TSCD_KhauHao[[#This Row],[Khấu hao sản xuất]]+Table_TSCD_KhauHao[[#This Row],[Khấu hao bán hàng]]+Table_TSCD_KhauHao[[#This Row],[Khấu hao quản lý]]</f>
        <v>51111111.111111104</v>
      </c>
      <c r="M2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4">
        <f t="shared" si="0"/>
        <v>51111111.111111104</v>
      </c>
      <c r="Q29" s="240"/>
    </row>
    <row r="30" spans="2:17" ht="16.5" x14ac:dyDescent="0.3">
      <c r="B30" s="503" t="s">
        <v>1143</v>
      </c>
      <c r="C30" s="515">
        <v>30833333.333333332</v>
      </c>
      <c r="D30" s="515">
        <v>11250000</v>
      </c>
      <c r="E30" s="515">
        <v>0</v>
      </c>
      <c r="F30" s="515">
        <v>42083333.333333328</v>
      </c>
      <c r="I30" s="33">
        <f>IFERROR(
IF(ISBLANK(Table_TSCD_KhauHao[[#This Row],[Tháng]]),
DATE(Table_TSCD_KhauHao[[#This Row],[Năm]],12,1),
DATE(Table_TSCD_KhauHao[[#This Row],[Năm]],Table_TSCD_KhauHao[[#This Row],[Tháng]],1)),0)</f>
        <v>45717</v>
      </c>
      <c r="J30" s="240">
        <v>2025</v>
      </c>
      <c r="K30" s="240">
        <v>3</v>
      </c>
      <c r="L30" s="244">
        <f>+Table_TSCD_KhauHao[[#This Row],[Khấu hao sản xuất]]+Table_TSCD_KhauHao[[#This Row],[Khấu hao bán hàng]]+Table_TSCD_KhauHao[[#This Row],[Khấu hao quản lý]]</f>
        <v>51111111.111111104</v>
      </c>
      <c r="M3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4">
        <f t="shared" si="0"/>
        <v>51111111.111111104</v>
      </c>
      <c r="Q30" s="240"/>
    </row>
    <row r="31" spans="2:17" ht="16.5" x14ac:dyDescent="0.3">
      <c r="B31" s="98" t="s">
        <v>1141</v>
      </c>
      <c r="C31" s="515">
        <v>369999999.99999994</v>
      </c>
      <c r="D31" s="515">
        <v>135000000</v>
      </c>
      <c r="E31" s="515">
        <v>73611111.111111104</v>
      </c>
      <c r="F31" s="515">
        <v>578611111.11111104</v>
      </c>
      <c r="I31" s="33">
        <f>IFERROR(
IF(ISBLANK(Table_TSCD_KhauHao[[#This Row],[Tháng]]),
DATE(Table_TSCD_KhauHao[[#This Row],[Năm]],12,1),
DATE(Table_TSCD_KhauHao[[#This Row],[Năm]],Table_TSCD_KhauHao[[#This Row],[Tháng]],1)),0)</f>
        <v>45689</v>
      </c>
      <c r="J31" s="240">
        <v>2025</v>
      </c>
      <c r="K31" s="240">
        <v>2</v>
      </c>
      <c r="L31" s="244">
        <f>+Table_TSCD_KhauHao[[#This Row],[Khấu hao sản xuất]]+Table_TSCD_KhauHao[[#This Row],[Khấu hao bán hàng]]+Table_TSCD_KhauHao[[#This Row],[Khấu hao quản lý]]</f>
        <v>51111111.111111104</v>
      </c>
      <c r="M3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4">
        <f t="shared" si="0"/>
        <v>51111111.111111104</v>
      </c>
      <c r="Q31" s="240"/>
    </row>
    <row r="32" spans="2:17" ht="16.5" x14ac:dyDescent="0.3">
      <c r="B32" s="503" t="s">
        <v>1144</v>
      </c>
      <c r="C32" s="515">
        <v>30833333.333333332</v>
      </c>
      <c r="D32" s="515">
        <v>11250000</v>
      </c>
      <c r="E32" s="515">
        <v>0</v>
      </c>
      <c r="F32" s="515">
        <v>42083333.333333328</v>
      </c>
      <c r="I32" s="33">
        <f>IFERROR(
IF(ISBLANK(Table_TSCD_KhauHao[[#This Row],[Tháng]]),
DATE(Table_TSCD_KhauHao[[#This Row],[Năm]],12,1),
DATE(Table_TSCD_KhauHao[[#This Row],[Năm]],Table_TSCD_KhauHao[[#This Row],[Tháng]],1)),0)</f>
        <v>45658</v>
      </c>
      <c r="J32" s="240">
        <v>2025</v>
      </c>
      <c r="K32" s="240">
        <v>1</v>
      </c>
      <c r="L32" s="244">
        <f>+Table_TSCD_KhauHao[[#This Row],[Khấu hao sản xuất]]+Table_TSCD_KhauHao[[#This Row],[Khấu hao bán hàng]]+Table_TSCD_KhauHao[[#This Row],[Khấu hao quản lý]]</f>
        <v>51111111.111111104</v>
      </c>
      <c r="M3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4">
        <f t="shared" si="0"/>
        <v>51111111.111111104</v>
      </c>
      <c r="Q32" s="240"/>
    </row>
    <row r="33" spans="2:17" ht="16.5" x14ac:dyDescent="0.3">
      <c r="B33" s="503" t="s">
        <v>1106</v>
      </c>
      <c r="C33" s="515">
        <v>30833333.333333332</v>
      </c>
      <c r="D33" s="515">
        <v>11250000</v>
      </c>
      <c r="E33" s="515">
        <v>0</v>
      </c>
      <c r="F33" s="515">
        <v>42083333.333333328</v>
      </c>
      <c r="I33" s="33">
        <f>IFERROR(
IF(ISBLANK(Table_TSCD_KhauHao[[#This Row],[Tháng]]),
DATE(Table_TSCD_KhauHao[[#This Row],[Năm]],12,1),
DATE(Table_TSCD_KhauHao[[#This Row],[Năm]],Table_TSCD_KhauHao[[#This Row],[Tháng]],1)),0)</f>
        <v>45627</v>
      </c>
      <c r="J33" s="240">
        <v>2024</v>
      </c>
      <c r="K33" s="240">
        <v>12</v>
      </c>
      <c r="L33" s="244">
        <f>+Table_TSCD_KhauHao[[#This Row],[Khấu hao sản xuất]]+Table_TSCD_KhauHao[[#This Row],[Khấu hao bán hàng]]+Table_TSCD_KhauHao[[#This Row],[Khấu hao quản lý]]</f>
        <v>51111111.111111104</v>
      </c>
      <c r="M3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4">
        <f t="shared" si="0"/>
        <v>51111111.111111104</v>
      </c>
      <c r="Q33" s="240"/>
    </row>
    <row r="34" spans="2:17" ht="16.5" x14ac:dyDescent="0.3">
      <c r="B34" s="503" t="s">
        <v>1145</v>
      </c>
      <c r="C34" s="515">
        <v>30833333.333333332</v>
      </c>
      <c r="D34" s="515">
        <v>11250000</v>
      </c>
      <c r="E34" s="515">
        <v>694444.4444444445</v>
      </c>
      <c r="F34" s="515">
        <v>42777777.777777776</v>
      </c>
      <c r="I34" s="33">
        <f>IFERROR(
IF(ISBLANK(Table_TSCD_KhauHao[[#This Row],[Tháng]]),
DATE(Table_TSCD_KhauHao[[#This Row],[Năm]],12,1),
DATE(Table_TSCD_KhauHao[[#This Row],[Năm]],Table_TSCD_KhauHao[[#This Row],[Tháng]],1)),0)</f>
        <v>45597</v>
      </c>
      <c r="J34" s="240">
        <v>2024</v>
      </c>
      <c r="K34" s="240">
        <v>11</v>
      </c>
      <c r="L34" s="244">
        <f>+Table_TSCD_KhauHao[[#This Row],[Khấu hao sản xuất]]+Table_TSCD_KhauHao[[#This Row],[Khấu hao bán hàng]]+Table_TSCD_KhauHao[[#This Row],[Khấu hao quản lý]]</f>
        <v>51111111.111111104</v>
      </c>
      <c r="M3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4">
        <f t="shared" si="0"/>
        <v>51111111.111111104</v>
      </c>
      <c r="Q34" s="240"/>
    </row>
    <row r="35" spans="2:17" ht="16.5" x14ac:dyDescent="0.3">
      <c r="B35" s="503" t="s">
        <v>1107</v>
      </c>
      <c r="C35" s="515">
        <v>30833333.333333332</v>
      </c>
      <c r="D35" s="515">
        <v>11250000</v>
      </c>
      <c r="E35" s="515">
        <v>694444.4444444445</v>
      </c>
      <c r="F35" s="515">
        <v>42777777.777777776</v>
      </c>
      <c r="I35" s="33">
        <f>IFERROR(
IF(ISBLANK(Table_TSCD_KhauHao[[#This Row],[Tháng]]),
DATE(Table_TSCD_KhauHao[[#This Row],[Năm]],12,1),
DATE(Table_TSCD_KhauHao[[#This Row],[Năm]],Table_TSCD_KhauHao[[#This Row],[Tháng]],1)),0)</f>
        <v>45566</v>
      </c>
      <c r="J35" s="240">
        <v>2024</v>
      </c>
      <c r="K35" s="240">
        <v>10</v>
      </c>
      <c r="L35" s="244">
        <f>+Table_TSCD_KhauHao[[#This Row],[Khấu hao sản xuất]]+Table_TSCD_KhauHao[[#This Row],[Khấu hao bán hàng]]+Table_TSCD_KhauHao[[#This Row],[Khấu hao quản lý]]</f>
        <v>51111111.111111104</v>
      </c>
      <c r="M3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4">
        <f t="shared" si="0"/>
        <v>51111111.111111104</v>
      </c>
      <c r="Q35" s="240"/>
    </row>
    <row r="36" spans="2:17" ht="16.5" x14ac:dyDescent="0.3">
      <c r="B36" s="503" t="s">
        <v>1108</v>
      </c>
      <c r="C36" s="515">
        <v>30833333.333333332</v>
      </c>
      <c r="D36" s="515">
        <v>11250000</v>
      </c>
      <c r="E36" s="515">
        <v>9027777.777777778</v>
      </c>
      <c r="F36" s="515">
        <v>51111111.111111104</v>
      </c>
      <c r="I36" s="33">
        <f>IFERROR(
IF(ISBLANK(Table_TSCD_KhauHao[[#This Row],[Tháng]]),
DATE(Table_TSCD_KhauHao[[#This Row],[Năm]],12,1),
DATE(Table_TSCD_KhauHao[[#This Row],[Năm]],Table_TSCD_KhauHao[[#This Row],[Tháng]],1)),0)</f>
        <v>45536</v>
      </c>
      <c r="J36" s="240">
        <v>2024</v>
      </c>
      <c r="K36" s="240">
        <v>9</v>
      </c>
      <c r="L36" s="244">
        <f>+Table_TSCD_KhauHao[[#This Row],[Khấu hao sản xuất]]+Table_TSCD_KhauHao[[#This Row],[Khấu hao bán hàng]]+Table_TSCD_KhauHao[[#This Row],[Khấu hao quản lý]]</f>
        <v>51111111.111111104</v>
      </c>
      <c r="M3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4">
        <f t="shared" si="0"/>
        <v>51111111.111111104</v>
      </c>
      <c r="Q36" s="240"/>
    </row>
    <row r="37" spans="2:17" ht="16.5" x14ac:dyDescent="0.3">
      <c r="B37" s="503" t="s">
        <v>1109</v>
      </c>
      <c r="C37" s="515">
        <v>30833333.333333332</v>
      </c>
      <c r="D37" s="515">
        <v>11250000</v>
      </c>
      <c r="E37" s="515">
        <v>9027777.777777778</v>
      </c>
      <c r="F37" s="515">
        <v>51111111.111111104</v>
      </c>
      <c r="I37" s="33">
        <f>IFERROR(
IF(ISBLANK(Table_TSCD_KhauHao[[#This Row],[Tháng]]),
DATE(Table_TSCD_KhauHao[[#This Row],[Năm]],12,1),
DATE(Table_TSCD_KhauHao[[#This Row],[Năm]],Table_TSCD_KhauHao[[#This Row],[Tháng]],1)),0)</f>
        <v>45505</v>
      </c>
      <c r="J37" s="240">
        <v>2024</v>
      </c>
      <c r="K37" s="240">
        <v>8</v>
      </c>
      <c r="L37" s="244">
        <f>+Table_TSCD_KhauHao[[#This Row],[Khấu hao sản xuất]]+Table_TSCD_KhauHao[[#This Row],[Khấu hao bán hàng]]+Table_TSCD_KhauHao[[#This Row],[Khấu hao quản lý]]</f>
        <v>51111111.111111104</v>
      </c>
      <c r="M3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4">
        <f t="shared" si="0"/>
        <v>51111111.111111104</v>
      </c>
      <c r="Q37" s="240"/>
    </row>
    <row r="38" spans="2:17" ht="16.5" x14ac:dyDescent="0.3">
      <c r="B38" s="503" t="s">
        <v>1110</v>
      </c>
      <c r="C38" s="515">
        <v>30833333.333333332</v>
      </c>
      <c r="D38" s="515">
        <v>11250000</v>
      </c>
      <c r="E38" s="515">
        <v>9027777.777777778</v>
      </c>
      <c r="F38" s="515">
        <v>51111111.111111104</v>
      </c>
      <c r="I38" s="33">
        <f>IFERROR(
IF(ISBLANK(Table_TSCD_KhauHao[[#This Row],[Tháng]]),
DATE(Table_TSCD_KhauHao[[#This Row],[Năm]],12,1),
DATE(Table_TSCD_KhauHao[[#This Row],[Năm]],Table_TSCD_KhauHao[[#This Row],[Tháng]],1)),0)</f>
        <v>45474</v>
      </c>
      <c r="J38" s="240">
        <v>2024</v>
      </c>
      <c r="K38" s="240">
        <v>7</v>
      </c>
      <c r="L38" s="244">
        <f>+Table_TSCD_KhauHao[[#This Row],[Khấu hao sản xuất]]+Table_TSCD_KhauHao[[#This Row],[Khấu hao bán hàng]]+Table_TSCD_KhauHao[[#This Row],[Khấu hao quản lý]]</f>
        <v>51111111.111111104</v>
      </c>
      <c r="M3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4">
        <f t="shared" si="0"/>
        <v>51111111.111111104</v>
      </c>
      <c r="Q38" s="240"/>
    </row>
    <row r="39" spans="2:17" ht="16.5" x14ac:dyDescent="0.3">
      <c r="B39" s="503" t="s">
        <v>1111</v>
      </c>
      <c r="C39" s="515">
        <v>30833333.333333332</v>
      </c>
      <c r="D39" s="515">
        <v>11250000</v>
      </c>
      <c r="E39" s="515">
        <v>9027777.777777778</v>
      </c>
      <c r="F39" s="515">
        <v>51111111.111111104</v>
      </c>
      <c r="I39" s="33">
        <f>IFERROR(
IF(ISBLANK(Table_TSCD_KhauHao[[#This Row],[Tháng]]),
DATE(Table_TSCD_KhauHao[[#This Row],[Năm]],12,1),
DATE(Table_TSCD_KhauHao[[#This Row],[Năm]],Table_TSCD_KhauHao[[#This Row],[Tháng]],1)),0)</f>
        <v>45444</v>
      </c>
      <c r="J39" s="240">
        <v>2024</v>
      </c>
      <c r="K39" s="240">
        <v>6</v>
      </c>
      <c r="L39" s="244">
        <f>+Table_TSCD_KhauHao[[#This Row],[Khấu hao sản xuất]]+Table_TSCD_KhauHao[[#This Row],[Khấu hao bán hàng]]+Table_TSCD_KhauHao[[#This Row],[Khấu hao quản lý]]</f>
        <v>51111111.111111104</v>
      </c>
      <c r="M3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4">
        <f t="shared" si="0"/>
        <v>51111111.111111104</v>
      </c>
      <c r="Q39" s="240"/>
    </row>
    <row r="40" spans="2:17" ht="16.5" x14ac:dyDescent="0.3">
      <c r="B40" s="503" t="s">
        <v>1112</v>
      </c>
      <c r="C40" s="515">
        <v>30833333.333333332</v>
      </c>
      <c r="D40" s="515">
        <v>11250000</v>
      </c>
      <c r="E40" s="515">
        <v>9027777.777777778</v>
      </c>
      <c r="F40" s="515">
        <v>51111111.111111104</v>
      </c>
      <c r="I40" s="33">
        <f>IFERROR(
IF(ISBLANK(Table_TSCD_KhauHao[[#This Row],[Tháng]]),
DATE(Table_TSCD_KhauHao[[#This Row],[Năm]],12,1),
DATE(Table_TSCD_KhauHao[[#This Row],[Năm]],Table_TSCD_KhauHao[[#This Row],[Tháng]],1)),0)</f>
        <v>45413</v>
      </c>
      <c r="J40" s="240">
        <v>2024</v>
      </c>
      <c r="K40" s="240">
        <v>5</v>
      </c>
      <c r="L40" s="244">
        <f>+Table_TSCD_KhauHao[[#This Row],[Khấu hao sản xuất]]+Table_TSCD_KhauHao[[#This Row],[Khấu hao bán hàng]]+Table_TSCD_KhauHao[[#This Row],[Khấu hao quản lý]]</f>
        <v>51111111.111111104</v>
      </c>
      <c r="M4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4">
        <f t="shared" si="0"/>
        <v>51111111.111111104</v>
      </c>
      <c r="Q40" s="240"/>
    </row>
    <row r="41" spans="2:17" ht="16.5" x14ac:dyDescent="0.3">
      <c r="B41" s="503" t="s">
        <v>1113</v>
      </c>
      <c r="C41" s="515">
        <v>30833333.333333332</v>
      </c>
      <c r="D41" s="515">
        <v>11250000</v>
      </c>
      <c r="E41" s="515">
        <v>9027777.777777778</v>
      </c>
      <c r="F41" s="515">
        <v>51111111.111111104</v>
      </c>
      <c r="I41" s="33">
        <f>IFERROR(
IF(ISBLANK(Table_TSCD_KhauHao[[#This Row],[Tháng]]),
DATE(Table_TSCD_KhauHao[[#This Row],[Năm]],12,1),
DATE(Table_TSCD_KhauHao[[#This Row],[Năm]],Table_TSCD_KhauHao[[#This Row],[Tháng]],1)),0)</f>
        <v>45383</v>
      </c>
      <c r="J41" s="240">
        <v>2024</v>
      </c>
      <c r="K41" s="240">
        <v>4</v>
      </c>
      <c r="L41" s="244">
        <f>+Table_TSCD_KhauHao[[#This Row],[Khấu hao sản xuất]]+Table_TSCD_KhauHao[[#This Row],[Khấu hao bán hàng]]+Table_TSCD_KhauHao[[#This Row],[Khấu hao quản lý]]</f>
        <v>42777777.777777776</v>
      </c>
      <c r="M4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4">
        <f t="shared" si="0"/>
        <v>42777777.777777776</v>
      </c>
      <c r="Q41" s="240"/>
    </row>
    <row r="42" spans="2:17" ht="16.5" x14ac:dyDescent="0.3">
      <c r="B42" s="503" t="s">
        <v>1142</v>
      </c>
      <c r="C42" s="515">
        <v>30833333.333333332</v>
      </c>
      <c r="D42" s="515">
        <v>11250000</v>
      </c>
      <c r="E42" s="515">
        <v>9027777.777777778</v>
      </c>
      <c r="F42" s="515">
        <v>51111111.111111104</v>
      </c>
      <c r="I42" s="33">
        <f>IFERROR(
IF(ISBLANK(Table_TSCD_KhauHao[[#This Row],[Tháng]]),
DATE(Table_TSCD_KhauHao[[#This Row],[Năm]],12,1),
DATE(Table_TSCD_KhauHao[[#This Row],[Năm]],Table_TSCD_KhauHao[[#This Row],[Tháng]],1)),0)</f>
        <v>45352</v>
      </c>
      <c r="J42" s="240">
        <v>2024</v>
      </c>
      <c r="K42" s="240">
        <v>3</v>
      </c>
      <c r="L42" s="244">
        <f>+Table_TSCD_KhauHao[[#This Row],[Khấu hao sản xuất]]+Table_TSCD_KhauHao[[#This Row],[Khấu hao bán hàng]]+Table_TSCD_KhauHao[[#This Row],[Khấu hao quản lý]]</f>
        <v>42777777.777777776</v>
      </c>
      <c r="M4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4">
        <f t="shared" si="0"/>
        <v>42777777.777777776</v>
      </c>
      <c r="Q42" s="240"/>
    </row>
    <row r="43" spans="2:17" ht="16.5" x14ac:dyDescent="0.3">
      <c r="B43" s="503" t="s">
        <v>1143</v>
      </c>
      <c r="C43" s="515">
        <v>30833333.333333332</v>
      </c>
      <c r="D43" s="515">
        <v>11250000</v>
      </c>
      <c r="E43" s="515">
        <v>9027777.777777778</v>
      </c>
      <c r="F43" s="515">
        <v>51111111.111111104</v>
      </c>
      <c r="I43" s="33">
        <f>IFERROR(
IF(ISBLANK(Table_TSCD_KhauHao[[#This Row],[Tháng]]),
DATE(Table_TSCD_KhauHao[[#This Row],[Năm]],12,1),
DATE(Table_TSCD_KhauHao[[#This Row],[Năm]],Table_TSCD_KhauHao[[#This Row],[Tháng]],1)),0)</f>
        <v>45323</v>
      </c>
      <c r="J43" s="240">
        <v>2024</v>
      </c>
      <c r="K43" s="240">
        <v>2</v>
      </c>
      <c r="L43" s="244">
        <f>+Table_TSCD_KhauHao[[#This Row],[Khấu hao sản xuất]]+Table_TSCD_KhauHao[[#This Row],[Khấu hao bán hàng]]+Table_TSCD_KhauHao[[#This Row],[Khấu hao quản lý]]</f>
        <v>42083333.333333328</v>
      </c>
      <c r="M4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4">
        <f t="shared" si="0"/>
        <v>42083333.333333328</v>
      </c>
      <c r="Q43" s="240"/>
    </row>
    <row r="44" spans="2:17" ht="16.5" x14ac:dyDescent="0.3">
      <c r="B44" s="98" t="s">
        <v>1102</v>
      </c>
      <c r="C44" s="515">
        <v>522499999.99999988</v>
      </c>
      <c r="D44" s="515">
        <v>160416666.66666666</v>
      </c>
      <c r="E44" s="515">
        <v>73611111.111111104</v>
      </c>
      <c r="F44" s="515">
        <v>756527777.77777791</v>
      </c>
      <c r="I44" s="33">
        <f>IFERROR(
IF(ISBLANK(Table_TSCD_KhauHao[[#This Row],[Tháng]]),
DATE(Table_TSCD_KhauHao[[#This Row],[Năm]],12,1),
DATE(Table_TSCD_KhauHao[[#This Row],[Năm]],Table_TSCD_KhauHao[[#This Row],[Tháng]],1)),0)</f>
        <v>45292</v>
      </c>
      <c r="J44" s="240">
        <v>2024</v>
      </c>
      <c r="K44" s="240">
        <v>1</v>
      </c>
      <c r="L44" s="244">
        <f>+Table_TSCD_KhauHao[[#This Row],[Khấu hao sản xuất]]+Table_TSCD_KhauHao[[#This Row],[Khấu hao bán hàng]]+Table_TSCD_KhauHao[[#This Row],[Khấu hao quản lý]]</f>
        <v>42083333.333333328</v>
      </c>
      <c r="M44"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4">
        <f t="shared" si="0"/>
        <v>42083333.333333328</v>
      </c>
      <c r="Q44" s="240"/>
    </row>
    <row r="45" spans="2:17" ht="16.5" x14ac:dyDescent="0.3">
      <c r="B45"/>
      <c r="C45"/>
      <c r="D45"/>
      <c r="E45"/>
      <c r="F45"/>
      <c r="I45" s="33">
        <f>IFERROR(
IF(ISBLANK(Table_TSCD_KhauHao[[#This Row],[Tháng]]),
DATE(Table_TSCD_KhauHao[[#This Row],[Năm]],12,1),
DATE(Table_TSCD_KhauHao[[#This Row],[Năm]],Table_TSCD_KhauHao[[#This Row],[Tháng]],1)),0)</f>
        <v>45261</v>
      </c>
      <c r="J45" s="240">
        <v>2023</v>
      </c>
      <c r="K45" s="240">
        <v>12</v>
      </c>
      <c r="L45" s="244">
        <f>+Table_TSCD_KhauHao[[#This Row],[Khấu hao sản xuất]]+Table_TSCD_KhauHao[[#This Row],[Khấu hao bán hàng]]+Table_TSCD_KhauHao[[#This Row],[Khấu hao quản lý]]</f>
        <v>42083333.333333328</v>
      </c>
      <c r="M45"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4">
        <f t="shared" si="0"/>
        <v>42083333.333333328</v>
      </c>
      <c r="Q45" s="240"/>
    </row>
    <row r="46" spans="2:17" ht="16.5" x14ac:dyDescent="0.3">
      <c r="B46"/>
      <c r="C46"/>
      <c r="D46"/>
      <c r="E46"/>
      <c r="F46"/>
      <c r="I46" s="33">
        <f>IFERROR(
IF(ISBLANK(Table_TSCD_KhauHao[[#This Row],[Tháng]]),
DATE(Table_TSCD_KhauHao[[#This Row],[Năm]],12,1),
DATE(Table_TSCD_KhauHao[[#This Row],[Năm]],Table_TSCD_KhauHao[[#This Row],[Tháng]],1)),0)</f>
        <v>45231</v>
      </c>
      <c r="J46" s="240">
        <v>2023</v>
      </c>
      <c r="K46" s="240">
        <v>11</v>
      </c>
      <c r="L46" s="244">
        <f>+Table_TSCD_KhauHao[[#This Row],[Khấu hao sản xuất]]+Table_TSCD_KhauHao[[#This Row],[Khấu hao bán hàng]]+Table_TSCD_KhauHao[[#This Row],[Khấu hao quản lý]]</f>
        <v>42083333.333333328</v>
      </c>
      <c r="M46"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4">
        <f t="shared" si="0"/>
        <v>42083333.333333328</v>
      </c>
      <c r="Q46" s="240"/>
    </row>
    <row r="47" spans="2:17" ht="16.5" x14ac:dyDescent="0.3">
      <c r="B47"/>
      <c r="C47"/>
      <c r="D47"/>
      <c r="E47"/>
      <c r="F47"/>
      <c r="I47" s="33">
        <f>IFERROR(
IF(ISBLANK(Table_TSCD_KhauHao[[#This Row],[Tháng]]),
DATE(Table_TSCD_KhauHao[[#This Row],[Năm]],12,1),
DATE(Table_TSCD_KhauHao[[#This Row],[Năm]],Table_TSCD_KhauHao[[#This Row],[Tháng]],1)),0)</f>
        <v>45200</v>
      </c>
      <c r="J47" s="240">
        <v>2023</v>
      </c>
      <c r="K47" s="240">
        <v>10</v>
      </c>
      <c r="L47" s="244">
        <f>+Table_TSCD_KhauHao[[#This Row],[Khấu hao sản xuất]]+Table_TSCD_KhauHao[[#This Row],[Khấu hao bán hàng]]+Table_TSCD_KhauHao[[#This Row],[Khấu hao quản lý]]</f>
        <v>33750000</v>
      </c>
      <c r="M47"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4">
        <f t="shared" si="0"/>
        <v>33750000</v>
      </c>
      <c r="Q47" s="240"/>
    </row>
    <row r="48" spans="2:17" ht="16.5" x14ac:dyDescent="0.3">
      <c r="B48"/>
      <c r="C48"/>
      <c r="D48"/>
      <c r="E48"/>
      <c r="F48"/>
      <c r="I48" s="33">
        <f>IFERROR(
IF(ISBLANK(Table_TSCD_KhauHao[[#This Row],[Tháng]]),
DATE(Table_TSCD_KhauHao[[#This Row],[Năm]],12,1),
DATE(Table_TSCD_KhauHao[[#This Row],[Năm]],Table_TSCD_KhauHao[[#This Row],[Tháng]],1)),0)</f>
        <v>45170</v>
      </c>
      <c r="J48" s="240">
        <v>2023</v>
      </c>
      <c r="K48" s="240">
        <v>9</v>
      </c>
      <c r="L48" s="244">
        <f>+Table_TSCD_KhauHao[[#This Row],[Khấu hao sản xuất]]+Table_TSCD_KhauHao[[#This Row],[Khấu hao bán hàng]]+Table_TSCD_KhauHao[[#This Row],[Khấu hao quản lý]]</f>
        <v>10000000</v>
      </c>
      <c r="M48"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4">
        <f t="shared" si="0"/>
        <v>10000000</v>
      </c>
      <c r="Q48" s="240"/>
    </row>
    <row r="49" spans="2:17" ht="16.5" x14ac:dyDescent="0.3">
      <c r="B49"/>
      <c r="C49"/>
      <c r="D49"/>
      <c r="E49"/>
      <c r="F49"/>
      <c r="I49" s="33">
        <f>IFERROR(
IF(ISBLANK(Table_TSCD_KhauHao[[#This Row],[Tháng]]),
DATE(Table_TSCD_KhauHao[[#This Row],[Năm]],12,1),
DATE(Table_TSCD_KhauHao[[#This Row],[Năm]],Table_TSCD_KhauHao[[#This Row],[Tháng]],1)),0)</f>
        <v>45139</v>
      </c>
      <c r="J49" s="240">
        <v>2023</v>
      </c>
      <c r="K49" s="240">
        <v>8</v>
      </c>
      <c r="L49" s="244">
        <f>+Table_TSCD_KhauHao[[#This Row],[Khấu hao sản xuất]]+Table_TSCD_KhauHao[[#This Row],[Khấu hao bán hàng]]+Table_TSCD_KhauHao[[#This Row],[Khấu hao quản lý]]</f>
        <v>10000000</v>
      </c>
      <c r="M49"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4">
        <f t="shared" si="0"/>
        <v>10000000</v>
      </c>
      <c r="Q49" s="240"/>
    </row>
    <row r="50" spans="2:17" ht="16.5" x14ac:dyDescent="0.3">
      <c r="B50"/>
      <c r="C50"/>
      <c r="D50"/>
      <c r="E50"/>
      <c r="F50"/>
      <c r="I50" s="33">
        <f>IFERROR(
IF(ISBLANK(Table_TSCD_KhauHao[[#This Row],[Tháng]]),
DATE(Table_TSCD_KhauHao[[#This Row],[Năm]],12,1),
DATE(Table_TSCD_KhauHao[[#This Row],[Năm]],Table_TSCD_KhauHao[[#This Row],[Tháng]],1)),0)</f>
        <v>45108</v>
      </c>
      <c r="J50" s="240">
        <v>2023</v>
      </c>
      <c r="K50" s="240">
        <v>7</v>
      </c>
      <c r="L50" s="244">
        <f>+Table_TSCD_KhauHao[[#This Row],[Khấu hao sản xuất]]+Table_TSCD_KhauHao[[#This Row],[Khấu hao bán hàng]]+Table_TSCD_KhauHao[[#This Row],[Khấu hao quản lý]]</f>
        <v>10000000</v>
      </c>
      <c r="M50"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4">
        <f t="shared" si="0"/>
        <v>10000000</v>
      </c>
      <c r="Q50" s="240"/>
    </row>
    <row r="51" spans="2:17" ht="16.5" x14ac:dyDescent="0.3">
      <c r="B51"/>
      <c r="C51"/>
      <c r="D51"/>
      <c r="E51"/>
      <c r="F51"/>
      <c r="I51" s="33">
        <f>IFERROR(
IF(ISBLANK(Table_TSCD_KhauHao[[#This Row],[Tháng]]),
DATE(Table_TSCD_KhauHao[[#This Row],[Năm]],12,1),
DATE(Table_TSCD_KhauHao[[#This Row],[Năm]],Table_TSCD_KhauHao[[#This Row],[Tháng]],1)),0)</f>
        <v>45078</v>
      </c>
      <c r="J51" s="240">
        <v>2023</v>
      </c>
      <c r="K51" s="240">
        <v>6</v>
      </c>
      <c r="L51" s="244">
        <f>+Table_TSCD_KhauHao[[#This Row],[Khấu hao sản xuất]]+Table_TSCD_KhauHao[[#This Row],[Khấu hao bán hàng]]+Table_TSCD_KhauHao[[#This Row],[Khấu hao quản lý]]</f>
        <v>10000000</v>
      </c>
      <c r="M51"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4">
        <f t="shared" si="0"/>
        <v>10000000</v>
      </c>
      <c r="Q51" s="240"/>
    </row>
    <row r="52" spans="2:17" ht="16.5" x14ac:dyDescent="0.3">
      <c r="B52"/>
      <c r="C52"/>
      <c r="D52"/>
      <c r="E52"/>
      <c r="F52"/>
      <c r="I52" s="33">
        <f>IFERROR(
IF(ISBLANK(Table_TSCD_KhauHao[[#This Row],[Tháng]]),
DATE(Table_TSCD_KhauHao[[#This Row],[Năm]],12,1),
DATE(Table_TSCD_KhauHao[[#This Row],[Năm]],Table_TSCD_KhauHao[[#This Row],[Tháng]],1)),0)</f>
        <v>45047</v>
      </c>
      <c r="J52" s="240">
        <v>2023</v>
      </c>
      <c r="K52" s="240">
        <v>5</v>
      </c>
      <c r="L52" s="244">
        <f>+Table_TSCD_KhauHao[[#This Row],[Khấu hao sản xuất]]+Table_TSCD_KhauHao[[#This Row],[Khấu hao bán hàng]]+Table_TSCD_KhauHao[[#This Row],[Khấu hao quản lý]]</f>
        <v>10000000</v>
      </c>
      <c r="M52"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4">
        <f t="shared" si="0"/>
        <v>10000000</v>
      </c>
      <c r="Q52" s="240"/>
    </row>
    <row r="53" spans="2:17" ht="16.5" x14ac:dyDescent="0.3">
      <c r="B53"/>
      <c r="C53"/>
      <c r="D53"/>
      <c r="E53"/>
      <c r="F53"/>
      <c r="I53" s="33">
        <f>IFERROR(
IF(ISBLANK(Table_TSCD_KhauHao[[#This Row],[Tháng]]),
DATE(Table_TSCD_KhauHao[[#This Row],[Năm]],12,1),
DATE(Table_TSCD_KhauHao[[#This Row],[Năm]],Table_TSCD_KhauHao[[#This Row],[Tháng]],1)),0)</f>
        <v>45017</v>
      </c>
      <c r="J53" s="240">
        <v>2023</v>
      </c>
      <c r="K53" s="240">
        <v>4</v>
      </c>
      <c r="L53" s="244">
        <f>+Table_TSCD_KhauHao[[#This Row],[Khấu hao sản xuất]]+Table_TSCD_KhauHao[[#This Row],[Khấu hao bán hàng]]+Table_TSCD_KhauHao[[#This Row],[Khấu hao quản lý]]</f>
        <v>10000000</v>
      </c>
      <c r="M53" s="256">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6">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6">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4">
        <f t="shared" si="0"/>
        <v>10000000</v>
      </c>
      <c r="Q53" s="240"/>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F17" sqref="F17"/>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0"/>
      <c r="C1" s="240"/>
      <c r="D1" s="240"/>
      <c r="E1" s="240"/>
      <c r="F1" s="240"/>
      <c r="G1" s="240"/>
      <c r="H1" s="240"/>
      <c r="I1" s="240"/>
      <c r="J1" s="240"/>
      <c r="K1" s="240"/>
    </row>
    <row r="2" spans="2:11" ht="18" customHeight="1" collapsed="1" x14ac:dyDescent="0.3">
      <c r="B2" s="240"/>
      <c r="C2" s="240"/>
      <c r="D2" s="240"/>
      <c r="E2" s="240"/>
      <c r="F2" s="240"/>
      <c r="G2" s="240"/>
      <c r="H2" s="240"/>
      <c r="I2" s="240"/>
      <c r="J2" s="240"/>
      <c r="K2" s="240"/>
    </row>
    <row r="3" spans="2:11" ht="18" hidden="1" customHeight="1" outlineLevel="1" x14ac:dyDescent="0.3">
      <c r="B3" s="240"/>
      <c r="C3" s="240"/>
      <c r="D3" s="240"/>
      <c r="E3" s="42" t="s">
        <v>663</v>
      </c>
      <c r="F3" s="42" t="s">
        <v>664</v>
      </c>
      <c r="G3" s="240"/>
      <c r="H3" s="240"/>
      <c r="I3" s="240"/>
      <c r="J3" s="240"/>
      <c r="K3" s="240"/>
    </row>
    <row r="4" spans="2:11" ht="18" hidden="1" customHeight="1" outlineLevel="1" x14ac:dyDescent="0.3">
      <c r="B4" s="240"/>
      <c r="C4" s="240"/>
      <c r="D4" s="240"/>
      <c r="E4" s="177" t="s">
        <v>665</v>
      </c>
      <c r="F4" s="243"/>
      <c r="G4" s="240"/>
      <c r="H4" s="240"/>
      <c r="I4" s="240"/>
      <c r="J4" s="240"/>
      <c r="K4" s="240"/>
    </row>
    <row r="5" spans="2:11" ht="18" hidden="1" customHeight="1" outlineLevel="1" x14ac:dyDescent="0.3">
      <c r="B5" s="240"/>
      <c r="C5" s="240"/>
      <c r="D5" s="240"/>
      <c r="E5" s="177" t="s">
        <v>666</v>
      </c>
      <c r="F5" s="243"/>
      <c r="G5" s="240"/>
      <c r="H5" s="240"/>
      <c r="I5" s="240"/>
      <c r="J5" s="240"/>
      <c r="K5" s="240"/>
    </row>
    <row r="6" spans="2:11" ht="18" hidden="1" customHeight="1" outlineLevel="1" x14ac:dyDescent="0.3">
      <c r="B6" s="240"/>
      <c r="C6" s="240"/>
      <c r="D6" s="240"/>
      <c r="E6" s="177" t="s">
        <v>648</v>
      </c>
      <c r="F6" s="243"/>
      <c r="G6" s="240"/>
      <c r="H6" s="240"/>
      <c r="I6" s="240"/>
      <c r="J6" s="240"/>
      <c r="K6" s="240"/>
    </row>
    <row r="7" spans="2:11" ht="18" hidden="1" customHeight="1" outlineLevel="1" x14ac:dyDescent="0.3">
      <c r="B7" s="240"/>
      <c r="C7" s="240"/>
      <c r="D7" s="240"/>
      <c r="E7" s="177" t="s">
        <v>667</v>
      </c>
      <c r="F7" s="243"/>
      <c r="G7" s="240"/>
      <c r="H7" s="240"/>
      <c r="I7" s="240"/>
      <c r="J7" s="240"/>
      <c r="K7" s="240"/>
    </row>
    <row r="8" spans="2:11" ht="18" hidden="1" customHeight="1" outlineLevel="1" x14ac:dyDescent="0.3">
      <c r="B8" s="240"/>
      <c r="C8" s="240"/>
      <c r="D8" s="240"/>
      <c r="E8" s="178" t="s">
        <v>668</v>
      </c>
      <c r="F8" s="243"/>
      <c r="G8" s="240"/>
      <c r="H8" s="240"/>
      <c r="I8" s="240"/>
      <c r="J8" s="240"/>
      <c r="K8" s="240"/>
    </row>
    <row r="9" spans="2:11" ht="18" hidden="1" customHeight="1" outlineLevel="1" x14ac:dyDescent="0.3">
      <c r="B9" s="240"/>
      <c r="C9" s="240"/>
      <c r="D9" s="240"/>
      <c r="E9" s="177" t="s">
        <v>669</v>
      </c>
      <c r="F9" s="243"/>
      <c r="G9" s="240"/>
      <c r="H9" s="240"/>
      <c r="I9" s="240"/>
      <c r="J9" s="240"/>
      <c r="K9" s="240"/>
    </row>
    <row r="10" spans="2:11" ht="18" hidden="1" customHeight="1" outlineLevel="1" x14ac:dyDescent="0.3">
      <c r="B10" s="240"/>
      <c r="C10" s="240"/>
      <c r="D10" s="240"/>
      <c r="E10" s="178" t="s">
        <v>280</v>
      </c>
      <c r="F10" s="259"/>
      <c r="G10" s="240"/>
      <c r="H10" s="240"/>
      <c r="I10" s="240"/>
      <c r="J10" s="240"/>
      <c r="K10" s="240"/>
    </row>
    <row r="11" spans="2:11" ht="18" hidden="1" customHeight="1" outlineLevel="1" x14ac:dyDescent="0.3">
      <c r="B11" s="240"/>
      <c r="C11" s="240"/>
      <c r="D11" s="240"/>
      <c r="E11" s="303"/>
      <c r="F11" s="240"/>
      <c r="G11" s="240"/>
      <c r="H11" s="240"/>
      <c r="I11" s="240"/>
      <c r="J11" s="240"/>
      <c r="K11" s="240"/>
    </row>
    <row r="12" spans="2:11" ht="18" customHeight="1" x14ac:dyDescent="0.3">
      <c r="B12" s="7" t="s">
        <v>3</v>
      </c>
      <c r="C12" s="7" t="s">
        <v>2</v>
      </c>
      <c r="D12" s="7" t="s">
        <v>1</v>
      </c>
      <c r="E12" s="7" t="s">
        <v>670</v>
      </c>
      <c r="F12" s="7" t="s">
        <v>671</v>
      </c>
      <c r="G12" s="7" t="s">
        <v>653</v>
      </c>
      <c r="H12" s="7" t="s">
        <v>672</v>
      </c>
      <c r="I12" s="7" t="s">
        <v>673</v>
      </c>
      <c r="J12" s="7" t="s">
        <v>1243</v>
      </c>
      <c r="K12" s="7" t="s">
        <v>873</v>
      </c>
    </row>
    <row r="13" spans="2:11" ht="18" customHeight="1" x14ac:dyDescent="0.3">
      <c r="B13" s="302">
        <f>IFERROR(
DATE(C13,D13,1),0)</f>
        <v>0</v>
      </c>
      <c r="C13" s="240"/>
      <c r="D13" s="240"/>
      <c r="E13" s="240"/>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(ISBLANK(Table_DonBan[Phân bổ từ]))*
(ISBLANK(Table_DonBan[Phân bổ đến]))*
(YEAR(Table_DonBan[Ngày lập]) = Table_NopNS[[#This Row],[Năm]])*
(MONTH(Table_DonBan[Ngày lập]) = Table_NopNS[[#This Row],[Tháng]])
)),0)
+IFERROR(
SUMPRODUCT(
_xlfn._xlws.FILTER(Table_DonBan[Doanh thu ròng],
(NOT(ISBLANK(Table_DonBan[Phân bổ từ])))*
(NOT(ISBLANK(Table_DonBan[Phân bổ đến])))*
(Table_DonBan[Phân bổ từ] &lt;= DATE(Table_NopNS[[#This Row],[Kỳ]],Table_NopNS[[#This Row],[Kỳ]]+1,1))*
(Table_DonBan[Phân bổ đến] &gt; Table_NopNS[[#This Row],[Kỳ]])
),
1/_xlfn._xlws.FILTER(
ROUND((Table_DonBan[Phân bổ đến]-Table_DonBan[Phân bổ từ])/(365.25/12),0),
(NOT(ISBLANK(Table_DonBan[Phân bổ từ])))*
(NOT(ISBLANK(Table_DonBan[Phân bổ đến])))*
(Table_DonBan[Phân bổ từ] &lt;= DATE(Table_NopNS[[#This Row],[Kỳ]],Table_NopNS[[#This Row],[Kỳ]]+1,1))*
(Table_DonBan[Phân bổ đến] &gt; Table_NopNS[[#This Row],[Kỳ]])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0"/>
    </row>
  </sheetData>
  <sheetProtection algorithmName="SHA-512" hashValue="GNnD7WBh1kHPTMVr9uEyF0cqx+zrZcdWAlg6kl3TXqS65uJDE9t4lYtOnbElBIPlUxxflXINob+5DC3HK5dsMA==" saltValue="QTltQRCDybcZxPD4PODbp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69"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0"/>
      <c r="K1" s="240"/>
      <c r="L1" s="240"/>
      <c r="M1" s="240"/>
      <c r="N1" s="240"/>
      <c r="O1" s="240"/>
      <c r="P1" s="240"/>
      <c r="Q1" s="240"/>
      <c r="R1" s="240"/>
      <c r="S1" s="240"/>
      <c r="T1" s="240"/>
      <c r="U1" s="240"/>
      <c r="V1" s="240"/>
      <c r="W1" s="240"/>
      <c r="X1" s="240"/>
      <c r="Y1" s="240"/>
      <c r="Z1" s="240"/>
      <c r="AA1" s="240"/>
    </row>
    <row r="2" spans="10:27" ht="18" customHeight="1" x14ac:dyDescent="0.3">
      <c r="J2" s="240"/>
      <c r="K2" s="240"/>
      <c r="L2" s="240"/>
      <c r="M2" s="240"/>
      <c r="N2" s="240"/>
      <c r="O2" s="240"/>
      <c r="P2" s="240"/>
      <c r="Q2" s="240"/>
      <c r="R2" s="240"/>
      <c r="S2" s="240"/>
      <c r="T2" s="240"/>
      <c r="U2" s="240"/>
      <c r="V2" s="240"/>
      <c r="W2" s="240"/>
      <c r="X2" s="240"/>
      <c r="Y2" s="240"/>
      <c r="Z2" s="240"/>
      <c r="AA2" s="240"/>
    </row>
    <row r="3" spans="10:27" ht="18" customHeight="1" outlineLevel="1" x14ac:dyDescent="0.3">
      <c r="J3" s="240"/>
      <c r="K3" s="240"/>
      <c r="L3" s="240"/>
      <c r="M3" s="240"/>
      <c r="N3" s="240"/>
      <c r="O3" s="240"/>
      <c r="P3" s="240"/>
      <c r="Q3" s="240"/>
      <c r="R3" s="240"/>
      <c r="S3" s="240"/>
      <c r="T3" s="240"/>
      <c r="U3" s="240"/>
      <c r="V3" s="240"/>
      <c r="W3" s="240"/>
      <c r="X3" s="240"/>
      <c r="Y3" s="240"/>
      <c r="Z3" s="240"/>
      <c r="AA3" s="240"/>
    </row>
    <row r="4" spans="10:27" ht="18" customHeight="1" outlineLevel="1" x14ac:dyDescent="0.3">
      <c r="J4" s="240"/>
      <c r="K4" s="240"/>
      <c r="L4" s="240"/>
      <c r="M4" s="240"/>
      <c r="N4" s="240"/>
      <c r="O4" s="240"/>
      <c r="P4" s="240"/>
      <c r="Q4" s="240"/>
      <c r="R4" s="240"/>
      <c r="S4" s="240"/>
      <c r="T4" s="240"/>
      <c r="U4" s="240"/>
      <c r="V4" s="240"/>
      <c r="W4" s="240"/>
      <c r="X4" s="240"/>
      <c r="Y4" s="240"/>
      <c r="Z4" s="240"/>
      <c r="AA4" s="240"/>
    </row>
    <row r="5" spans="10:27" ht="18" customHeight="1" outlineLevel="1" x14ac:dyDescent="0.3">
      <c r="J5" s="240"/>
      <c r="K5" s="240"/>
      <c r="L5" s="240"/>
      <c r="M5" s="240"/>
      <c r="N5" s="240"/>
      <c r="O5" s="240"/>
      <c r="P5" s="240"/>
      <c r="Q5" s="240"/>
      <c r="R5" s="240"/>
      <c r="S5" s="240"/>
      <c r="T5" s="240"/>
      <c r="U5" s="240"/>
      <c r="V5" s="240"/>
      <c r="W5" s="240"/>
      <c r="X5" s="240"/>
      <c r="Y5" s="240"/>
      <c r="Z5" s="240"/>
      <c r="AA5" s="240"/>
    </row>
    <row r="6" spans="10:27" ht="18" customHeight="1" outlineLevel="1" x14ac:dyDescent="0.3">
      <c r="J6" s="240"/>
      <c r="K6" s="240"/>
      <c r="L6" s="240"/>
      <c r="M6" s="240"/>
      <c r="N6" s="240"/>
      <c r="O6" s="240"/>
      <c r="P6" s="240"/>
      <c r="Q6" s="240"/>
      <c r="R6" s="240"/>
      <c r="S6" s="240"/>
      <c r="T6" s="240"/>
      <c r="U6" s="240"/>
      <c r="V6" s="240"/>
      <c r="W6" s="240"/>
      <c r="X6" s="240"/>
      <c r="Y6" s="240"/>
      <c r="Z6" s="240"/>
      <c r="AA6" s="240"/>
    </row>
    <row r="7" spans="10:27" ht="18" customHeight="1" outlineLevel="1" x14ac:dyDescent="0.3">
      <c r="J7" s="240"/>
      <c r="K7" s="240"/>
      <c r="L7" s="240"/>
      <c r="M7" s="240"/>
      <c r="N7" s="240"/>
      <c r="O7" s="240"/>
      <c r="P7" s="240"/>
      <c r="Q7" s="240"/>
      <c r="R7" s="240"/>
      <c r="S7" s="240"/>
      <c r="T7" s="240"/>
      <c r="U7" s="240"/>
      <c r="V7" s="240"/>
      <c r="W7" s="240"/>
      <c r="X7" s="240"/>
      <c r="Y7" s="240"/>
      <c r="Z7" s="240"/>
      <c r="AA7" s="240"/>
    </row>
    <row r="8" spans="10:27" ht="18" customHeight="1" outlineLevel="1" x14ac:dyDescent="0.3">
      <c r="J8" s="240"/>
      <c r="K8" s="240"/>
      <c r="L8" s="240"/>
      <c r="M8" s="240"/>
      <c r="N8" s="240"/>
      <c r="O8" s="240"/>
      <c r="P8" s="240"/>
      <c r="Q8" s="240"/>
      <c r="R8" s="240"/>
      <c r="S8" s="240"/>
      <c r="T8" s="240"/>
      <c r="U8" s="240"/>
      <c r="V8" s="240"/>
      <c r="W8" s="240"/>
      <c r="X8" s="240"/>
      <c r="Y8" s="240"/>
      <c r="Z8" s="240"/>
      <c r="AA8" s="240"/>
    </row>
    <row r="9" spans="10:27" ht="18" customHeight="1" outlineLevel="1" x14ac:dyDescent="0.3">
      <c r="J9" s="240"/>
      <c r="K9" s="240"/>
      <c r="L9" s="240"/>
      <c r="M9" s="240"/>
      <c r="N9" s="240"/>
      <c r="O9" s="240"/>
      <c r="P9" s="240"/>
      <c r="Q9" s="240"/>
      <c r="R9" s="240"/>
      <c r="S9" s="240"/>
      <c r="T9" s="240"/>
      <c r="U9" s="240"/>
      <c r="V9" s="240"/>
      <c r="W9" s="240"/>
      <c r="X9" s="240"/>
      <c r="Y9" s="240"/>
      <c r="Z9" s="240"/>
      <c r="AA9" s="240"/>
    </row>
    <row r="10" spans="10:27" ht="18" customHeight="1" outlineLevel="1" x14ac:dyDescent="0.3">
      <c r="J10" s="240"/>
      <c r="K10" s="240"/>
      <c r="L10" s="240"/>
      <c r="M10" s="240"/>
      <c r="N10" s="240"/>
      <c r="O10" s="240"/>
      <c r="P10" s="240"/>
      <c r="Q10" s="240"/>
      <c r="R10" s="240"/>
      <c r="S10" s="240"/>
      <c r="T10" s="240"/>
      <c r="U10" s="240"/>
      <c r="V10" s="240"/>
      <c r="W10" s="240"/>
      <c r="X10" s="240"/>
      <c r="Y10" s="240"/>
      <c r="Z10" s="240"/>
      <c r="AA10" s="240"/>
    </row>
    <row r="11" spans="10:27" ht="18" customHeight="1" outlineLevel="1" x14ac:dyDescent="0.3">
      <c r="J11" s="240"/>
      <c r="K11" s="240"/>
      <c r="L11" s="240"/>
      <c r="M11" s="240"/>
      <c r="N11" s="240"/>
      <c r="O11" s="240"/>
      <c r="P11" s="240"/>
      <c r="Q11" s="240"/>
      <c r="R11" s="240"/>
      <c r="S11" s="240"/>
      <c r="T11" s="240"/>
      <c r="U11" s="240"/>
      <c r="V11" s="240"/>
      <c r="W11" s="240"/>
      <c r="X11" s="240"/>
      <c r="Y11" s="240"/>
      <c r="Z11" s="240"/>
      <c r="AA11" s="240"/>
    </row>
    <row r="12" spans="10:27" ht="18" customHeight="1" outlineLevel="1" x14ac:dyDescent="0.3">
      <c r="J12" s="240"/>
      <c r="K12" s="240"/>
      <c r="L12" s="240"/>
      <c r="M12" s="240"/>
      <c r="N12" s="240"/>
      <c r="O12" s="240"/>
      <c r="P12" s="240"/>
      <c r="Q12" s="240"/>
      <c r="R12" s="240"/>
      <c r="S12" s="240"/>
      <c r="T12" s="240"/>
      <c r="U12" s="240"/>
      <c r="V12" s="240"/>
      <c r="W12" s="240"/>
      <c r="X12" s="240"/>
      <c r="Y12" s="240"/>
      <c r="Z12" s="240"/>
      <c r="AA12" s="240"/>
    </row>
    <row r="13" spans="10:27" ht="18" customHeight="1" outlineLevel="1" x14ac:dyDescent="0.3">
      <c r="J13" s="240"/>
      <c r="K13" s="240"/>
      <c r="L13" s="240"/>
      <c r="M13" s="240"/>
      <c r="N13" s="240"/>
      <c r="O13" s="240"/>
      <c r="P13" s="240"/>
      <c r="Q13" s="240"/>
      <c r="R13" s="240"/>
      <c r="S13" s="240"/>
      <c r="T13" s="240"/>
      <c r="U13" s="240"/>
      <c r="V13" s="240"/>
      <c r="W13" s="240"/>
      <c r="X13" s="240"/>
      <c r="Y13" s="240"/>
      <c r="Z13" s="240"/>
      <c r="AA13" s="240"/>
    </row>
    <row r="14" spans="10:27" ht="18" customHeight="1" outlineLevel="1" x14ac:dyDescent="0.3">
      <c r="J14" s="240"/>
      <c r="K14" s="240"/>
      <c r="L14" s="240"/>
      <c r="M14" s="240"/>
      <c r="N14" s="240"/>
      <c r="O14" s="240"/>
      <c r="P14" s="240"/>
      <c r="Q14" s="240"/>
      <c r="R14" s="240"/>
      <c r="S14" s="240"/>
      <c r="T14" s="240"/>
      <c r="U14" s="240"/>
      <c r="V14" s="240"/>
      <c r="W14" s="240"/>
      <c r="X14" s="240"/>
      <c r="Y14" s="240"/>
      <c r="Z14" s="240"/>
      <c r="AA14" s="240"/>
    </row>
    <row r="15" spans="10:27" ht="18" customHeight="1" outlineLevel="1" x14ac:dyDescent="0.3">
      <c r="J15" s="240"/>
      <c r="K15" s="240"/>
      <c r="L15" s="240"/>
      <c r="M15" s="240"/>
      <c r="N15" s="240"/>
      <c r="O15" s="240"/>
      <c r="P15" s="240"/>
      <c r="Q15" s="240"/>
      <c r="R15" s="240"/>
      <c r="S15" s="240"/>
      <c r="T15" s="240"/>
      <c r="U15" s="240"/>
      <c r="V15" s="240"/>
      <c r="W15" s="240"/>
      <c r="X15" s="240"/>
      <c r="Y15" s="240"/>
      <c r="Z15" s="240"/>
      <c r="AA15" s="240"/>
    </row>
    <row r="16" spans="10:27" ht="18" customHeight="1" outlineLevel="1" x14ac:dyDescent="0.3">
      <c r="J16" s="240"/>
      <c r="K16" s="240"/>
      <c r="L16" s="240"/>
      <c r="M16" s="240"/>
      <c r="N16" s="240"/>
      <c r="O16" s="240"/>
      <c r="P16" s="240"/>
      <c r="Q16" s="240"/>
      <c r="R16" s="240"/>
      <c r="S16" s="240"/>
      <c r="T16" s="240"/>
      <c r="U16" s="240"/>
      <c r="V16" s="240"/>
      <c r="W16" s="240"/>
      <c r="X16" s="240"/>
      <c r="Y16" s="240"/>
      <c r="Z16" s="240"/>
      <c r="AA16" s="240"/>
    </row>
    <row r="17" spans="2:27" ht="18" customHeight="1" outlineLevel="1" x14ac:dyDescent="0.3">
      <c r="G17" s="97" t="s">
        <v>1117</v>
      </c>
      <c r="H17" t="s">
        <v>1120</v>
      </c>
      <c r="J17" s="240"/>
      <c r="K17" s="240"/>
      <c r="L17" s="240"/>
      <c r="M17" s="240"/>
      <c r="N17" s="240"/>
      <c r="O17" s="240"/>
      <c r="P17" s="240"/>
      <c r="Q17" s="240"/>
      <c r="R17" s="240"/>
      <c r="S17" s="240"/>
      <c r="T17" s="240"/>
      <c r="U17" s="240"/>
      <c r="V17" s="240"/>
      <c r="W17" s="240"/>
      <c r="X17" s="240"/>
      <c r="Y17" s="240"/>
      <c r="Z17" s="240"/>
      <c r="AA17" s="240"/>
    </row>
    <row r="18" spans="2:27" ht="18" customHeight="1" outlineLevel="1" x14ac:dyDescent="0.3">
      <c r="G18" s="97" t="s">
        <v>1118</v>
      </c>
      <c r="H18" t="s">
        <v>1116</v>
      </c>
      <c r="J18" s="240"/>
      <c r="K18" s="240"/>
      <c r="L18" s="240"/>
      <c r="M18" s="240"/>
      <c r="N18" s="240"/>
      <c r="O18" s="240"/>
      <c r="P18" s="240"/>
      <c r="Q18" s="240"/>
      <c r="R18" s="240"/>
      <c r="S18" s="240"/>
      <c r="T18" s="240"/>
      <c r="U18" s="240"/>
      <c r="V18" s="240"/>
      <c r="W18" s="240"/>
      <c r="X18" s="240"/>
      <c r="Y18" s="240"/>
      <c r="Z18" s="240"/>
      <c r="AA18" s="240"/>
    </row>
    <row r="19" spans="2:27" ht="18" customHeight="1" outlineLevel="1" x14ac:dyDescent="0.3">
      <c r="G19" s="97" t="s">
        <v>923</v>
      </c>
      <c r="H19" t="s">
        <v>1116</v>
      </c>
      <c r="J19" s="240"/>
      <c r="K19" s="240"/>
      <c r="L19" s="240"/>
      <c r="M19" s="240"/>
      <c r="N19" s="240"/>
      <c r="O19" s="240"/>
      <c r="P19" s="240"/>
      <c r="Q19" s="240"/>
      <c r="R19" s="240"/>
      <c r="S19" s="240"/>
      <c r="T19" s="240"/>
      <c r="U19" s="240"/>
      <c r="V19" s="240"/>
      <c r="W19" s="240"/>
      <c r="X19" s="240"/>
      <c r="Y19" s="240"/>
      <c r="Z19" s="240"/>
      <c r="AA19" s="240"/>
    </row>
    <row r="20" spans="2:27" ht="18" customHeight="1" x14ac:dyDescent="0.3">
      <c r="J20" s="240"/>
      <c r="K20" s="240"/>
      <c r="L20" s="240"/>
      <c r="M20" s="240"/>
      <c r="N20" s="240"/>
      <c r="O20" s="240"/>
      <c r="P20" s="240"/>
      <c r="Q20" s="240"/>
      <c r="R20" s="240"/>
      <c r="S20" s="240"/>
      <c r="T20" s="240"/>
      <c r="U20" s="240"/>
      <c r="V20" s="240"/>
      <c r="W20" s="240"/>
      <c r="X20" s="240"/>
      <c r="Y20" s="240"/>
      <c r="Z20" s="240"/>
      <c r="AA20" s="240"/>
    </row>
    <row r="21" spans="2:27" ht="16.5" x14ac:dyDescent="0.3">
      <c r="B21" s="97" t="s">
        <v>23</v>
      </c>
      <c r="C21" t="s">
        <v>1114</v>
      </c>
      <c r="D21" t="s">
        <v>1115</v>
      </c>
      <c r="E21" t="s">
        <v>69</v>
      </c>
      <c r="G21" s="97" t="s">
        <v>23</v>
      </c>
      <c r="H21" t="s">
        <v>1119</v>
      </c>
      <c r="J21" s="7" t="s">
        <v>3</v>
      </c>
      <c r="K21" s="7" t="s">
        <v>2</v>
      </c>
      <c r="L21" s="7" t="s">
        <v>1</v>
      </c>
      <c r="M21" s="7" t="s">
        <v>654</v>
      </c>
      <c r="N21" s="7" t="s">
        <v>1003</v>
      </c>
      <c r="O21" s="7" t="s">
        <v>655</v>
      </c>
      <c r="P21" s="7" t="s">
        <v>879</v>
      </c>
      <c r="Q21" s="7" t="s">
        <v>656</v>
      </c>
      <c r="R21" s="7" t="s">
        <v>790</v>
      </c>
      <c r="S21" s="46" t="s">
        <v>657</v>
      </c>
      <c r="T21" s="46" t="s">
        <v>658</v>
      </c>
      <c r="U21" s="46" t="s">
        <v>151</v>
      </c>
      <c r="V21" s="46" t="s">
        <v>895</v>
      </c>
      <c r="W21" s="46" t="s">
        <v>554</v>
      </c>
      <c r="X21" s="46" t="s">
        <v>652</v>
      </c>
      <c r="Y21" s="46" t="s">
        <v>923</v>
      </c>
      <c r="Z21" s="7" t="s">
        <v>1243</v>
      </c>
      <c r="AA21" s="7" t="s">
        <v>873</v>
      </c>
    </row>
    <row r="22" spans="2:27" ht="16.5" x14ac:dyDescent="0.3">
      <c r="B22" s="98" t="s">
        <v>1103</v>
      </c>
      <c r="C22" s="504">
        <v>1966666666.6666663</v>
      </c>
      <c r="D22" s="504">
        <v>505583333.33333331</v>
      </c>
      <c r="E22" s="504">
        <v>2472250000</v>
      </c>
      <c r="G22" s="98" t="s">
        <v>1100</v>
      </c>
      <c r="H22" s="504">
        <v>833333333.33333325</v>
      </c>
      <c r="J22" s="49">
        <f t="shared" ref="J22:J34" si="0">IFERROR(
IF(ISBLANK(L22),
DATE(K22,12,1),
DATE(K22,L22,1)),0)</f>
        <v>45931</v>
      </c>
      <c r="K22" s="240">
        <v>2025</v>
      </c>
      <c r="L22" s="240">
        <v>10</v>
      </c>
      <c r="M22" s="240" t="s">
        <v>1092</v>
      </c>
      <c r="N22" s="246" t="str">
        <f xml:space="preserve">
IFERROR(
VLOOKUP(
Table_VayNo_LichTra[[#This Row],[Khoản vay]],
Table_VayNo[],
COUNTA(Table_VayNo[[#Headers],[Mã khoản vay]:[Tần suất trả nợ]]),
0),
0)</f>
        <v>Một lần</v>
      </c>
      <c r="O22" s="304">
        <f xml:space="preserve">
IFERROR(
VLOOKUP(
Table_VayNo_LichTra[[#This Row],[Khoản vay]],
Table_VayNo[],
COUNTA(Table_VayNo[[#Headers],[Mã khoản vay]:[Ngày vay]]),
0),
0)</f>
        <v>45869</v>
      </c>
      <c r="P22" s="304">
        <f xml:space="preserve">
IFERROR(
VLOOKUP(
Table_VayNo_LichTra[[#This Row],[Khoản vay]],
Table_VayNo[],
COUNTA(Table_VayNo[[#Headers],[Mã khoản vay]:[Bắt đầu trả gốc]]),
0),
0)</f>
        <v>0</v>
      </c>
      <c r="Q22" s="304">
        <f xml:space="preserve">
IFERROR(
VLOOKUP(
Table_VayNo_LichTra[[#This Row],[Khoản vay]],
Table_VayNo[],
COUNTA(Table_VayNo[[#Headers],[Mã khoản vay]:[Kết thúc trả gốc]]),
0),
0)</f>
        <v>45960</v>
      </c>
      <c r="R22" s="452">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0"/>
    </row>
    <row r="23" spans="2:27" ht="16.5" x14ac:dyDescent="0.3">
      <c r="B23" s="506" t="s">
        <v>1106</v>
      </c>
      <c r="C23" s="504">
        <v>1666666666.6666667</v>
      </c>
      <c r="D23" s="504">
        <v>500000000</v>
      </c>
      <c r="E23" s="504">
        <v>2166666666.666667</v>
      </c>
      <c r="G23" s="98" t="s">
        <v>1097</v>
      </c>
      <c r="H23" s="504">
        <v>4083333.333333334</v>
      </c>
      <c r="J23" s="49">
        <f t="shared" si="0"/>
        <v>45901</v>
      </c>
      <c r="K23" s="240">
        <v>2025</v>
      </c>
      <c r="L23" s="240">
        <v>9</v>
      </c>
      <c r="M23" s="240" t="s">
        <v>1092</v>
      </c>
      <c r="N23" s="246" t="str">
        <f xml:space="preserve">
IFERROR(
VLOOKUP(
Table_VayNo_LichTra[[#This Row],[Khoản vay]],
Table_VayNo[],
COUNTA(Table_VayNo[[#Headers],[Mã khoản vay]:[Tần suất trả nợ]]),
0),
0)</f>
        <v>Một lần</v>
      </c>
      <c r="O23" s="304">
        <f xml:space="preserve">
IFERROR(
VLOOKUP(
Table_VayNo_LichTra[[#This Row],[Khoản vay]],
Table_VayNo[],
COUNTA(Table_VayNo[[#Headers],[Mã khoản vay]:[Ngày vay]]),
0),
0)</f>
        <v>45869</v>
      </c>
      <c r="P23" s="304">
        <f xml:space="preserve">
IFERROR(
VLOOKUP(
Table_VayNo_LichTra[[#This Row],[Khoản vay]],
Table_VayNo[],
COUNTA(Table_VayNo[[#Headers],[Mã khoản vay]:[Bắt đầu trả gốc]]),
0),
0)</f>
        <v>0</v>
      </c>
      <c r="Q23" s="304">
        <f xml:space="preserve">
IFERROR(
VLOOKUP(
Table_VayNo_LichTra[[#This Row],[Khoản vay]],
Table_VayNo[],
COUNTA(Table_VayNo[[#Headers],[Mã khoản vay]:[Kết thúc trả gốc]]),
0),
0)</f>
        <v>45960</v>
      </c>
      <c r="R23" s="452">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0"/>
    </row>
    <row r="24" spans="2:27" ht="18" customHeight="1" x14ac:dyDescent="0.3">
      <c r="B24" s="505">
        <v>45713</v>
      </c>
      <c r="C24" s="504">
        <v>1666666666.6666667</v>
      </c>
      <c r="D24" s="504">
        <v>500000000</v>
      </c>
      <c r="E24" s="504">
        <v>2166666666.666667</v>
      </c>
      <c r="G24" s="98" t="s">
        <v>1095</v>
      </c>
      <c r="H24" s="504">
        <v>52000000</v>
      </c>
      <c r="J24" s="49">
        <f t="shared" si="0"/>
        <v>45870</v>
      </c>
      <c r="K24" s="240">
        <v>2025</v>
      </c>
      <c r="L24" s="240">
        <v>8</v>
      </c>
      <c r="M24" s="240" t="s">
        <v>1092</v>
      </c>
      <c r="N24" s="246" t="str">
        <f xml:space="preserve">
IFERROR(
VLOOKUP(
Table_VayNo_LichTra[[#This Row],[Khoản vay]],
Table_VayNo[],
COUNTA(Table_VayNo[[#Headers],[Mã khoản vay]:[Tần suất trả nợ]]),
0),
0)</f>
        <v>Một lần</v>
      </c>
      <c r="O24" s="304">
        <f xml:space="preserve">
IFERROR(
VLOOKUP(
Table_VayNo_LichTra[[#This Row],[Khoản vay]],
Table_VayNo[],
COUNTA(Table_VayNo[[#Headers],[Mã khoản vay]:[Ngày vay]]),
0),
0)</f>
        <v>45869</v>
      </c>
      <c r="P24" s="304">
        <f xml:space="preserve">
IFERROR(
VLOOKUP(
Table_VayNo_LichTra[[#This Row],[Khoản vay]],
Table_VayNo[],
COUNTA(Table_VayNo[[#Headers],[Mã khoản vay]:[Bắt đầu trả gốc]]),
0),
0)</f>
        <v>0</v>
      </c>
      <c r="Q24" s="304">
        <f xml:space="preserve">
IFERROR(
VLOOKUP(
Table_VayNo_LichTra[[#This Row],[Khoản vay]],
Table_VayNo[],
COUNTA(Table_VayNo[[#Headers],[Mã khoản vay]:[Kết thúc trả gốc]]),
0),
0)</f>
        <v>45960</v>
      </c>
      <c r="R24" s="452">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0"/>
    </row>
    <row r="25" spans="2:27" ht="16.5" x14ac:dyDescent="0.3">
      <c r="B25" s="506" t="s">
        <v>1107</v>
      </c>
      <c r="C25" s="504">
        <v>33333333.333333332</v>
      </c>
      <c r="D25" s="504">
        <v>1166666.6666666667</v>
      </c>
      <c r="E25" s="504">
        <v>34500000</v>
      </c>
      <c r="G25" s="98" t="s">
        <v>1092</v>
      </c>
      <c r="H25" s="504">
        <v>1500000</v>
      </c>
      <c r="J25" s="49">
        <f t="shared" si="0"/>
        <v>46357</v>
      </c>
      <c r="K25" s="240">
        <v>2026</v>
      </c>
      <c r="L25" s="240"/>
      <c r="M25" s="240" t="s">
        <v>1095</v>
      </c>
      <c r="N25" s="246" t="str">
        <f xml:space="preserve">
IFERROR(
VLOOKUP(
Table_VayNo_LichTra[[#This Row],[Khoản vay]],
Table_VayNo[],
COUNTA(Table_VayNo[[#Headers],[Mã khoản vay]:[Tần suất trả nợ]]),
0),
0)</f>
        <v>Một lần</v>
      </c>
      <c r="O25" s="304">
        <f xml:space="preserve">
IFERROR(
VLOOKUP(
Table_VayNo_LichTra[[#This Row],[Khoản vay]],
Table_VayNo[],
COUNTA(Table_VayNo[[#Headers],[Mã khoản vay]:[Ngày vay]]),
0),
0)</f>
        <v>45792</v>
      </c>
      <c r="P25" s="304">
        <f xml:space="preserve">
IFERROR(
VLOOKUP(
Table_VayNo_LichTra[[#This Row],[Khoản vay]],
Table_VayNo[],
COUNTA(Table_VayNo[[#Headers],[Mã khoản vay]:[Bắt đầu trả gốc]]),
0),
0)</f>
        <v>0</v>
      </c>
      <c r="Q25" s="304">
        <f xml:space="preserve">
IFERROR(
VLOOKUP(
Table_VayNo_LichTra[[#This Row],[Khoản vay]],
Table_VayNo[],
COUNTA(Table_VayNo[[#Headers],[Mã khoản vay]:[Kết thúc trả gốc]]),
0),
0)</f>
        <v>46157</v>
      </c>
      <c r="R25" s="452">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0"/>
    </row>
    <row r="26" spans="2:27" ht="16.5" x14ac:dyDescent="0.3">
      <c r="B26" s="505">
        <v>45748</v>
      </c>
      <c r="C26" s="504">
        <v>33333333.333333332</v>
      </c>
      <c r="D26" s="504">
        <v>1166666.6666666667</v>
      </c>
      <c r="E26" s="504">
        <v>34500000</v>
      </c>
      <c r="G26" s="98" t="s">
        <v>1102</v>
      </c>
      <c r="H26" s="504">
        <v>890916666.66666663</v>
      </c>
      <c r="J26" s="49">
        <f t="shared" si="0"/>
        <v>45901</v>
      </c>
      <c r="K26" s="240">
        <v>2025</v>
      </c>
      <c r="L26" s="240">
        <v>9</v>
      </c>
      <c r="M26" s="240" t="s">
        <v>1097</v>
      </c>
      <c r="N26" s="246" t="str">
        <f xml:space="preserve">
IFERROR(
VLOOKUP(
Table_VayNo_LichTra[[#This Row],[Khoản vay]],
Table_VayNo[],
COUNTA(Table_VayNo[[#Headers],[Mã khoản vay]:[Tần suất trả nợ]]),
0),
0)</f>
        <v>Theo tháng</v>
      </c>
      <c r="O26" s="304">
        <f xml:space="preserve">
IFERROR(
VLOOKUP(
Table_VayNo_LichTra[[#This Row],[Khoản vay]],
Table_VayNo[],
COUNTA(Table_VayNo[[#Headers],[Mã khoản vay]:[Ngày vay]]),
0),
0)</f>
        <v>45718</v>
      </c>
      <c r="P26" s="304">
        <f xml:space="preserve">
IFERROR(
VLOOKUP(
Table_VayNo_LichTra[[#This Row],[Khoản vay]],
Table_VayNo[],
COUNTA(Table_VayNo[[#Headers],[Mã khoản vay]:[Bắt đầu trả gốc]]),
0),
0)</f>
        <v>45749</v>
      </c>
      <c r="Q26" s="304">
        <f xml:space="preserve">
IFERROR(
VLOOKUP(
Table_VayNo_LichTra[[#This Row],[Khoản vay]],
Table_VayNo[],
COUNTA(Table_VayNo[[#Headers],[Mã khoản vay]:[Kết thúc trả gốc]]),
0),
0)</f>
        <v>45901</v>
      </c>
      <c r="R26" s="452">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0"/>
    </row>
    <row r="27" spans="2:27" ht="16.5" x14ac:dyDescent="0.3">
      <c r="B27" s="506" t="s">
        <v>1108</v>
      </c>
      <c r="C27" s="504">
        <v>33333333.333333332</v>
      </c>
      <c r="D27" s="504">
        <v>972222.22222222236</v>
      </c>
      <c r="E27" s="504">
        <v>34305555.555555552</v>
      </c>
      <c r="J27" s="49">
        <f t="shared" si="0"/>
        <v>45870</v>
      </c>
      <c r="K27" s="240">
        <v>2025</v>
      </c>
      <c r="L27" s="240">
        <v>8</v>
      </c>
      <c r="M27" s="240" t="s">
        <v>1097</v>
      </c>
      <c r="N27" s="246" t="str">
        <f xml:space="preserve">
IFERROR(
VLOOKUP(
Table_VayNo_LichTra[[#This Row],[Khoản vay]],
Table_VayNo[],
COUNTA(Table_VayNo[[#Headers],[Mã khoản vay]:[Tần suất trả nợ]]),
0),
0)</f>
        <v>Theo tháng</v>
      </c>
      <c r="O27" s="304">
        <f xml:space="preserve">
IFERROR(
VLOOKUP(
Table_VayNo_LichTra[[#This Row],[Khoản vay]],
Table_VayNo[],
COUNTA(Table_VayNo[[#Headers],[Mã khoản vay]:[Ngày vay]]),
0),
0)</f>
        <v>45718</v>
      </c>
      <c r="P27" s="304">
        <f xml:space="preserve">
IFERROR(
VLOOKUP(
Table_VayNo_LichTra[[#This Row],[Khoản vay]],
Table_VayNo[],
COUNTA(Table_VayNo[[#Headers],[Mã khoản vay]:[Bắt đầu trả gốc]]),
0),
0)</f>
        <v>45749</v>
      </c>
      <c r="Q27" s="304">
        <f xml:space="preserve">
IFERROR(
VLOOKUP(
Table_VayNo_LichTra[[#This Row],[Khoản vay]],
Table_VayNo[],
COUNTA(Table_VayNo[[#Headers],[Mã khoản vay]:[Kết thúc trả gốc]]),
0),
0)</f>
        <v>45901</v>
      </c>
      <c r="R27" s="452">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0"/>
    </row>
    <row r="28" spans="2:27" ht="16.5" x14ac:dyDescent="0.3">
      <c r="B28" s="505">
        <v>45778</v>
      </c>
      <c r="C28" s="504">
        <v>33333333.333333332</v>
      </c>
      <c r="D28" s="504">
        <v>972222.22222222236</v>
      </c>
      <c r="E28" s="504">
        <v>34305555.555555552</v>
      </c>
      <c r="J28" s="49">
        <f t="shared" si="0"/>
        <v>45839</v>
      </c>
      <c r="K28" s="240">
        <v>2025</v>
      </c>
      <c r="L28" s="240">
        <v>7</v>
      </c>
      <c r="M28" s="240" t="s">
        <v>1097</v>
      </c>
      <c r="N28" s="246" t="str">
        <f xml:space="preserve">
IFERROR(
VLOOKUP(
Table_VayNo_LichTra[[#This Row],[Khoản vay]],
Table_VayNo[],
COUNTA(Table_VayNo[[#Headers],[Mã khoản vay]:[Tần suất trả nợ]]),
0),
0)</f>
        <v>Theo tháng</v>
      </c>
      <c r="O28" s="304">
        <f xml:space="preserve">
IFERROR(
VLOOKUP(
Table_VayNo_LichTra[[#This Row],[Khoản vay]],
Table_VayNo[],
COUNTA(Table_VayNo[[#Headers],[Mã khoản vay]:[Ngày vay]]),
0),
0)</f>
        <v>45718</v>
      </c>
      <c r="P28" s="304">
        <f xml:space="preserve">
IFERROR(
VLOOKUP(
Table_VayNo_LichTra[[#This Row],[Khoản vay]],
Table_VayNo[],
COUNTA(Table_VayNo[[#Headers],[Mã khoản vay]:[Bắt đầu trả gốc]]),
0),
0)</f>
        <v>45749</v>
      </c>
      <c r="Q28" s="304">
        <f xml:space="preserve">
IFERROR(
VLOOKUP(
Table_VayNo_LichTra[[#This Row],[Khoản vay]],
Table_VayNo[],
COUNTA(Table_VayNo[[#Headers],[Mã khoản vay]:[Kết thúc trả gốc]]),
0),
0)</f>
        <v>45901</v>
      </c>
      <c r="R28" s="452">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0"/>
    </row>
    <row r="29" spans="2:27" ht="16.5" x14ac:dyDescent="0.3">
      <c r="B29" s="506" t="s">
        <v>1109</v>
      </c>
      <c r="C29" s="504">
        <v>33333333.333333332</v>
      </c>
      <c r="D29" s="504">
        <v>777777.77777777798</v>
      </c>
      <c r="E29" s="504">
        <v>34111111.111111112</v>
      </c>
      <c r="J29" s="49">
        <f t="shared" si="0"/>
        <v>45809</v>
      </c>
      <c r="K29" s="240">
        <v>2025</v>
      </c>
      <c r="L29" s="240">
        <v>6</v>
      </c>
      <c r="M29" s="240" t="s">
        <v>1097</v>
      </c>
      <c r="N29" s="246" t="str">
        <f xml:space="preserve">
IFERROR(
VLOOKUP(
Table_VayNo_LichTra[[#This Row],[Khoản vay]],
Table_VayNo[],
COUNTA(Table_VayNo[[#Headers],[Mã khoản vay]:[Tần suất trả nợ]]),
0),
0)</f>
        <v>Theo tháng</v>
      </c>
      <c r="O29" s="304">
        <f xml:space="preserve">
IFERROR(
VLOOKUP(
Table_VayNo_LichTra[[#This Row],[Khoản vay]],
Table_VayNo[],
COUNTA(Table_VayNo[[#Headers],[Mã khoản vay]:[Ngày vay]]),
0),
0)</f>
        <v>45718</v>
      </c>
      <c r="P29" s="304">
        <f xml:space="preserve">
IFERROR(
VLOOKUP(
Table_VayNo_LichTra[[#This Row],[Khoản vay]],
Table_VayNo[],
COUNTA(Table_VayNo[[#Headers],[Mã khoản vay]:[Bắt đầu trả gốc]]),
0),
0)</f>
        <v>45749</v>
      </c>
      <c r="Q29" s="304">
        <f xml:space="preserve">
IFERROR(
VLOOKUP(
Table_VayNo_LichTra[[#This Row],[Khoản vay]],
Table_VayNo[],
COUNTA(Table_VayNo[[#Headers],[Mã khoản vay]:[Kết thúc trả gốc]]),
0),
0)</f>
        <v>45901</v>
      </c>
      <c r="R29" s="452">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0"/>
    </row>
    <row r="30" spans="2:27" ht="16.5" x14ac:dyDescent="0.3">
      <c r="B30" s="505">
        <v>45809</v>
      </c>
      <c r="C30" s="504">
        <v>33333333.333333332</v>
      </c>
      <c r="D30" s="504">
        <v>777777.77777777798</v>
      </c>
      <c r="E30" s="504">
        <v>34111111.111111112</v>
      </c>
      <c r="J30" s="49">
        <f t="shared" si="0"/>
        <v>45778</v>
      </c>
      <c r="K30" s="240">
        <v>2025</v>
      </c>
      <c r="L30" s="240">
        <v>5</v>
      </c>
      <c r="M30" s="240" t="s">
        <v>1097</v>
      </c>
      <c r="N30" s="246" t="str">
        <f xml:space="preserve">
IFERROR(
VLOOKUP(
Table_VayNo_LichTra[[#This Row],[Khoản vay]],
Table_VayNo[],
COUNTA(Table_VayNo[[#Headers],[Mã khoản vay]:[Tần suất trả nợ]]),
0),
0)</f>
        <v>Theo tháng</v>
      </c>
      <c r="O30" s="304">
        <f xml:space="preserve">
IFERROR(
VLOOKUP(
Table_VayNo_LichTra[[#This Row],[Khoản vay]],
Table_VayNo[],
COUNTA(Table_VayNo[[#Headers],[Mã khoản vay]:[Ngày vay]]),
0),
0)</f>
        <v>45718</v>
      </c>
      <c r="P30" s="304">
        <f xml:space="preserve">
IFERROR(
VLOOKUP(
Table_VayNo_LichTra[[#This Row],[Khoản vay]],
Table_VayNo[],
COUNTA(Table_VayNo[[#Headers],[Mã khoản vay]:[Bắt đầu trả gốc]]),
0),
0)</f>
        <v>45749</v>
      </c>
      <c r="Q30" s="304">
        <f xml:space="preserve">
IFERROR(
VLOOKUP(
Table_VayNo_LichTra[[#This Row],[Khoản vay]],
Table_VayNo[],
COUNTA(Table_VayNo[[#Headers],[Mã khoản vay]:[Kết thúc trả gốc]]),
0),
0)</f>
        <v>45901</v>
      </c>
      <c r="R30" s="452">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0"/>
    </row>
    <row r="31" spans="2:27" ht="16.5" x14ac:dyDescent="0.3">
      <c r="B31" s="506" t="s">
        <v>1110</v>
      </c>
      <c r="C31" s="504">
        <v>33333333.333333332</v>
      </c>
      <c r="D31" s="504">
        <v>583333.33333333337</v>
      </c>
      <c r="E31" s="504">
        <v>33916666.666666664</v>
      </c>
      <c r="G31"/>
      <c r="H31"/>
      <c r="J31" s="49">
        <f t="shared" si="0"/>
        <v>45748</v>
      </c>
      <c r="K31" s="240">
        <v>2025</v>
      </c>
      <c r="L31" s="240">
        <v>4</v>
      </c>
      <c r="M31" s="240" t="s">
        <v>1097</v>
      </c>
      <c r="N31" s="246" t="str">
        <f xml:space="preserve">
IFERROR(
VLOOKUP(
Table_VayNo_LichTra[[#This Row],[Khoản vay]],
Table_VayNo[],
COUNTA(Table_VayNo[[#Headers],[Mã khoản vay]:[Tần suất trả nợ]]),
0),
0)</f>
        <v>Theo tháng</v>
      </c>
      <c r="O31" s="304">
        <f xml:space="preserve">
IFERROR(
VLOOKUP(
Table_VayNo_LichTra[[#This Row],[Khoản vay]],
Table_VayNo[],
COUNTA(Table_VayNo[[#Headers],[Mã khoản vay]:[Ngày vay]]),
0),
0)</f>
        <v>45718</v>
      </c>
      <c r="P31" s="304">
        <f xml:space="preserve">
IFERROR(
VLOOKUP(
Table_VayNo_LichTra[[#This Row],[Khoản vay]],
Table_VayNo[],
COUNTA(Table_VayNo[[#Headers],[Mã khoản vay]:[Bắt đầu trả gốc]]),
0),
0)</f>
        <v>45749</v>
      </c>
      <c r="Q31" s="304">
        <f xml:space="preserve">
IFERROR(
VLOOKUP(
Table_VayNo_LichTra[[#This Row],[Khoản vay]],
Table_VayNo[],
COUNTA(Table_VayNo[[#Headers],[Mã khoản vay]:[Kết thúc trả gốc]]),
0),
0)</f>
        <v>45901</v>
      </c>
      <c r="R31" s="452">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0"/>
    </row>
    <row r="32" spans="2:27" ht="16.5" x14ac:dyDescent="0.3">
      <c r="B32" s="505">
        <v>45839</v>
      </c>
      <c r="C32" s="504">
        <v>33333333.333333332</v>
      </c>
      <c r="D32" s="504">
        <v>583333.33333333337</v>
      </c>
      <c r="E32" s="504">
        <v>33916666.666666664</v>
      </c>
      <c r="G32"/>
      <c r="H32"/>
      <c r="J32" s="49">
        <f t="shared" si="0"/>
        <v>46722</v>
      </c>
      <c r="K32" s="240">
        <v>2027</v>
      </c>
      <c r="L32" s="240"/>
      <c r="M32" s="240" t="s">
        <v>1100</v>
      </c>
      <c r="N32" s="246" t="str">
        <f xml:space="preserve">
IFERROR(
VLOOKUP(
Table_VayNo_LichTra[[#This Row],[Khoản vay]],
Table_VayNo[],
COUNTA(Table_VayNo[[#Headers],[Mã khoản vay]:[Tần suất trả nợ]]),
0),
0)</f>
        <v>Theo năm</v>
      </c>
      <c r="O32" s="304">
        <f xml:space="preserve">
IFERROR(
VLOOKUP(
Table_VayNo_LichTra[[#This Row],[Khoản vay]],
Table_VayNo[],
COUNTA(Table_VayNo[[#Headers],[Mã khoản vay]:[Ngày vay]]),
0),
0)</f>
        <v>45346</v>
      </c>
      <c r="P32" s="304">
        <f xml:space="preserve">
IFERROR(
VLOOKUP(
Table_VayNo_LichTra[[#This Row],[Khoản vay]],
Table_VayNo[],
COUNTA(Table_VayNo[[#Headers],[Mã khoản vay]:[Bắt đầu trả gốc]]),
0),
0)</f>
        <v>45712</v>
      </c>
      <c r="Q32" s="304">
        <f xml:space="preserve">
IFERROR(
VLOOKUP(
Table_VayNo_LichTra[[#This Row],[Khoản vay]],
Table_VayNo[],
COUNTA(Table_VayNo[[#Headers],[Mã khoản vay]:[Kết thúc trả gốc]]),
0),
0)</f>
        <v>46443</v>
      </c>
      <c r="R32" s="452">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0"/>
    </row>
    <row r="33" spans="2:27" ht="16.5" x14ac:dyDescent="0.3">
      <c r="B33" s="506" t="s">
        <v>1111</v>
      </c>
      <c r="C33" s="504">
        <v>33333333.333333332</v>
      </c>
      <c r="D33" s="504">
        <v>888888.88888888899</v>
      </c>
      <c r="E33" s="504">
        <v>34222222.222222224</v>
      </c>
      <c r="G33"/>
      <c r="H33"/>
      <c r="J33" s="49">
        <f t="shared" si="0"/>
        <v>46357</v>
      </c>
      <c r="K33" s="240">
        <v>2026</v>
      </c>
      <c r="L33" s="240"/>
      <c r="M33" s="240" t="s">
        <v>1100</v>
      </c>
      <c r="N33" s="246" t="str">
        <f xml:space="preserve">
IFERROR(
VLOOKUP(
Table_VayNo_LichTra[[#This Row],[Khoản vay]],
Table_VayNo[],
COUNTA(Table_VayNo[[#Headers],[Mã khoản vay]:[Tần suất trả nợ]]),
0),
0)</f>
        <v>Theo năm</v>
      </c>
      <c r="O33" s="304">
        <f xml:space="preserve">
IFERROR(
VLOOKUP(
Table_VayNo_LichTra[[#This Row],[Khoản vay]],
Table_VayNo[],
COUNTA(Table_VayNo[[#Headers],[Mã khoản vay]:[Ngày vay]]),
0),
0)</f>
        <v>45346</v>
      </c>
      <c r="P33" s="304">
        <f xml:space="preserve">
IFERROR(
VLOOKUP(
Table_VayNo_LichTra[[#This Row],[Khoản vay]],
Table_VayNo[],
COUNTA(Table_VayNo[[#Headers],[Mã khoản vay]:[Bắt đầu trả gốc]]),
0),
0)</f>
        <v>45712</v>
      </c>
      <c r="Q33" s="304">
        <f xml:space="preserve">
IFERROR(
VLOOKUP(
Table_VayNo_LichTra[[#This Row],[Khoản vay]],
Table_VayNo[],
COUNTA(Table_VayNo[[#Headers],[Mã khoản vay]:[Kết thúc trả gốc]]),
0),
0)</f>
        <v>46443</v>
      </c>
      <c r="R33" s="452">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0"/>
    </row>
    <row r="34" spans="2:27" ht="16.5" x14ac:dyDescent="0.3">
      <c r="B34" s="505">
        <v>45870</v>
      </c>
      <c r="C34" s="504">
        <v>33333333.333333332</v>
      </c>
      <c r="D34" s="504">
        <v>388888.88888888899</v>
      </c>
      <c r="E34" s="504">
        <v>33722222.222222224</v>
      </c>
      <c r="G34"/>
      <c r="H34"/>
      <c r="J34" s="49">
        <f t="shared" si="0"/>
        <v>45992</v>
      </c>
      <c r="K34" s="240">
        <v>2025</v>
      </c>
      <c r="L34" s="240"/>
      <c r="M34" s="240" t="s">
        <v>1100</v>
      </c>
      <c r="N34" s="246" t="str">
        <f xml:space="preserve">
IFERROR(
VLOOKUP(
Table_VayNo_LichTra[[#This Row],[Khoản vay]],
Table_VayNo[],
COUNTA(Table_VayNo[[#Headers],[Mã khoản vay]:[Tần suất trả nợ]]),
0),
0)</f>
        <v>Theo năm</v>
      </c>
      <c r="O34" s="304">
        <f xml:space="preserve">
IFERROR(
VLOOKUP(
Table_VayNo_LichTra[[#This Row],[Khoản vay]],
Table_VayNo[],
COUNTA(Table_VayNo[[#Headers],[Mã khoản vay]:[Ngày vay]]),
0),
0)</f>
        <v>45346</v>
      </c>
      <c r="P34" s="304">
        <f xml:space="preserve">
IFERROR(
VLOOKUP(
Table_VayNo_LichTra[[#This Row],[Khoản vay]],
Table_VayNo[],
COUNTA(Table_VayNo[[#Headers],[Mã khoản vay]:[Bắt đầu trả gốc]]),
0),
0)</f>
        <v>45712</v>
      </c>
      <c r="Q34" s="304">
        <f xml:space="preserve">
IFERROR(
VLOOKUP(
Table_VayNo_LichTra[[#This Row],[Khoản vay]],
Table_VayNo[],
COUNTA(Table_VayNo[[#Headers],[Mã khoản vay]:[Kết thúc trả gốc]]),
0),
0)</f>
        <v>46443</v>
      </c>
      <c r="R34" s="452">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1">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0"/>
    </row>
    <row r="35" spans="2:27" ht="16.5" x14ac:dyDescent="0.3">
      <c r="B35" s="505">
        <v>45900</v>
      </c>
      <c r="C35" s="504">
        <v>0</v>
      </c>
      <c r="D35" s="504">
        <v>500000</v>
      </c>
      <c r="E35" s="504">
        <v>500000</v>
      </c>
      <c r="G35"/>
      <c r="H35"/>
    </row>
    <row r="36" spans="2:27" ht="16.5" x14ac:dyDescent="0.3">
      <c r="B36" s="506" t="s">
        <v>1112</v>
      </c>
      <c r="C36" s="504">
        <v>33333333.333333332</v>
      </c>
      <c r="D36" s="504">
        <v>194444.44444444453</v>
      </c>
      <c r="E36" s="504">
        <v>33527777.777777776</v>
      </c>
      <c r="G36"/>
      <c r="H36"/>
    </row>
    <row r="37" spans="2:27" ht="16.5" x14ac:dyDescent="0.3">
      <c r="B37" s="505">
        <v>45901</v>
      </c>
      <c r="C37" s="504">
        <v>33333333.333333332</v>
      </c>
      <c r="D37" s="504">
        <v>194444.44444444453</v>
      </c>
      <c r="E37" s="504">
        <v>33527777.777777776</v>
      </c>
      <c r="G37"/>
      <c r="H37"/>
    </row>
    <row r="38" spans="2:27" ht="16.5" x14ac:dyDescent="0.3">
      <c r="B38" s="506" t="s">
        <v>1113</v>
      </c>
      <c r="C38" s="504">
        <v>100000000</v>
      </c>
      <c r="D38" s="504">
        <v>1000000</v>
      </c>
      <c r="E38" s="504">
        <v>101000000</v>
      </c>
      <c r="G38"/>
      <c r="H38"/>
    </row>
    <row r="39" spans="2:27" ht="16.5" x14ac:dyDescent="0.3">
      <c r="B39" s="505">
        <v>45931</v>
      </c>
      <c r="C39" s="504">
        <v>0</v>
      </c>
      <c r="D39" s="504">
        <v>500000</v>
      </c>
      <c r="E39" s="504">
        <v>500000</v>
      </c>
      <c r="G39"/>
      <c r="H39"/>
      <c r="T39" s="22"/>
    </row>
    <row r="40" spans="2:27" ht="16.5" x14ac:dyDescent="0.3">
      <c r="B40" s="505">
        <v>45961</v>
      </c>
      <c r="C40" s="504">
        <v>100000000</v>
      </c>
      <c r="D40" s="504">
        <v>500000</v>
      </c>
      <c r="E40" s="504">
        <v>100500000</v>
      </c>
      <c r="G40"/>
      <c r="H40"/>
    </row>
    <row r="41" spans="2:27" ht="16.5" x14ac:dyDescent="0.3">
      <c r="B41" s="98" t="s">
        <v>1104</v>
      </c>
      <c r="C41" s="504">
        <v>2316666666.666667</v>
      </c>
      <c r="D41" s="504">
        <v>385333333.33333331</v>
      </c>
      <c r="E41" s="504">
        <v>2702000000</v>
      </c>
      <c r="G41"/>
      <c r="H41"/>
    </row>
    <row r="42" spans="2:27" ht="16.5" x14ac:dyDescent="0.3">
      <c r="B42" s="506" t="s">
        <v>1106</v>
      </c>
      <c r="C42" s="504">
        <v>1666666666.6666667</v>
      </c>
      <c r="D42" s="504">
        <v>333333333.33333331</v>
      </c>
      <c r="E42" s="504">
        <v>2000000000</v>
      </c>
      <c r="G42"/>
      <c r="H42"/>
      <c r="W42" s="211"/>
    </row>
    <row r="43" spans="2:27" ht="16.5" x14ac:dyDescent="0.3">
      <c r="B43" s="505">
        <v>46078</v>
      </c>
      <c r="C43" s="504">
        <v>1666666666.6666667</v>
      </c>
      <c r="D43" s="504">
        <v>333333333.33333331</v>
      </c>
      <c r="E43" s="504">
        <v>2000000000</v>
      </c>
      <c r="T43" s="211"/>
    </row>
    <row r="44" spans="2:27" ht="16.5" x14ac:dyDescent="0.3">
      <c r="B44" s="506" t="s">
        <v>1108</v>
      </c>
      <c r="C44" s="504">
        <v>650000000</v>
      </c>
      <c r="D44" s="504">
        <v>52000000</v>
      </c>
      <c r="E44" s="504">
        <v>702000000</v>
      </c>
    </row>
    <row r="45" spans="2:27" ht="16.5" x14ac:dyDescent="0.3">
      <c r="B45" s="505">
        <v>46157</v>
      </c>
      <c r="C45" s="504">
        <v>650000000</v>
      </c>
      <c r="D45" s="504">
        <v>52000000</v>
      </c>
      <c r="E45" s="504">
        <v>702000000</v>
      </c>
    </row>
    <row r="46" spans="2:27" ht="16.5" x14ac:dyDescent="0.3">
      <c r="B46" s="98" t="s">
        <v>1105</v>
      </c>
      <c r="C46" s="504">
        <v>1666666666.6666665</v>
      </c>
      <c r="D46" s="504">
        <v>27777777.777777776</v>
      </c>
      <c r="E46" s="504">
        <v>1694444444.4444442</v>
      </c>
      <c r="U46" s="211"/>
      <c r="X46" s="211"/>
    </row>
    <row r="47" spans="2:27" ht="16.5" x14ac:dyDescent="0.3">
      <c r="B47" s="506" t="s">
        <v>1106</v>
      </c>
      <c r="C47" s="504">
        <v>1666666666.6666665</v>
      </c>
      <c r="D47" s="504">
        <v>27777777.777777776</v>
      </c>
      <c r="E47" s="504">
        <v>1694444444.4444442</v>
      </c>
    </row>
    <row r="48" spans="2:27" ht="16.5" x14ac:dyDescent="0.3">
      <c r="B48" s="505">
        <v>46443</v>
      </c>
      <c r="C48" s="504">
        <v>1666666666.6666665</v>
      </c>
      <c r="D48" s="504">
        <v>27777777.777777776</v>
      </c>
      <c r="E48" s="504">
        <v>1694444444.4444442</v>
      </c>
    </row>
    <row r="49" spans="2:5" ht="16.5" x14ac:dyDescent="0.3">
      <c r="B49" s="98" t="s">
        <v>1102</v>
      </c>
      <c r="C49" s="504">
        <v>5950000000</v>
      </c>
      <c r="D49" s="504">
        <v>918694444.44444442</v>
      </c>
      <c r="E49" s="504">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0"/>
      <c r="C1" s="240"/>
      <c r="D1" s="240"/>
      <c r="E1" s="240"/>
      <c r="F1" s="241"/>
      <c r="G1" s="240"/>
      <c r="H1" s="240"/>
      <c r="I1" s="240"/>
      <c r="J1" s="240"/>
      <c r="K1" s="240"/>
    </row>
    <row r="2" spans="2:11" ht="18" customHeight="1" x14ac:dyDescent="0.3">
      <c r="B2" s="240"/>
      <c r="C2" s="240"/>
      <c r="D2" s="240"/>
      <c r="E2" s="240"/>
      <c r="F2" s="240"/>
      <c r="G2" s="240"/>
      <c r="H2" s="240"/>
      <c r="I2" s="240"/>
      <c r="J2" s="240"/>
      <c r="K2" s="240"/>
    </row>
    <row r="3" spans="2:11" ht="18" customHeight="1" x14ac:dyDescent="0.3">
      <c r="B3" s="7" t="s">
        <v>3</v>
      </c>
      <c r="C3" s="7" t="s">
        <v>2</v>
      </c>
      <c r="D3" s="7" t="s">
        <v>1</v>
      </c>
      <c r="E3" s="7" t="s">
        <v>659</v>
      </c>
      <c r="F3" s="46" t="s">
        <v>660</v>
      </c>
      <c r="G3" s="46" t="s">
        <v>661</v>
      </c>
      <c r="H3" s="46" t="s">
        <v>548</v>
      </c>
      <c r="I3" s="46" t="s">
        <v>662</v>
      </c>
      <c r="J3" s="7" t="s">
        <v>873</v>
      </c>
      <c r="K3" s="7" t="s">
        <v>1243</v>
      </c>
    </row>
    <row r="4" spans="2:11" ht="18" customHeight="1" x14ac:dyDescent="0.3">
      <c r="B4" s="49">
        <f>IFERROR(
IF(ISBLANK(D4),
DATE(C4,12,1),
DATE(C4,D4,1)),0)</f>
        <v>336</v>
      </c>
      <c r="C4" s="240"/>
      <c r="D4" s="240"/>
      <c r="E4" s="240"/>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5"/>
      <c r="K4" s="306"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V81"/>
  <sheetViews>
    <sheetView showGridLines="0" topLeftCell="U9" zoomScaleNormal="100" workbookViewId="0">
      <selection activeCell="AF8" sqref="AF8"/>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 min="5" max="5" width="12.625" style="7" customWidth="1" outlineLevel="1" collapsed="1"/>
    <col min="6" max="7" width="12.5" style="7" customWidth="1" outlineLevel="1"/>
    <col min="8" max="8" width="12.5" style="44" customWidth="1" outlineLevel="1"/>
    <col min="9" max="10" width="12.5" style="7" customWidth="1" outlineLevel="1"/>
    <col min="11" max="11" width="13.5" style="44" bestFit="1" customWidth="1"/>
    <col min="12" max="12" width="13.5" style="7" customWidth="1" outlineLevel="1" collapsed="1"/>
    <col min="13" max="14" width="13.5" style="7"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9" style="44" customWidth="1" outlineLevel="1"/>
    <col min="33" max="33" width="7.375" style="7" customWidth="1" outlineLevel="1"/>
    <col min="34" max="34" width="7.875" style="44" customWidth="1" outlineLevel="1"/>
    <col min="35" max="35" width="9" style="44" customWidth="1" outlineLevel="1"/>
    <col min="36" max="39" width="9" style="7" customWidth="1" outlineLevel="1"/>
    <col min="40" max="40" width="15.875" style="7" customWidth="1"/>
    <col min="41" max="41" width="6.75" style="7" bestFit="1" customWidth="1" collapsed="1"/>
    <col min="42" max="46" width="9" style="7" hidden="1" customWidth="1" outlineLevel="1"/>
    <col min="47" max="47" width="11" style="7" hidden="1" customWidth="1" outlineLevel="1"/>
    <col min="48" max="48" width="12.75" style="7" hidden="1" customWidth="1" outlineLevel="1"/>
    <col min="49" max="16384" width="9" style="7"/>
  </cols>
  <sheetData>
    <row r="1" spans="1:48" ht="22.5" customHeight="1" x14ac:dyDescent="0.15">
      <c r="A1" s="21"/>
      <c r="K1" s="7"/>
      <c r="L1" s="44"/>
      <c r="M1" s="44"/>
      <c r="N1" s="44"/>
      <c r="O1" s="7"/>
      <c r="Q1" s="44"/>
      <c r="AD1" s="7"/>
      <c r="AG1" s="44"/>
      <c r="AI1" s="7"/>
    </row>
    <row r="2" spans="1:48" ht="18" customHeight="1" x14ac:dyDescent="0.15">
      <c r="A2" s="21"/>
      <c r="K2" s="7"/>
      <c r="L2" s="44"/>
      <c r="M2" s="44"/>
      <c r="N2" s="44"/>
      <c r="O2" s="7"/>
      <c r="Q2" s="44"/>
      <c r="AD2" s="7"/>
      <c r="AG2" s="44"/>
      <c r="AI2" s="7"/>
    </row>
    <row r="3" spans="1:48" s="21" customFormat="1" ht="18" customHeight="1" x14ac:dyDescent="0.3">
      <c r="B3" s="236"/>
      <c r="C3" s="237"/>
      <c r="D3" s="529">
        <f>IF(ISBLANK(B3),C3,B3)</f>
        <v>0</v>
      </c>
      <c r="E3" s="416"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16"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16"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16"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16">
        <f>IFERROR(G3/E3,0)</f>
        <v>0</v>
      </c>
      <c r="J3" s="416">
        <f>IFERROR(H3/F3,0)</f>
        <v>0</v>
      </c>
      <c r="K3" s="411"/>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1"/>
      <c r="R3" s="238"/>
      <c r="S3" s="531">
        <f>IFERROR(VLOOKUP(R3,Table_DonMua[[Mã Đơn mua]:[Add]],COUNTA(Table_DonMua[[#Headers],[Mã Đơn mua]:[Mã Đối tác]]),0),0)</f>
        <v>0</v>
      </c>
      <c r="T3" s="405"/>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5"/>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64">
        <f>IFERROR(
VLOOKUP(B3,Table_SKU[[Mã SKU]:[Tỷ suất VAT]],COUNTA(Table_SKU[[#Headers],[Mã SKU]:[Tỷ suất VAT]]),0),0)</f>
        <v>0</v>
      </c>
      <c r="AG3" s="48">
        <f xml:space="preserve">
IF(X3="", 0,AF3*AE3)</f>
        <v>0</v>
      </c>
      <c r="AH3" s="226">
        <f>IFERROR(VLOOKUP(X3,Table_DonBan[[Mã Đơn bán]:[Add]],COUNTA(Table_DonBan[[#Headers],[Mã Đơn bán]:[Mã NV]]),0),0)</f>
        <v>0</v>
      </c>
      <c r="AI3" s="66" cm="1">
        <f t="array" ref="AI3">IF(ISBLANK(X3),0,
IFERROR(
IFERROR(
IFERROR(
MAX(_xlfn._xlws.FILTER(Table_HoaHong[Tỷ lệ],
(Table_HoaHong[Đối tượng] = "Nhân viên") *
(NOT(ISBLANK(Table_HoaHong[SKU] )))*
(Table_HoaHong[SKU] = B3) *
(NOT(ISBLANK(Table_HoaHong[Mã Nhân viên] )))*
(Table_HoaHong[Mã Nhân viên] = AH3)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AH3)
))
),0))</f>
        <v>0</v>
      </c>
      <c r="AJ3" s="48">
        <f>IFERROR(AI3*AE3,"")</f>
        <v>0</v>
      </c>
      <c r="AK3" s="48">
        <f>IFERROR(VLOOKUP(X3,Table_DonBan[[Mã Đơn bán]:[Add]],COUNTA(Table_DonBan[[#Headers],[Mã Đơn bán]:[Kênh]]),0),0)</f>
        <v>0</v>
      </c>
      <c r="AL3" s="64" cm="1">
        <f t="array" ref="AL3">IF(ISBLANK(X3),0,
IFERROR(
IFERROR(
IFERROR(
MAX(_xlfn._xlws.FILTER(Table_HoaHong[Tỷ lệ],
(Table_HoaHong[Đối tượng] = "Kênh") *
(NOT(ISBLANK(Table_HoaHong[SKU] )))*
(Table_HoaHong[SKU] = B3) *
(NOT(ISBLANK(Table_HoaHong[Mã Kênh] )))*
(Table_HoaHong[Mã Kênh] =AK3)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AK3)
))
),0))</f>
        <v>0</v>
      </c>
      <c r="AM3" s="48">
        <f>IFERROR(AE3*AL3,"")</f>
        <v>0</v>
      </c>
      <c r="AN3" s="235"/>
      <c r="AO3" s="232"/>
      <c r="AP3" s="21">
        <f>AQ3*AR3*AS3*AT3*AU3*AV3</f>
        <v>1</v>
      </c>
      <c r="AQ3" s="21">
        <f xml:space="preserve">
IF(ISBLANK( $AB$3),1,
IF(VLOOKUP( $AB$3,Table_ChuongTrinh[[Mã Chương trình]:[Đối tượng CK]],Sheet_ChuongTrinh!$C$1,0) = "Sản phẩm",1,0))</f>
        <v>1</v>
      </c>
      <c r="AR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S3" s="21">
        <f>IF(ISBLANK( $AB$3),
1,
IF(ISBLANK(VLOOKUP( $AB$3,Table_ChuongTrinh[],Sheet_ChuongTrinh!$J$1,0)),
1,
IF(AE3&gt;= VLOOKUP( $AB$3,Table_ChuongTrinh[],Sheet_ChuongTrinh!$J$1,0),
1,
0)))</f>
        <v>1</v>
      </c>
      <c r="AT3" s="21">
        <f>IF(ISBLANK( $AB$3),
1,
IF(ISBLANK(VLOOKUP( $AB$3,Table_ChuongTrinh[],Sheet_ChuongTrinh!$I$1,0)),
1,
IF(COUNTIF(Table_Main[Chương trình], $AB$3)+1
&lt;= VLOOKUP( $AB$3,Table_ChuongTrinh[],Sheet_ChuongTrinh!$I$1,0),
1,
0)))</f>
        <v>1</v>
      </c>
      <c r="AU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V3" s="21" cm="1">
        <f t="array" ref="AV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8" ht="18" customHeight="1" x14ac:dyDescent="0.3">
      <c r="B4" s="46" t="s">
        <v>31</v>
      </c>
      <c r="C4" s="46" t="s">
        <v>674</v>
      </c>
      <c r="D4" s="46" t="s">
        <v>876</v>
      </c>
      <c r="E4" s="46" t="s">
        <v>1011</v>
      </c>
      <c r="F4" s="46" t="s">
        <v>1012</v>
      </c>
      <c r="G4" s="46" t="s">
        <v>1013</v>
      </c>
      <c r="H4" s="46" t="s">
        <v>1014</v>
      </c>
      <c r="I4" s="46" t="s">
        <v>1015</v>
      </c>
      <c r="J4" s="46" t="s">
        <v>1016</v>
      </c>
      <c r="K4" s="46" t="s">
        <v>675</v>
      </c>
      <c r="L4" s="46" t="s">
        <v>543</v>
      </c>
      <c r="M4" s="46" t="s">
        <v>676</v>
      </c>
      <c r="N4" s="46" t="s">
        <v>1239</v>
      </c>
      <c r="O4" s="46" t="s">
        <v>32</v>
      </c>
      <c r="P4" s="46" t="s">
        <v>578</v>
      </c>
      <c r="Q4" s="46" t="s">
        <v>30</v>
      </c>
      <c r="R4" s="46" t="s">
        <v>677</v>
      </c>
      <c r="S4" s="46" t="s">
        <v>1235</v>
      </c>
      <c r="T4" s="46" t="s">
        <v>678</v>
      </c>
      <c r="U4" s="46" t="s">
        <v>679</v>
      </c>
      <c r="V4" s="46" t="s">
        <v>680</v>
      </c>
      <c r="W4" s="46" t="s">
        <v>681</v>
      </c>
      <c r="X4" s="46" t="s">
        <v>682</v>
      </c>
      <c r="Y4" s="46" t="s">
        <v>172</v>
      </c>
      <c r="Z4" s="46" t="s">
        <v>683</v>
      </c>
      <c r="AA4" s="46" t="s">
        <v>684</v>
      </c>
      <c r="AB4" s="46" t="s">
        <v>236</v>
      </c>
      <c r="AC4" s="46" t="s">
        <v>685</v>
      </c>
      <c r="AD4" s="46" t="s">
        <v>686</v>
      </c>
      <c r="AE4" s="46" t="s">
        <v>687</v>
      </c>
      <c r="AF4" s="46" t="s">
        <v>705</v>
      </c>
      <c r="AG4" s="46" t="s">
        <v>688</v>
      </c>
      <c r="AH4" s="46" t="s">
        <v>689</v>
      </c>
      <c r="AI4" s="46" t="s">
        <v>690</v>
      </c>
      <c r="AJ4" s="46" t="s">
        <v>140</v>
      </c>
      <c r="AK4" s="46" t="s">
        <v>38</v>
      </c>
      <c r="AL4" s="46" t="s">
        <v>735</v>
      </c>
      <c r="AM4" s="46" t="s">
        <v>877</v>
      </c>
      <c r="AN4" s="46" t="s">
        <v>691</v>
      </c>
      <c r="AO4" s="46" t="s">
        <v>873</v>
      </c>
      <c r="AP4" s="7" t="s">
        <v>724</v>
      </c>
      <c r="AQ4" s="7" t="s">
        <v>725</v>
      </c>
      <c r="AR4" s="7" t="s">
        <v>726</v>
      </c>
      <c r="AS4" s="7" t="s">
        <v>727</v>
      </c>
      <c r="AT4" s="7" t="s">
        <v>728</v>
      </c>
      <c r="AU4" s="46" t="s">
        <v>920</v>
      </c>
      <c r="AV4" s="46" t="s">
        <v>921</v>
      </c>
    </row>
    <row r="5" spans="1:48" ht="18" customHeight="1" x14ac:dyDescent="0.3">
      <c r="B5" s="516" t="s">
        <v>1151</v>
      </c>
      <c r="C5" s="516"/>
      <c r="D5" s="530" t="str">
        <f>IF(ISBLANK(Table_Main[[#This Row],[Mã SKU]]),Table_Main[[#This Row],[Mã Nguyên liệu]],Table_Main[[#This Row],[Mã SKU]])</f>
        <v>TP2</v>
      </c>
      <c r="E5" s="416"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16"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16"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16"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16">
        <f>IFERROR(Table_Main[[#This Row],[Giá trị tồn đầu ngày]]/Table_Main[[#This Row],[Tồn kho đầu ngày]],0)</f>
        <v>0</v>
      </c>
      <c r="J5" s="416">
        <f>IFERROR(Table_Main[[#This Row],[Giá trị tồn cuối ngày]]/Table_Main[[#This Row],[Tồn kho cuối ngày]],0)</f>
        <v>0</v>
      </c>
      <c r="K5" s="411">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1154</v>
      </c>
      <c r="P5" s="230" t="s">
        <v>1155</v>
      </c>
      <c r="Q5" s="404">
        <v>23</v>
      </c>
      <c r="R5" s="516"/>
      <c r="S5" s="530">
        <f>IFERROR(VLOOKUP(Table_Main[[#This Row],[Đơn Mua]],Table_DonMua[[Mã Đơn mua]:[Add]],COUNTA(Table_DonMua[[#Headers],[Mã Đơn mua]:[Mã Đối tác]]),0),0)</f>
        <v>0</v>
      </c>
      <c r="T5" s="405"/>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16"/>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66">
        <f>IFERROR(
VLOOKUP(Table_Main[[#This Row],[Mã SKU]],Table_SKU[[Mã SKU]:[Tỷ suất VAT]],COUNTA(Table_SKU[[#Headers],[Mã SKU]:[Tỷ suất VAT]]),0),0)</f>
        <v>0</v>
      </c>
      <c r="AG5" s="48">
        <f xml:space="preserve">
IF(Table_Main[[#This Row],[Đơn bán]]="", 0,Table_Main[[#This Row],[Tỷ suất VAT]]*Table_Main[[#This Row],[Giá trị bán trước VAT]])</f>
        <v>0</v>
      </c>
      <c r="AH5" s="51">
        <f>IFERROR(VLOOKUP(Table_Main[[#This Row],[Đơn bán]],Table_DonBan[[Mã Đơn bán]:[Add]],COUNTA(Table_DonBan[[#Headers],[Mã Đơn bán]:[Mã NV]]),0),0)</f>
        <v>0</v>
      </c>
      <c r="AI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 s="48">
        <f>IFERROR(Table_Main[[#This Row],[Giá trị bán trước VAT]]*Table_Main[[#This Row],[Tỷ lệ hoa hồng]],"")</f>
        <v>0</v>
      </c>
      <c r="AK5" s="48">
        <f>IFERROR(VLOOKUP(Table_Main[[#This Row],[Đơn bán]],Table_DonBan[[Mã Đơn bán]:[Add]],COUNTA(Table_DonBan[[#Headers],[Mã Đơn bán]:[Kênh]]),0),0)</f>
        <v>0</v>
      </c>
      <c r="AL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 s="48">
        <f>IFERROR(Table_Main[[#This Row],[Giá trị bán trước VAT]]*Table_Main[[#This Row],[Tỷ lệ CK kênh]],"")</f>
        <v>0</v>
      </c>
      <c r="AN5" s="230"/>
      <c r="AO5" s="232"/>
      <c r="AP5" s="226">
        <f>Table_Main[[#This Row],[ĐK - Phân loại]]*Table_Main[[#This Row],[ĐK - Thời gian]]*Table_Main[[#This Row],[ĐK - Giá trị]]*Table_Main[[#This Row],[ĐK - Số lượng]]*Table_Main[[#This Row],[ĐK - Sinh nhật]]*Table_Main[[#This Row],[ĐK - Ngày mua cuối]]</f>
        <v>1</v>
      </c>
      <c r="AQ5" s="226">
        <f xml:space="preserve">
IF(ISBLANK(Table_Main[[#This Row],[Chương trình]]),1,
IF(VLOOKUP(Table_Main[[#This Row],[Chương trình]],Table_ChuongTrinh[[Mã Chương trình]:[Đối tượng CK]],Sheet_ChuongTrinh!$C$1,0) = "Sản phẩm",1,0))</f>
        <v>1</v>
      </c>
      <c r="AR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8" ht="18" customHeight="1" x14ac:dyDescent="0.3">
      <c r="B6" s="516" t="s">
        <v>1150</v>
      </c>
      <c r="C6" s="516"/>
      <c r="D6" s="530" t="str">
        <f>IF(ISBLANK(Table_Main[[#This Row],[Mã SKU]]),Table_Main[[#This Row],[Mã Nguyên liệu]],Table_Main[[#This Row],[Mã SKU]])</f>
        <v>TP1</v>
      </c>
      <c r="E6" s="416"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16"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16"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16"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16">
        <f>IFERROR(Table_Main[[#This Row],[Giá trị tồn đầu ngày]]/Table_Main[[#This Row],[Tồn kho đầu ngày]],0)</f>
        <v>0</v>
      </c>
      <c r="J6" s="416">
        <f>IFERROR(Table_Main[[#This Row],[Giá trị tồn cuối ngày]]/Table_Main[[#This Row],[Tồn kho cuối ngày]],0)</f>
        <v>0</v>
      </c>
      <c r="K6" s="411">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1155</v>
      </c>
      <c r="Q6" s="404">
        <v>19</v>
      </c>
      <c r="R6" s="516"/>
      <c r="S6" s="530">
        <f>IFERROR(VLOOKUP(Table_Main[[#This Row],[Đơn Mua]],Table_DonMua[[Mã Đơn mua]:[Add]],COUNTA(Table_DonMua[[#Headers],[Mã Đơn mua]:[Mã Đối tác]]),0),0)</f>
        <v>0</v>
      </c>
      <c r="T6" s="405"/>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16" t="s">
        <v>1221</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66">
        <f>IFERROR(
VLOOKUP(Table_Main[[#This Row],[Mã SKU]],Table_SKU[[Mã SKU]:[Tỷ suất VAT]],COUNTA(Table_SKU[[#Headers],[Mã SKU]:[Tỷ suất VAT]]),0),0)</f>
        <v>0</v>
      </c>
      <c r="AG6" s="48">
        <f xml:space="preserve">
IF(Table_Main[[#This Row],[Đơn bán]]="", 0,Table_Main[[#This Row],[Tỷ suất VAT]]*Table_Main[[#This Row],[Giá trị bán trước VAT]])</f>
        <v>0</v>
      </c>
      <c r="AH6" s="51">
        <f>IFERROR(VLOOKUP(Table_Main[[#This Row],[Đơn bán]],Table_DonBan[[Mã Đơn bán]:[Add]],COUNTA(Table_DonBan[[#Headers],[Mã Đơn bán]:[Mã NV]]),0),0)</f>
        <v>0</v>
      </c>
      <c r="AI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 s="48">
        <f>IFERROR(Table_Main[[#This Row],[Giá trị bán trước VAT]]*Table_Main[[#This Row],[Tỷ lệ hoa hồng]],"")</f>
        <v>0</v>
      </c>
      <c r="AK6" s="48">
        <f>IFERROR(VLOOKUP(Table_Main[[#This Row],[Đơn bán]],Table_DonBan[[Mã Đơn bán]:[Add]],COUNTA(Table_DonBan[[#Headers],[Mã Đơn bán]:[Kênh]]),0),0)</f>
        <v>0</v>
      </c>
      <c r="AL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 s="48">
        <f>IFERROR(Table_Main[[#This Row],[Giá trị bán trước VAT]]*Table_Main[[#This Row],[Tỷ lệ CK kênh]],"")</f>
        <v>0</v>
      </c>
      <c r="AN6" s="230"/>
      <c r="AO6" s="232"/>
      <c r="AP6" s="226">
        <f>Table_Main[[#This Row],[ĐK - Phân loại]]*Table_Main[[#This Row],[ĐK - Thời gian]]*Table_Main[[#This Row],[ĐK - Giá trị]]*Table_Main[[#This Row],[ĐK - Số lượng]]*Table_Main[[#This Row],[ĐK - Sinh nhật]]*Table_Main[[#This Row],[ĐK - Ngày mua cuối]]</f>
        <v>1</v>
      </c>
      <c r="AQ6" s="226">
        <f xml:space="preserve">
IF(ISBLANK(Table_Main[[#This Row],[Chương trình]]),1,
IF(VLOOKUP(Table_Main[[#This Row],[Chương trình]],Table_ChuongTrinh[[Mã Chương trình]:[Đối tượng CK]],Sheet_ChuongTrinh!$C$1,0) = "Sản phẩm",1,0))</f>
        <v>1</v>
      </c>
      <c r="AR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8" ht="18" customHeight="1" x14ac:dyDescent="0.3">
      <c r="B7" s="523"/>
      <c r="C7" s="238" t="s">
        <v>1153</v>
      </c>
      <c r="D7" s="531" t="str">
        <f>IF(ISBLANK(Table_Main[[#This Row],[Mã SKU]]),Table_Main[[#This Row],[Mã Nguyên liệu]],Table_Main[[#This Row],[Mã SKU]])</f>
        <v>NL1</v>
      </c>
      <c r="E7" s="416"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16"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16"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16"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16">
        <f>IFERROR(Table_Main[[#This Row],[Giá trị tồn đầu ngày]]/Table_Main[[#This Row],[Tồn kho đầu ngày]],0)</f>
        <v>106213.67880461096</v>
      </c>
      <c r="J7" s="416">
        <f>IFERROR(Table_Main[[#This Row],[Giá trị tồn cuối ngày]]/Table_Main[[#This Row],[Tồn kho cuối ngày]],0)</f>
        <v>106213.67880461096</v>
      </c>
      <c r="K7" s="411">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1155</v>
      </c>
      <c r="Q7" s="404">
        <v>7</v>
      </c>
      <c r="R7" s="516"/>
      <c r="S7" s="530">
        <f>IFERROR(VLOOKUP(Table_Main[[#This Row],[Đơn Mua]],Table_DonMua[[Mã Đơn mua]:[Add]],COUNTA(Table_DonMua[[#Headers],[Mã Đơn mua]:[Mã Đối tác]]),0),0)</f>
        <v>0</v>
      </c>
      <c r="T7" s="405"/>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16"/>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66">
        <f>IFERROR(
VLOOKUP(Table_Main[[#This Row],[Mã SKU]],Table_SKU[[Mã SKU]:[Tỷ suất VAT]],COUNTA(Table_SKU[[#Headers],[Mã SKU]:[Tỷ suất VAT]]),0),0)</f>
        <v>0</v>
      </c>
      <c r="AG7" s="48">
        <f xml:space="preserve">
IF(Table_Main[[#This Row],[Đơn bán]]="", 0,Table_Main[[#This Row],[Tỷ suất VAT]]*Table_Main[[#This Row],[Giá trị bán trước VAT]])</f>
        <v>0</v>
      </c>
      <c r="AH7" s="51">
        <f>IFERROR(VLOOKUP(Table_Main[[#This Row],[Đơn bán]],Table_DonBan[[Mã Đơn bán]:[Add]],COUNTA(Table_DonBan[[#Headers],[Mã Đơn bán]:[Mã NV]]),0),0)</f>
        <v>0</v>
      </c>
      <c r="AI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 s="48">
        <f>IFERROR(Table_Main[[#This Row],[Giá trị bán trước VAT]]*Table_Main[[#This Row],[Tỷ lệ hoa hồng]],"")</f>
        <v>0</v>
      </c>
      <c r="AK7" s="48">
        <f>IFERROR(VLOOKUP(Table_Main[[#This Row],[Đơn bán]],Table_DonBan[[Mã Đơn bán]:[Add]],COUNTA(Table_DonBan[[#Headers],[Mã Đơn bán]:[Kênh]]),0),0)</f>
        <v>0</v>
      </c>
      <c r="AL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 s="48">
        <f>IFERROR(Table_Main[[#This Row],[Giá trị bán trước VAT]]*Table_Main[[#This Row],[Tỷ lệ CK kênh]],"")</f>
        <v>0</v>
      </c>
      <c r="AN7" s="230"/>
      <c r="AO7" s="232"/>
      <c r="AP7" s="226">
        <f>Table_Main[[#This Row],[ĐK - Phân loại]]*Table_Main[[#This Row],[ĐK - Thời gian]]*Table_Main[[#This Row],[ĐK - Giá trị]]*Table_Main[[#This Row],[ĐK - Số lượng]]*Table_Main[[#This Row],[ĐK - Sinh nhật]]*Table_Main[[#This Row],[ĐK - Ngày mua cuối]]</f>
        <v>1</v>
      </c>
      <c r="AQ7" s="226">
        <f xml:space="preserve">
IF(ISBLANK(Table_Main[[#This Row],[Chương trình]]),1,
IF(VLOOKUP(Table_Main[[#This Row],[Chương trình]],Table_ChuongTrinh[[Mã Chương trình]:[Đối tượng CK]],Sheet_ChuongTrinh!$C$1,0) = "Sản phẩm",1,0))</f>
        <v>1</v>
      </c>
      <c r="AR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8" ht="18" customHeight="1" x14ac:dyDescent="0.3">
      <c r="B8" s="516" t="s">
        <v>1150</v>
      </c>
      <c r="C8" s="516"/>
      <c r="D8" s="530" t="str">
        <f>IF(ISBLANK(Table_Main[[#This Row],[Mã SKU]]),Table_Main[[#This Row],[Mã Nguyên liệu]],Table_Main[[#This Row],[Mã SKU]])</f>
        <v>TP1</v>
      </c>
      <c r="E8" s="416"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16"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16"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16"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16">
        <f>IFERROR(Table_Main[[#This Row],[Giá trị tồn đầu ngày]]/Table_Main[[#This Row],[Tồn kho đầu ngày]],0)</f>
        <v>0</v>
      </c>
      <c r="J8" s="416">
        <f>IFERROR(Table_Main[[#This Row],[Giá trị tồn cuối ngày]]/Table_Main[[#This Row],[Tồn kho cuối ngày]],0)</f>
        <v>0</v>
      </c>
      <c r="K8" s="411">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1154</v>
      </c>
      <c r="P8" s="230" t="s">
        <v>1155</v>
      </c>
      <c r="Q8" s="404">
        <v>6</v>
      </c>
      <c r="R8" s="516"/>
      <c r="S8" s="530">
        <f>IFERROR(VLOOKUP(Table_Main[[#This Row],[Đơn Mua]],Table_DonMua[[Mã Đơn mua]:[Add]],COUNTA(Table_DonMua[[#Headers],[Mã Đơn mua]:[Mã Đối tác]]),0),0)</f>
        <v>0</v>
      </c>
      <c r="T8" s="405"/>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16"/>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66">
        <f>IFERROR(
VLOOKUP(Table_Main[[#This Row],[Mã SKU]],Table_SKU[[Mã SKU]:[Tỷ suất VAT]],COUNTA(Table_SKU[[#Headers],[Mã SKU]:[Tỷ suất VAT]]),0),0)</f>
        <v>0</v>
      </c>
      <c r="AG8" s="48">
        <f xml:space="preserve">
IF(Table_Main[[#This Row],[Đơn bán]]="", 0,Table_Main[[#This Row],[Tỷ suất VAT]]*Table_Main[[#This Row],[Giá trị bán trước VAT]])</f>
        <v>0</v>
      </c>
      <c r="AH8" s="51">
        <f>IFERROR(VLOOKUP(Table_Main[[#This Row],[Đơn bán]],Table_DonBan[[Mã Đơn bán]:[Add]],COUNTA(Table_DonBan[[#Headers],[Mã Đơn bán]:[Mã NV]]),0),0)</f>
        <v>0</v>
      </c>
      <c r="AI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 s="48">
        <f>IFERROR(Table_Main[[#This Row],[Giá trị bán trước VAT]]*Table_Main[[#This Row],[Tỷ lệ hoa hồng]],"")</f>
        <v>0</v>
      </c>
      <c r="AK8" s="48">
        <f>IFERROR(VLOOKUP(Table_Main[[#This Row],[Đơn bán]],Table_DonBan[[Mã Đơn bán]:[Add]],COUNTA(Table_DonBan[[#Headers],[Mã Đơn bán]:[Kênh]]),0),0)</f>
        <v>0</v>
      </c>
      <c r="AL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 s="48">
        <f>IFERROR(Table_Main[[#This Row],[Giá trị bán trước VAT]]*Table_Main[[#This Row],[Tỷ lệ CK kênh]],"")</f>
        <v>0</v>
      </c>
      <c r="AN8" s="230"/>
      <c r="AO8" s="232"/>
      <c r="AP8" s="226">
        <f>Table_Main[[#This Row],[ĐK - Phân loại]]*Table_Main[[#This Row],[ĐK - Thời gian]]*Table_Main[[#This Row],[ĐK - Giá trị]]*Table_Main[[#This Row],[ĐK - Số lượng]]*Table_Main[[#This Row],[ĐK - Sinh nhật]]*Table_Main[[#This Row],[ĐK - Ngày mua cuối]]</f>
        <v>1</v>
      </c>
      <c r="AQ8" s="226">
        <f xml:space="preserve">
IF(ISBLANK(Table_Main[[#This Row],[Chương trình]]),1,
IF(VLOOKUP(Table_Main[[#This Row],[Chương trình]],Table_ChuongTrinh[[Mã Chương trình]:[Đối tượng CK]],Sheet_ChuongTrinh!$C$1,0) = "Sản phẩm",1,0))</f>
        <v>1</v>
      </c>
      <c r="AR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8" ht="18" customHeight="1" x14ac:dyDescent="0.3">
      <c r="B9" s="523"/>
      <c r="C9" s="238" t="s">
        <v>1152</v>
      </c>
      <c r="D9" s="531" t="str">
        <f>IF(ISBLANK(Table_Main[[#This Row],[Mã SKU]]),Table_Main[[#This Row],[Mã Nguyên liệu]],Table_Main[[#This Row],[Mã SKU]])</f>
        <v>NL2</v>
      </c>
      <c r="E9" s="416"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16"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16"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16"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16">
        <f>IFERROR(Table_Main[[#This Row],[Giá trị tồn đầu ngày]]/Table_Main[[#This Row],[Tồn kho đầu ngày]],0)</f>
        <v>119047.60542941959</v>
      </c>
      <c r="J9" s="416">
        <f>IFERROR(Table_Main[[#This Row],[Giá trị tồn cuối ngày]]/Table_Main[[#This Row],[Tồn kho cuối ngày]],0)</f>
        <v>119047.60542941962</v>
      </c>
      <c r="K9" s="411">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1155</v>
      </c>
      <c r="Q9" s="404">
        <v>20</v>
      </c>
      <c r="R9" s="516"/>
      <c r="S9" s="530">
        <f>IFERROR(VLOOKUP(Table_Main[[#This Row],[Đơn Mua]],Table_DonMua[[Mã Đơn mua]:[Add]],COUNTA(Table_DonMua[[#Headers],[Mã Đơn mua]:[Mã Đối tác]]),0),0)</f>
        <v>0</v>
      </c>
      <c r="T9" s="405"/>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16"/>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66">
        <f>IFERROR(
VLOOKUP(Table_Main[[#This Row],[Mã SKU]],Table_SKU[[Mã SKU]:[Tỷ suất VAT]],COUNTA(Table_SKU[[#Headers],[Mã SKU]:[Tỷ suất VAT]]),0),0)</f>
        <v>0</v>
      </c>
      <c r="AG9" s="48">
        <f xml:space="preserve">
IF(Table_Main[[#This Row],[Đơn bán]]="", 0,Table_Main[[#This Row],[Tỷ suất VAT]]*Table_Main[[#This Row],[Giá trị bán trước VAT]])</f>
        <v>0</v>
      </c>
      <c r="AH9" s="51">
        <f>IFERROR(VLOOKUP(Table_Main[[#This Row],[Đơn bán]],Table_DonBan[[Mã Đơn bán]:[Add]],COUNTA(Table_DonBan[[#Headers],[Mã Đơn bán]:[Mã NV]]),0),0)</f>
        <v>0</v>
      </c>
      <c r="AI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9" s="48">
        <f>IFERROR(Table_Main[[#This Row],[Giá trị bán trước VAT]]*Table_Main[[#This Row],[Tỷ lệ hoa hồng]],"")</f>
        <v>0</v>
      </c>
      <c r="AK9" s="48">
        <f>IFERROR(VLOOKUP(Table_Main[[#This Row],[Đơn bán]],Table_DonBan[[Mã Đơn bán]:[Add]],COUNTA(Table_DonBan[[#Headers],[Mã Đơn bán]:[Kênh]]),0),0)</f>
        <v>0</v>
      </c>
      <c r="AL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9" s="48">
        <f>IFERROR(Table_Main[[#This Row],[Giá trị bán trước VAT]]*Table_Main[[#This Row],[Tỷ lệ CK kênh]],"")</f>
        <v>0</v>
      </c>
      <c r="AN9" s="230"/>
      <c r="AO9" s="232"/>
      <c r="AP9" s="226">
        <f>Table_Main[[#This Row],[ĐK - Phân loại]]*Table_Main[[#This Row],[ĐK - Thời gian]]*Table_Main[[#This Row],[ĐK - Giá trị]]*Table_Main[[#This Row],[ĐK - Số lượng]]*Table_Main[[#This Row],[ĐK - Sinh nhật]]*Table_Main[[#This Row],[ĐK - Ngày mua cuối]]</f>
        <v>1</v>
      </c>
      <c r="AQ9" s="226">
        <f xml:space="preserve">
IF(ISBLANK(Table_Main[[#This Row],[Chương trình]]),1,
IF(VLOOKUP(Table_Main[[#This Row],[Chương trình]],Table_ChuongTrinh[[Mã Chương trình]:[Đối tượng CK]],Sheet_ChuongTrinh!$C$1,0) = "Sản phẩm",1,0))</f>
        <v>1</v>
      </c>
      <c r="AR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8" ht="18" customHeight="1" x14ac:dyDescent="0.3">
      <c r="B10" s="523"/>
      <c r="C10" s="238" t="s">
        <v>1152</v>
      </c>
      <c r="D10" s="531" t="str">
        <f>IF(ISBLANK(Table_Main[[#This Row],[Mã SKU]]),Table_Main[[#This Row],[Mã Nguyên liệu]],Table_Main[[#This Row],[Mã SKU]])</f>
        <v>NL2</v>
      </c>
      <c r="E10" s="416"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16"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16"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16"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16">
        <f>IFERROR(Table_Main[[#This Row],[Giá trị tồn đầu ngày]]/Table_Main[[#This Row],[Tồn kho đầu ngày]],0)</f>
        <v>119047.60542941962</v>
      </c>
      <c r="J10" s="416">
        <f>IFERROR(Table_Main[[#This Row],[Giá trị tồn cuối ngày]]/Table_Main[[#This Row],[Tồn kho cuối ngày]],0)</f>
        <v>128804.14006551338</v>
      </c>
      <c r="K10" s="411">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1154</v>
      </c>
      <c r="P10" s="230" t="s">
        <v>1155</v>
      </c>
      <c r="Q10" s="404">
        <v>28</v>
      </c>
      <c r="R10" s="516" t="s">
        <v>1179</v>
      </c>
      <c r="S10" s="530" t="str">
        <f>IFERROR(VLOOKUP(Table_Main[[#This Row],[Đơn Mua]],Table_DonMua[[Mã Đơn mua]:[Add]],COUNTA(Table_DonMua[[#Headers],[Mã Đơn mua]:[Mã Đối tác]]),0),0)</f>
        <v>NCC1</v>
      </c>
      <c r="T10" s="405">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16"/>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66">
        <f>IFERROR(
VLOOKUP(Table_Main[[#This Row],[Mã SKU]],Table_SKU[[Mã SKU]:[Tỷ suất VAT]],COUNTA(Table_SKU[[#Headers],[Mã SKU]:[Tỷ suất VAT]]),0),0)</f>
        <v>0</v>
      </c>
      <c r="AG10" s="48">
        <f xml:space="preserve">
IF(Table_Main[[#This Row],[Đơn bán]]="", 0,Table_Main[[#This Row],[Tỷ suất VAT]]*Table_Main[[#This Row],[Giá trị bán trước VAT]])</f>
        <v>0</v>
      </c>
      <c r="AH10" s="51">
        <f>IFERROR(VLOOKUP(Table_Main[[#This Row],[Đơn bán]],Table_DonBan[[Mã Đơn bán]:[Add]],COUNTA(Table_DonBan[[#Headers],[Mã Đơn bán]:[Mã NV]]),0),0)</f>
        <v>0</v>
      </c>
      <c r="AI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0" s="48">
        <f>IFERROR(Table_Main[[#This Row],[Giá trị bán trước VAT]]*Table_Main[[#This Row],[Tỷ lệ hoa hồng]],"")</f>
        <v>0</v>
      </c>
      <c r="AK10" s="48">
        <f>IFERROR(VLOOKUP(Table_Main[[#This Row],[Đơn bán]],Table_DonBan[[Mã Đơn bán]:[Add]],COUNTA(Table_DonBan[[#Headers],[Mã Đơn bán]:[Kênh]]),0),0)</f>
        <v>0</v>
      </c>
      <c r="AL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0" s="48">
        <f>IFERROR(Table_Main[[#This Row],[Giá trị bán trước VAT]]*Table_Main[[#This Row],[Tỷ lệ CK kênh]],"")</f>
        <v>0</v>
      </c>
      <c r="AN10" s="230"/>
      <c r="AO10" s="232"/>
      <c r="AP10" s="226">
        <f>Table_Main[[#This Row],[ĐK - Phân loại]]*Table_Main[[#This Row],[ĐK - Thời gian]]*Table_Main[[#This Row],[ĐK - Giá trị]]*Table_Main[[#This Row],[ĐK - Số lượng]]*Table_Main[[#This Row],[ĐK - Sinh nhật]]*Table_Main[[#This Row],[ĐK - Ngày mua cuối]]</f>
        <v>1</v>
      </c>
      <c r="AQ10" s="226">
        <f xml:space="preserve">
IF(ISBLANK(Table_Main[[#This Row],[Chương trình]]),1,
IF(VLOOKUP(Table_Main[[#This Row],[Chương trình]],Table_ChuongTrinh[[Mã Chương trình]:[Đối tượng CK]],Sheet_ChuongTrinh!$C$1,0) = "Sản phẩm",1,0))</f>
        <v>1</v>
      </c>
      <c r="AR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8" ht="18" customHeight="1" x14ac:dyDescent="0.3">
      <c r="B11" s="516" t="s">
        <v>1149</v>
      </c>
      <c r="C11" s="516"/>
      <c r="D11" s="530" t="str">
        <f>IF(ISBLANK(Table_Main[[#This Row],[Mã SKU]]),Table_Main[[#This Row],[Mã Nguyên liệu]],Table_Main[[#This Row],[Mã SKU]])</f>
        <v>HH1</v>
      </c>
      <c r="E11" s="416"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16"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16"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16"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16">
        <f>IFERROR(Table_Main[[#This Row],[Giá trị tồn đầu ngày]]/Table_Main[[#This Row],[Tồn kho đầu ngày]],0)</f>
        <v>74384.128277531243</v>
      </c>
      <c r="J11" s="416">
        <f>IFERROR(Table_Main[[#This Row],[Giá trị tồn cuối ngày]]/Table_Main[[#This Row],[Tồn kho cuối ngày]],0)</f>
        <v>87281.460090850087</v>
      </c>
      <c r="K11" s="411">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1154</v>
      </c>
      <c r="P11" s="230" t="s">
        <v>1155</v>
      </c>
      <c r="Q11" s="404">
        <v>32</v>
      </c>
      <c r="R11" s="516" t="s">
        <v>1178</v>
      </c>
      <c r="S11" s="530" t="str">
        <f>IFERROR(VLOOKUP(Table_Main[[#This Row],[Đơn Mua]],Table_DonMua[[Mã Đơn mua]:[Add]],COUNTA(Table_DonMua[[#Headers],[Mã Đơn mua]:[Mã Đối tác]]),0),0)</f>
        <v>NCC2</v>
      </c>
      <c r="T11" s="405">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16"/>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66">
        <f>IFERROR(
VLOOKUP(Table_Main[[#This Row],[Mã SKU]],Table_SKU[[Mã SKU]:[Tỷ suất VAT]],COUNTA(Table_SKU[[#Headers],[Mã SKU]:[Tỷ suất VAT]]),0),0)</f>
        <v>0</v>
      </c>
      <c r="AG11" s="48">
        <f xml:space="preserve">
IF(Table_Main[[#This Row],[Đơn bán]]="", 0,Table_Main[[#This Row],[Tỷ suất VAT]]*Table_Main[[#This Row],[Giá trị bán trước VAT]])</f>
        <v>0</v>
      </c>
      <c r="AH11" s="51">
        <f>IFERROR(VLOOKUP(Table_Main[[#This Row],[Đơn bán]],Table_DonBan[[Mã Đơn bán]:[Add]],COUNTA(Table_DonBan[[#Headers],[Mã Đơn bán]:[Mã NV]]),0),0)</f>
        <v>0</v>
      </c>
      <c r="AI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1" s="48">
        <f>IFERROR(Table_Main[[#This Row],[Giá trị bán trước VAT]]*Table_Main[[#This Row],[Tỷ lệ hoa hồng]],"")</f>
        <v>0</v>
      </c>
      <c r="AK11" s="48">
        <f>IFERROR(VLOOKUP(Table_Main[[#This Row],[Đơn bán]],Table_DonBan[[Mã Đơn bán]:[Add]],COUNTA(Table_DonBan[[#Headers],[Mã Đơn bán]:[Kênh]]),0),0)</f>
        <v>0</v>
      </c>
      <c r="AL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1" s="48">
        <f>IFERROR(Table_Main[[#This Row],[Giá trị bán trước VAT]]*Table_Main[[#This Row],[Tỷ lệ CK kênh]],"")</f>
        <v>0</v>
      </c>
      <c r="AN11" s="230"/>
      <c r="AO11" s="232"/>
      <c r="AP11" s="226">
        <f>Table_Main[[#This Row],[ĐK - Phân loại]]*Table_Main[[#This Row],[ĐK - Thời gian]]*Table_Main[[#This Row],[ĐK - Giá trị]]*Table_Main[[#This Row],[ĐK - Số lượng]]*Table_Main[[#This Row],[ĐK - Sinh nhật]]*Table_Main[[#This Row],[ĐK - Ngày mua cuối]]</f>
        <v>1</v>
      </c>
      <c r="AQ11" s="226">
        <f xml:space="preserve">
IF(ISBLANK(Table_Main[[#This Row],[Chương trình]]),1,
IF(VLOOKUP(Table_Main[[#This Row],[Chương trình]],Table_ChuongTrinh[[Mã Chương trình]:[Đối tượng CK]],Sheet_ChuongTrinh!$C$1,0) = "Sản phẩm",1,0))</f>
        <v>1</v>
      </c>
      <c r="AR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8" ht="18" customHeight="1" x14ac:dyDescent="0.3">
      <c r="B12" s="523"/>
      <c r="C12" s="238" t="s">
        <v>1152</v>
      </c>
      <c r="D12" s="531" t="str">
        <f>IF(ISBLANK(Table_Main[[#This Row],[Mã SKU]]),Table_Main[[#This Row],[Mã Nguyên liệu]],Table_Main[[#This Row],[Mã SKU]])</f>
        <v>NL2</v>
      </c>
      <c r="E12" s="416"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16"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16"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16"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16">
        <f>IFERROR(Table_Main[[#This Row],[Giá trị tồn đầu ngày]]/Table_Main[[#This Row],[Tồn kho đầu ngày]],0)</f>
        <v>119047.60542941962</v>
      </c>
      <c r="J12" s="416">
        <f>IFERROR(Table_Main[[#This Row],[Giá trị tồn cuối ngày]]/Table_Main[[#This Row],[Tồn kho cuối ngày]],0)</f>
        <v>119047.60542941959</v>
      </c>
      <c r="K12" s="411">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1155</v>
      </c>
      <c r="Q12" s="404">
        <v>23</v>
      </c>
      <c r="R12" s="516"/>
      <c r="S12" s="530">
        <f>IFERROR(VLOOKUP(Table_Main[[#This Row],[Đơn Mua]],Table_DonMua[[Mã Đơn mua]:[Add]],COUNTA(Table_DonMua[[#Headers],[Mã Đơn mua]:[Mã Đối tác]]),0),0)</f>
        <v>0</v>
      </c>
      <c r="T12" s="405"/>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16"/>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66">
        <f>IFERROR(
VLOOKUP(Table_Main[[#This Row],[Mã SKU]],Table_SKU[[Mã SKU]:[Tỷ suất VAT]],COUNTA(Table_SKU[[#Headers],[Mã SKU]:[Tỷ suất VAT]]),0),0)</f>
        <v>0</v>
      </c>
      <c r="AG12" s="48">
        <f xml:space="preserve">
IF(Table_Main[[#This Row],[Đơn bán]]="", 0,Table_Main[[#This Row],[Tỷ suất VAT]]*Table_Main[[#This Row],[Giá trị bán trước VAT]])</f>
        <v>0</v>
      </c>
      <c r="AH12" s="51">
        <f>IFERROR(VLOOKUP(Table_Main[[#This Row],[Đơn bán]],Table_DonBan[[Mã Đơn bán]:[Add]],COUNTA(Table_DonBan[[#Headers],[Mã Đơn bán]:[Mã NV]]),0),0)</f>
        <v>0</v>
      </c>
      <c r="AI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2" s="48">
        <f>IFERROR(Table_Main[[#This Row],[Giá trị bán trước VAT]]*Table_Main[[#This Row],[Tỷ lệ hoa hồng]],"")</f>
        <v>0</v>
      </c>
      <c r="AK12" s="48">
        <f>IFERROR(VLOOKUP(Table_Main[[#This Row],[Đơn bán]],Table_DonBan[[Mã Đơn bán]:[Add]],COUNTA(Table_DonBan[[#Headers],[Mã Đơn bán]:[Kênh]]),0),0)</f>
        <v>0</v>
      </c>
      <c r="AL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2" s="48">
        <f>IFERROR(Table_Main[[#This Row],[Giá trị bán trước VAT]]*Table_Main[[#This Row],[Tỷ lệ CK kênh]],"")</f>
        <v>0</v>
      </c>
      <c r="AN12" s="230"/>
      <c r="AO12" s="232"/>
      <c r="AP12" s="226">
        <f>Table_Main[[#This Row],[ĐK - Phân loại]]*Table_Main[[#This Row],[ĐK - Thời gian]]*Table_Main[[#This Row],[ĐK - Giá trị]]*Table_Main[[#This Row],[ĐK - Số lượng]]*Table_Main[[#This Row],[ĐK - Sinh nhật]]*Table_Main[[#This Row],[ĐK - Ngày mua cuối]]</f>
        <v>1</v>
      </c>
      <c r="AQ12" s="226">
        <f xml:space="preserve">
IF(ISBLANK(Table_Main[[#This Row],[Chương trình]]),1,
IF(VLOOKUP(Table_Main[[#This Row],[Chương trình]],Table_ChuongTrinh[[Mã Chương trình]:[Đối tượng CK]],Sheet_ChuongTrinh!$C$1,0) = "Sản phẩm",1,0))</f>
        <v>1</v>
      </c>
      <c r="AR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8" ht="18" customHeight="1" x14ac:dyDescent="0.3">
      <c r="B13" s="516" t="s">
        <v>1149</v>
      </c>
      <c r="C13" s="516"/>
      <c r="D13" s="530" t="str">
        <f>IF(ISBLANK(Table_Main[[#This Row],[Mã SKU]]),Table_Main[[#This Row],[Mã Nguyên liệu]],Table_Main[[#This Row],[Mã SKU]])</f>
        <v>HH1</v>
      </c>
      <c r="E13" s="416"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16"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16"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16"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16">
        <f>IFERROR(Table_Main[[#This Row],[Giá trị tồn đầu ngày]]/Table_Main[[#This Row],[Tồn kho đầu ngày]],0)</f>
        <v>59403.864427860673</v>
      </c>
      <c r="J13" s="416">
        <f>IFERROR(Table_Main[[#This Row],[Giá trị tồn cuối ngày]]/Table_Main[[#This Row],[Tồn kho cuối ngày]],0)</f>
        <v>74384.128277531243</v>
      </c>
      <c r="K13" s="411">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1154</v>
      </c>
      <c r="P13" s="230" t="s">
        <v>1155</v>
      </c>
      <c r="Q13" s="404">
        <v>13</v>
      </c>
      <c r="R13" s="516" t="s">
        <v>1177</v>
      </c>
      <c r="S13" s="530" t="str">
        <f>IFERROR(VLOOKUP(Table_Main[[#This Row],[Đơn Mua]],Table_DonMua[[Mã Đơn mua]:[Add]],COUNTA(Table_DonMua[[#Headers],[Mã Đơn mua]:[Mã Đối tác]]),0),0)</f>
        <v>NCC3</v>
      </c>
      <c r="T13" s="405">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16"/>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66">
        <f>IFERROR(
VLOOKUP(Table_Main[[#This Row],[Mã SKU]],Table_SKU[[Mã SKU]:[Tỷ suất VAT]],COUNTA(Table_SKU[[#Headers],[Mã SKU]:[Tỷ suất VAT]]),0),0)</f>
        <v>0</v>
      </c>
      <c r="AG13" s="48">
        <f xml:space="preserve">
IF(Table_Main[[#This Row],[Đơn bán]]="", 0,Table_Main[[#This Row],[Tỷ suất VAT]]*Table_Main[[#This Row],[Giá trị bán trước VAT]])</f>
        <v>0</v>
      </c>
      <c r="AH13" s="51">
        <f>IFERROR(VLOOKUP(Table_Main[[#This Row],[Đơn bán]],Table_DonBan[[Mã Đơn bán]:[Add]],COUNTA(Table_DonBan[[#Headers],[Mã Đơn bán]:[Mã NV]]),0),0)</f>
        <v>0</v>
      </c>
      <c r="AI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3" s="48">
        <f>IFERROR(Table_Main[[#This Row],[Giá trị bán trước VAT]]*Table_Main[[#This Row],[Tỷ lệ hoa hồng]],"")</f>
        <v>0</v>
      </c>
      <c r="AK13" s="48">
        <f>IFERROR(VLOOKUP(Table_Main[[#This Row],[Đơn bán]],Table_DonBan[[Mã Đơn bán]:[Add]],COUNTA(Table_DonBan[[#Headers],[Mã Đơn bán]:[Kênh]]),0),0)</f>
        <v>0</v>
      </c>
      <c r="AL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3" s="48">
        <f>IFERROR(Table_Main[[#This Row],[Giá trị bán trước VAT]]*Table_Main[[#This Row],[Tỷ lệ CK kênh]],"")</f>
        <v>0</v>
      </c>
      <c r="AN13" s="230"/>
      <c r="AO13" s="232"/>
      <c r="AP13" s="226">
        <f>Table_Main[[#This Row],[ĐK - Phân loại]]*Table_Main[[#This Row],[ĐK - Thời gian]]*Table_Main[[#This Row],[ĐK - Giá trị]]*Table_Main[[#This Row],[ĐK - Số lượng]]*Table_Main[[#This Row],[ĐK - Sinh nhật]]*Table_Main[[#This Row],[ĐK - Ngày mua cuối]]</f>
        <v>1</v>
      </c>
      <c r="AQ13" s="226">
        <f xml:space="preserve">
IF(ISBLANK(Table_Main[[#This Row],[Chương trình]]),1,
IF(VLOOKUP(Table_Main[[#This Row],[Chương trình]],Table_ChuongTrinh[[Mã Chương trình]:[Đối tượng CK]],Sheet_ChuongTrinh!$C$1,0) = "Sản phẩm",1,0))</f>
        <v>1</v>
      </c>
      <c r="AR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8" ht="18" customHeight="1" x14ac:dyDescent="0.3">
      <c r="B14" s="523"/>
      <c r="C14" s="238" t="s">
        <v>1152</v>
      </c>
      <c r="D14" s="531" t="str">
        <f>IF(ISBLANK(Table_Main[[#This Row],[Mã SKU]]),Table_Main[[#This Row],[Mã Nguyên liệu]],Table_Main[[#This Row],[Mã SKU]])</f>
        <v>NL2</v>
      </c>
      <c r="E14" s="416"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16"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16"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16"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16">
        <f>IFERROR(Table_Main[[#This Row],[Giá trị tồn đầu ngày]]/Table_Main[[#This Row],[Tồn kho đầu ngày]],0)</f>
        <v>124977.61214215468</v>
      </c>
      <c r="J14" s="416">
        <f>IFERROR(Table_Main[[#This Row],[Giá trị tồn cuối ngày]]/Table_Main[[#This Row],[Tồn kho cuối ngày]],0)</f>
        <v>119047.60542941962</v>
      </c>
      <c r="K14" s="411">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1154</v>
      </c>
      <c r="P14" s="230" t="s">
        <v>1155</v>
      </c>
      <c r="Q14" s="404">
        <v>24</v>
      </c>
      <c r="R14" s="516" t="s">
        <v>1176</v>
      </c>
      <c r="S14" s="530" t="str">
        <f>IFERROR(VLOOKUP(Table_Main[[#This Row],[Đơn Mua]],Table_DonMua[[Mã Đơn mua]:[Add]],COUNTA(Table_DonMua[[#Headers],[Mã Đơn mua]:[Mã Đối tác]]),0),0)</f>
        <v>NCC2</v>
      </c>
      <c r="T14" s="405">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16"/>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66">
        <f>IFERROR(
VLOOKUP(Table_Main[[#This Row],[Mã SKU]],Table_SKU[[Mã SKU]:[Tỷ suất VAT]],COUNTA(Table_SKU[[#Headers],[Mã SKU]:[Tỷ suất VAT]]),0),0)</f>
        <v>0</v>
      </c>
      <c r="AG14" s="48">
        <f xml:space="preserve">
IF(Table_Main[[#This Row],[Đơn bán]]="", 0,Table_Main[[#This Row],[Tỷ suất VAT]]*Table_Main[[#This Row],[Giá trị bán trước VAT]])</f>
        <v>0</v>
      </c>
      <c r="AH14" s="51">
        <f>IFERROR(VLOOKUP(Table_Main[[#This Row],[Đơn bán]],Table_DonBan[[Mã Đơn bán]:[Add]],COUNTA(Table_DonBan[[#Headers],[Mã Đơn bán]:[Mã NV]]),0),0)</f>
        <v>0</v>
      </c>
      <c r="AI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4" s="48">
        <f>IFERROR(Table_Main[[#This Row],[Giá trị bán trước VAT]]*Table_Main[[#This Row],[Tỷ lệ hoa hồng]],"")</f>
        <v>0</v>
      </c>
      <c r="AK14" s="48">
        <f>IFERROR(VLOOKUP(Table_Main[[#This Row],[Đơn bán]],Table_DonBan[[Mã Đơn bán]:[Add]],COUNTA(Table_DonBan[[#Headers],[Mã Đơn bán]:[Kênh]]),0),0)</f>
        <v>0</v>
      </c>
      <c r="AL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4" s="48">
        <f>IFERROR(Table_Main[[#This Row],[Giá trị bán trước VAT]]*Table_Main[[#This Row],[Tỷ lệ CK kênh]],"")</f>
        <v>0</v>
      </c>
      <c r="AN14" s="230"/>
      <c r="AO14" s="232"/>
      <c r="AP14" s="226">
        <f>Table_Main[[#This Row],[ĐK - Phân loại]]*Table_Main[[#This Row],[ĐK - Thời gian]]*Table_Main[[#This Row],[ĐK - Giá trị]]*Table_Main[[#This Row],[ĐK - Số lượng]]*Table_Main[[#This Row],[ĐK - Sinh nhật]]*Table_Main[[#This Row],[ĐK - Ngày mua cuối]]</f>
        <v>1</v>
      </c>
      <c r="AQ14" s="226">
        <f xml:space="preserve">
IF(ISBLANK(Table_Main[[#This Row],[Chương trình]]),1,
IF(VLOOKUP(Table_Main[[#This Row],[Chương trình]],Table_ChuongTrinh[[Mã Chương trình]:[Đối tượng CK]],Sheet_ChuongTrinh!$C$1,0) = "Sản phẩm",1,0))</f>
        <v>1</v>
      </c>
      <c r="AR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8" ht="18" customHeight="1" x14ac:dyDescent="0.3">
      <c r="B15" s="523"/>
      <c r="C15" s="238" t="s">
        <v>1153</v>
      </c>
      <c r="D15" s="531" t="str">
        <f>IF(ISBLANK(Table_Main[[#This Row],[Mã SKU]]),Table_Main[[#This Row],[Mã Nguyên liệu]],Table_Main[[#This Row],[Mã SKU]])</f>
        <v>NL1</v>
      </c>
      <c r="E15" s="416"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16"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16"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16"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16">
        <f>IFERROR(Table_Main[[#This Row],[Giá trị tồn đầu ngày]]/Table_Main[[#This Row],[Tồn kho đầu ngày]],0)</f>
        <v>97256.577798663333</v>
      </c>
      <c r="J15" s="416">
        <f>IFERROR(Table_Main[[#This Row],[Giá trị tồn cuối ngày]]/Table_Main[[#This Row],[Tồn kho cuối ngày]],0)</f>
        <v>106213.67880461096</v>
      </c>
      <c r="K15" s="411">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1154</v>
      </c>
      <c r="P15" s="230" t="s">
        <v>1155</v>
      </c>
      <c r="Q15" s="404">
        <v>35</v>
      </c>
      <c r="R15" s="516" t="s">
        <v>1175</v>
      </c>
      <c r="S15" s="530" t="str">
        <f>IFERROR(VLOOKUP(Table_Main[[#This Row],[Đơn Mua]],Table_DonMua[[Mã Đơn mua]:[Add]],COUNTA(Table_DonMua[[#Headers],[Mã Đơn mua]:[Mã Đối tác]]),0),0)</f>
        <v>NCC2</v>
      </c>
      <c r="T15" s="405">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16"/>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66">
        <f>IFERROR(
VLOOKUP(Table_Main[[#This Row],[Mã SKU]],Table_SKU[[Mã SKU]:[Tỷ suất VAT]],COUNTA(Table_SKU[[#Headers],[Mã SKU]:[Tỷ suất VAT]]),0),0)</f>
        <v>0</v>
      </c>
      <c r="AG15" s="48">
        <f xml:space="preserve">
IF(Table_Main[[#This Row],[Đơn bán]]="", 0,Table_Main[[#This Row],[Tỷ suất VAT]]*Table_Main[[#This Row],[Giá trị bán trước VAT]])</f>
        <v>0</v>
      </c>
      <c r="AH15" s="51">
        <f>IFERROR(VLOOKUP(Table_Main[[#This Row],[Đơn bán]],Table_DonBan[[Mã Đơn bán]:[Add]],COUNTA(Table_DonBan[[#Headers],[Mã Đơn bán]:[Mã NV]]),0),0)</f>
        <v>0</v>
      </c>
      <c r="AI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5" s="48">
        <f>IFERROR(Table_Main[[#This Row],[Giá trị bán trước VAT]]*Table_Main[[#This Row],[Tỷ lệ hoa hồng]],"")</f>
        <v>0</v>
      </c>
      <c r="AK15" s="48">
        <f>IFERROR(VLOOKUP(Table_Main[[#This Row],[Đơn bán]],Table_DonBan[[Mã Đơn bán]:[Add]],COUNTA(Table_DonBan[[#Headers],[Mã Đơn bán]:[Kênh]]),0),0)</f>
        <v>0</v>
      </c>
      <c r="AL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5" s="48">
        <f>IFERROR(Table_Main[[#This Row],[Giá trị bán trước VAT]]*Table_Main[[#This Row],[Tỷ lệ CK kênh]],"")</f>
        <v>0</v>
      </c>
      <c r="AN15" s="230"/>
      <c r="AO15" s="232"/>
      <c r="AP15" s="226">
        <f>Table_Main[[#This Row],[ĐK - Phân loại]]*Table_Main[[#This Row],[ĐK - Thời gian]]*Table_Main[[#This Row],[ĐK - Giá trị]]*Table_Main[[#This Row],[ĐK - Số lượng]]*Table_Main[[#This Row],[ĐK - Sinh nhật]]*Table_Main[[#This Row],[ĐK - Ngày mua cuối]]</f>
        <v>1</v>
      </c>
      <c r="AQ15" s="226">
        <f xml:space="preserve">
IF(ISBLANK(Table_Main[[#This Row],[Chương trình]]),1,
IF(VLOOKUP(Table_Main[[#This Row],[Chương trình]],Table_ChuongTrinh[[Mã Chương trình]:[Đối tượng CK]],Sheet_ChuongTrinh!$C$1,0) = "Sản phẩm",1,0))</f>
        <v>1</v>
      </c>
      <c r="AR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8" ht="18" customHeight="1" x14ac:dyDescent="0.3">
      <c r="B16" s="516" t="s">
        <v>1150</v>
      </c>
      <c r="C16" s="516"/>
      <c r="D16" s="530" t="str">
        <f>IF(ISBLANK(Table_Main[[#This Row],[Mã SKU]]),Table_Main[[#This Row],[Mã Nguyên liệu]],Table_Main[[#This Row],[Mã SKU]])</f>
        <v>TP1</v>
      </c>
      <c r="E16" s="416"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16"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16"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16"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16">
        <f>IFERROR(Table_Main[[#This Row],[Giá trị tồn đầu ngày]]/Table_Main[[#This Row],[Tồn kho đầu ngày]],0)</f>
        <v>0</v>
      </c>
      <c r="J16" s="416">
        <f>IFERROR(Table_Main[[#This Row],[Giá trị tồn cuối ngày]]/Table_Main[[#This Row],[Tồn kho cuối ngày]],0)</f>
        <v>0</v>
      </c>
      <c r="K16" s="411">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1155</v>
      </c>
      <c r="Q16" s="404">
        <v>34</v>
      </c>
      <c r="R16" s="516"/>
      <c r="S16" s="530">
        <f>IFERROR(VLOOKUP(Table_Main[[#This Row],[Đơn Mua]],Table_DonMua[[Mã Đơn mua]:[Add]],COUNTA(Table_DonMua[[#Headers],[Mã Đơn mua]:[Mã Đối tác]]),0),0)</f>
        <v>0</v>
      </c>
      <c r="T16" s="405"/>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16" t="s">
        <v>1220</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66">
        <f>IFERROR(
VLOOKUP(Table_Main[[#This Row],[Mã SKU]],Table_SKU[[Mã SKU]:[Tỷ suất VAT]],COUNTA(Table_SKU[[#Headers],[Mã SKU]:[Tỷ suất VAT]]),0),0)</f>
        <v>0</v>
      </c>
      <c r="AG16" s="48">
        <f xml:space="preserve">
IF(Table_Main[[#This Row],[Đơn bán]]="", 0,Table_Main[[#This Row],[Tỷ suất VAT]]*Table_Main[[#This Row],[Giá trị bán trước VAT]])</f>
        <v>0</v>
      </c>
      <c r="AH16" s="51">
        <f>IFERROR(VLOOKUP(Table_Main[[#This Row],[Đơn bán]],Table_DonBan[[Mã Đơn bán]:[Add]],COUNTA(Table_DonBan[[#Headers],[Mã Đơn bán]:[Mã NV]]),0),0)</f>
        <v>0</v>
      </c>
      <c r="AI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6" s="48">
        <f>IFERROR(Table_Main[[#This Row],[Giá trị bán trước VAT]]*Table_Main[[#This Row],[Tỷ lệ hoa hồng]],"")</f>
        <v>0</v>
      </c>
      <c r="AK16" s="48">
        <f>IFERROR(VLOOKUP(Table_Main[[#This Row],[Đơn bán]],Table_DonBan[[Mã Đơn bán]:[Add]],COUNTA(Table_DonBan[[#Headers],[Mã Đơn bán]:[Kênh]]),0),0)</f>
        <v>0</v>
      </c>
      <c r="AL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6" s="48">
        <f>IFERROR(Table_Main[[#This Row],[Giá trị bán trước VAT]]*Table_Main[[#This Row],[Tỷ lệ CK kênh]],"")</f>
        <v>0</v>
      </c>
      <c r="AN16" s="230"/>
      <c r="AO16" s="232"/>
      <c r="AP16" s="226">
        <f>Table_Main[[#This Row],[ĐK - Phân loại]]*Table_Main[[#This Row],[ĐK - Thời gian]]*Table_Main[[#This Row],[ĐK - Giá trị]]*Table_Main[[#This Row],[ĐK - Số lượng]]*Table_Main[[#This Row],[ĐK - Sinh nhật]]*Table_Main[[#This Row],[ĐK - Ngày mua cuối]]</f>
        <v>1</v>
      </c>
      <c r="AQ16" s="226">
        <f xml:space="preserve">
IF(ISBLANK(Table_Main[[#This Row],[Chương trình]]),1,
IF(VLOOKUP(Table_Main[[#This Row],[Chương trình]],Table_ChuongTrinh[[Mã Chương trình]:[Đối tượng CK]],Sheet_ChuongTrinh!$C$1,0) = "Sản phẩm",1,0))</f>
        <v>1</v>
      </c>
      <c r="AR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8" ht="18" customHeight="1" x14ac:dyDescent="0.3">
      <c r="B17" s="516" t="s">
        <v>1149</v>
      </c>
      <c r="C17" s="516"/>
      <c r="D17" s="530" t="str">
        <f>IF(ISBLANK(Table_Main[[#This Row],[Mã SKU]]),Table_Main[[#This Row],[Mã Nguyên liệu]],Table_Main[[#This Row],[Mã SKU]])</f>
        <v>HH1</v>
      </c>
      <c r="E17" s="416"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16"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16"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16"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16">
        <f>IFERROR(Table_Main[[#This Row],[Giá trị tồn đầu ngày]]/Table_Main[[#This Row],[Tồn kho đầu ngày]],0)</f>
        <v>59403.864427860703</v>
      </c>
      <c r="J17" s="416">
        <f>IFERROR(Table_Main[[#This Row],[Giá trị tồn cuối ngày]]/Table_Main[[#This Row],[Tồn kho cuối ngày]],0)</f>
        <v>59403.864427860673</v>
      </c>
      <c r="K17" s="411">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1155</v>
      </c>
      <c r="Q17" s="404">
        <v>22</v>
      </c>
      <c r="R17" s="516"/>
      <c r="S17" s="530">
        <f>IFERROR(VLOOKUP(Table_Main[[#This Row],[Đơn Mua]],Table_DonMua[[Mã Đơn mua]:[Add]],COUNTA(Table_DonMua[[#Headers],[Mã Đơn mua]:[Mã Đối tác]]),0),0)</f>
        <v>0</v>
      </c>
      <c r="T17" s="405"/>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16" t="s">
        <v>1219</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66">
        <f>IFERROR(
VLOOKUP(Table_Main[[#This Row],[Mã SKU]],Table_SKU[[Mã SKU]:[Tỷ suất VAT]],COUNTA(Table_SKU[[#Headers],[Mã SKU]:[Tỷ suất VAT]]),0),0)</f>
        <v>0</v>
      </c>
      <c r="AG17" s="48">
        <f xml:space="preserve">
IF(Table_Main[[#This Row],[Đơn bán]]="", 0,Table_Main[[#This Row],[Tỷ suất VAT]]*Table_Main[[#This Row],[Giá trị bán trước VAT]])</f>
        <v>0</v>
      </c>
      <c r="AH17" s="51">
        <f>IFERROR(VLOOKUP(Table_Main[[#This Row],[Đơn bán]],Table_DonBan[[Mã Đơn bán]:[Add]],COUNTA(Table_DonBan[[#Headers],[Mã Đơn bán]:[Mã NV]]),0),0)</f>
        <v>0</v>
      </c>
      <c r="AI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7" s="48">
        <f>IFERROR(Table_Main[[#This Row],[Giá trị bán trước VAT]]*Table_Main[[#This Row],[Tỷ lệ hoa hồng]],"")</f>
        <v>0</v>
      </c>
      <c r="AK17" s="48">
        <f>IFERROR(VLOOKUP(Table_Main[[#This Row],[Đơn bán]],Table_DonBan[[Mã Đơn bán]:[Add]],COUNTA(Table_DonBan[[#Headers],[Mã Đơn bán]:[Kênh]]),0),0)</f>
        <v>0</v>
      </c>
      <c r="AL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7" s="48">
        <f>IFERROR(Table_Main[[#This Row],[Giá trị bán trước VAT]]*Table_Main[[#This Row],[Tỷ lệ CK kênh]],"")</f>
        <v>0</v>
      </c>
      <c r="AN17" s="230"/>
      <c r="AO17" s="232"/>
      <c r="AP17" s="226">
        <f>Table_Main[[#This Row],[ĐK - Phân loại]]*Table_Main[[#This Row],[ĐK - Thời gian]]*Table_Main[[#This Row],[ĐK - Giá trị]]*Table_Main[[#This Row],[ĐK - Số lượng]]*Table_Main[[#This Row],[ĐK - Sinh nhật]]*Table_Main[[#This Row],[ĐK - Ngày mua cuối]]</f>
        <v>1</v>
      </c>
      <c r="AQ17" s="226">
        <f xml:space="preserve">
IF(ISBLANK(Table_Main[[#This Row],[Chương trình]]),1,
IF(VLOOKUP(Table_Main[[#This Row],[Chương trình]],Table_ChuongTrinh[[Mã Chương trình]:[Đối tượng CK]],Sheet_ChuongTrinh!$C$1,0) = "Sản phẩm",1,0))</f>
        <v>1</v>
      </c>
      <c r="AR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8" ht="18" customHeight="1" x14ac:dyDescent="0.3">
      <c r="B18" s="516" t="s">
        <v>1149</v>
      </c>
      <c r="C18" s="516"/>
      <c r="D18" s="530" t="str">
        <f>IF(ISBLANK(Table_Main[[#This Row],[Mã SKU]]),Table_Main[[#This Row],[Mã Nguyên liệu]],Table_Main[[#This Row],[Mã SKU]])</f>
        <v>HH1</v>
      </c>
      <c r="E18" s="416"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16"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16"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16"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16">
        <f>IFERROR(Table_Main[[#This Row],[Giá trị tồn đầu ngày]]/Table_Main[[#This Row],[Tồn kho đầu ngày]],0)</f>
        <v>59403.86442786071</v>
      </c>
      <c r="J18" s="416">
        <f>IFERROR(Table_Main[[#This Row],[Giá trị tồn cuối ngày]]/Table_Main[[#This Row],[Tồn kho cuối ngày]],0)</f>
        <v>59403.864427860703</v>
      </c>
      <c r="K18" s="411">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1155</v>
      </c>
      <c r="Q18" s="404">
        <v>2</v>
      </c>
      <c r="R18" s="516"/>
      <c r="S18" s="530">
        <f>IFERROR(VLOOKUP(Table_Main[[#This Row],[Đơn Mua]],Table_DonMua[[Mã Đơn mua]:[Add]],COUNTA(Table_DonMua[[#Headers],[Mã Đơn mua]:[Mã Đối tác]]),0),0)</f>
        <v>0</v>
      </c>
      <c r="T18" s="405"/>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16" t="s">
        <v>1218</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66">
        <f>IFERROR(
VLOOKUP(Table_Main[[#This Row],[Mã SKU]],Table_SKU[[Mã SKU]:[Tỷ suất VAT]],COUNTA(Table_SKU[[#Headers],[Mã SKU]:[Tỷ suất VAT]]),0),0)</f>
        <v>0</v>
      </c>
      <c r="AG18" s="48">
        <f xml:space="preserve">
IF(Table_Main[[#This Row],[Đơn bán]]="", 0,Table_Main[[#This Row],[Tỷ suất VAT]]*Table_Main[[#This Row],[Giá trị bán trước VAT]])</f>
        <v>0</v>
      </c>
      <c r="AH18" s="51">
        <f>IFERROR(VLOOKUP(Table_Main[[#This Row],[Đơn bán]],Table_DonBan[[Mã Đơn bán]:[Add]],COUNTA(Table_DonBan[[#Headers],[Mã Đơn bán]:[Mã NV]]),0),0)</f>
        <v>0</v>
      </c>
      <c r="AI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8" s="48">
        <f>IFERROR(Table_Main[[#This Row],[Giá trị bán trước VAT]]*Table_Main[[#This Row],[Tỷ lệ hoa hồng]],"")</f>
        <v>0</v>
      </c>
      <c r="AK18" s="48">
        <f>IFERROR(VLOOKUP(Table_Main[[#This Row],[Đơn bán]],Table_DonBan[[Mã Đơn bán]:[Add]],COUNTA(Table_DonBan[[#Headers],[Mã Đơn bán]:[Kênh]]),0),0)</f>
        <v>0</v>
      </c>
      <c r="AL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8" s="48">
        <f>IFERROR(Table_Main[[#This Row],[Giá trị bán trước VAT]]*Table_Main[[#This Row],[Tỷ lệ CK kênh]],"")</f>
        <v>0</v>
      </c>
      <c r="AN18" s="230"/>
      <c r="AO18" s="232"/>
      <c r="AP18" s="226">
        <f>Table_Main[[#This Row],[ĐK - Phân loại]]*Table_Main[[#This Row],[ĐK - Thời gian]]*Table_Main[[#This Row],[ĐK - Giá trị]]*Table_Main[[#This Row],[ĐK - Số lượng]]*Table_Main[[#This Row],[ĐK - Sinh nhật]]*Table_Main[[#This Row],[ĐK - Ngày mua cuối]]</f>
        <v>1</v>
      </c>
      <c r="AQ18" s="226">
        <f xml:space="preserve">
IF(ISBLANK(Table_Main[[#This Row],[Chương trình]]),1,
IF(VLOOKUP(Table_Main[[#This Row],[Chương trình]],Table_ChuongTrinh[[Mã Chương trình]:[Đối tượng CK]],Sheet_ChuongTrinh!$C$1,0) = "Sản phẩm",1,0))</f>
        <v>1</v>
      </c>
      <c r="AR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8" ht="18" customHeight="1" x14ac:dyDescent="0.3">
      <c r="B19" s="516" t="s">
        <v>1151</v>
      </c>
      <c r="C19" s="516"/>
      <c r="D19" s="530" t="str">
        <f>IF(ISBLANK(Table_Main[[#This Row],[Mã SKU]]),Table_Main[[#This Row],[Mã Nguyên liệu]],Table_Main[[#This Row],[Mã SKU]])</f>
        <v>TP2</v>
      </c>
      <c r="E19" s="416"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16"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16"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16"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16">
        <f>IFERROR(Table_Main[[#This Row],[Giá trị tồn đầu ngày]]/Table_Main[[#This Row],[Tồn kho đầu ngày]],0)</f>
        <v>0</v>
      </c>
      <c r="J19" s="416">
        <f>IFERROR(Table_Main[[#This Row],[Giá trị tồn cuối ngày]]/Table_Main[[#This Row],[Tồn kho cuối ngày]],0)</f>
        <v>0</v>
      </c>
      <c r="K19" s="411">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1154</v>
      </c>
      <c r="P19" s="230" t="s">
        <v>1155</v>
      </c>
      <c r="Q19" s="404">
        <v>15</v>
      </c>
      <c r="R19" s="516"/>
      <c r="S19" s="530">
        <f>IFERROR(VLOOKUP(Table_Main[[#This Row],[Đơn Mua]],Table_DonMua[[Mã Đơn mua]:[Add]],COUNTA(Table_DonMua[[#Headers],[Mã Đơn mua]:[Mã Đối tác]]),0),0)</f>
        <v>0</v>
      </c>
      <c r="T19" s="405"/>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16"/>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66">
        <f>IFERROR(
VLOOKUP(Table_Main[[#This Row],[Mã SKU]],Table_SKU[[Mã SKU]:[Tỷ suất VAT]],COUNTA(Table_SKU[[#Headers],[Mã SKU]:[Tỷ suất VAT]]),0),0)</f>
        <v>0</v>
      </c>
      <c r="AG19" s="48">
        <f xml:space="preserve">
IF(Table_Main[[#This Row],[Đơn bán]]="", 0,Table_Main[[#This Row],[Tỷ suất VAT]]*Table_Main[[#This Row],[Giá trị bán trước VAT]])</f>
        <v>0</v>
      </c>
      <c r="AH19" s="51">
        <f>IFERROR(VLOOKUP(Table_Main[[#This Row],[Đơn bán]],Table_DonBan[[Mã Đơn bán]:[Add]],COUNTA(Table_DonBan[[#Headers],[Mã Đơn bán]:[Mã NV]]),0),0)</f>
        <v>0</v>
      </c>
      <c r="AI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19" s="48">
        <f>IFERROR(Table_Main[[#This Row],[Giá trị bán trước VAT]]*Table_Main[[#This Row],[Tỷ lệ hoa hồng]],"")</f>
        <v>0</v>
      </c>
      <c r="AK19" s="48">
        <f>IFERROR(VLOOKUP(Table_Main[[#This Row],[Đơn bán]],Table_DonBan[[Mã Đơn bán]:[Add]],COUNTA(Table_DonBan[[#Headers],[Mã Đơn bán]:[Kênh]]),0),0)</f>
        <v>0</v>
      </c>
      <c r="AL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19" s="48">
        <f>IFERROR(Table_Main[[#This Row],[Giá trị bán trước VAT]]*Table_Main[[#This Row],[Tỷ lệ CK kênh]],"")</f>
        <v>0</v>
      </c>
      <c r="AN19" s="230"/>
      <c r="AO19" s="232"/>
      <c r="AP19" s="226">
        <f>Table_Main[[#This Row],[ĐK - Phân loại]]*Table_Main[[#This Row],[ĐK - Thời gian]]*Table_Main[[#This Row],[ĐK - Giá trị]]*Table_Main[[#This Row],[ĐK - Số lượng]]*Table_Main[[#This Row],[ĐK - Sinh nhật]]*Table_Main[[#This Row],[ĐK - Ngày mua cuối]]</f>
        <v>1</v>
      </c>
      <c r="AQ19" s="226">
        <f xml:space="preserve">
IF(ISBLANK(Table_Main[[#This Row],[Chương trình]]),1,
IF(VLOOKUP(Table_Main[[#This Row],[Chương trình]],Table_ChuongTrinh[[Mã Chương trình]:[Đối tượng CK]],Sheet_ChuongTrinh!$C$1,0) = "Sản phẩm",1,0))</f>
        <v>1</v>
      </c>
      <c r="AR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8" ht="18" customHeight="1" x14ac:dyDescent="0.3">
      <c r="B20" s="523"/>
      <c r="C20" s="238" t="s">
        <v>1153</v>
      </c>
      <c r="D20" s="531" t="str">
        <f>IF(ISBLANK(Table_Main[[#This Row],[Mã SKU]]),Table_Main[[#This Row],[Mã Nguyên liệu]],Table_Main[[#This Row],[Mã SKU]])</f>
        <v>NL1</v>
      </c>
      <c r="E20" s="416"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16"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16"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16"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16">
        <f>IFERROR(Table_Main[[#This Row],[Giá trị tồn đầu ngày]]/Table_Main[[#This Row],[Tồn kho đầu ngày]],0)</f>
        <v>97256.577798663333</v>
      </c>
      <c r="J20" s="416">
        <f>IFERROR(Table_Main[[#This Row],[Giá trị tồn cuối ngày]]/Table_Main[[#This Row],[Tồn kho cuối ngày]],0)</f>
        <v>97256.577798663333</v>
      </c>
      <c r="K20" s="411">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1155</v>
      </c>
      <c r="Q20" s="404">
        <v>27</v>
      </c>
      <c r="R20" s="516"/>
      <c r="S20" s="530">
        <f>IFERROR(VLOOKUP(Table_Main[[#This Row],[Đơn Mua]],Table_DonMua[[Mã Đơn mua]:[Add]],COUNTA(Table_DonMua[[#Headers],[Mã Đơn mua]:[Mã Đối tác]]),0),0)</f>
        <v>0</v>
      </c>
      <c r="T20" s="405"/>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16"/>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66">
        <f>IFERROR(
VLOOKUP(Table_Main[[#This Row],[Mã SKU]],Table_SKU[[Mã SKU]:[Tỷ suất VAT]],COUNTA(Table_SKU[[#Headers],[Mã SKU]:[Tỷ suất VAT]]),0),0)</f>
        <v>0</v>
      </c>
      <c r="AG20" s="48">
        <f xml:space="preserve">
IF(Table_Main[[#This Row],[Đơn bán]]="", 0,Table_Main[[#This Row],[Tỷ suất VAT]]*Table_Main[[#This Row],[Giá trị bán trước VAT]])</f>
        <v>0</v>
      </c>
      <c r="AH20" s="51">
        <f>IFERROR(VLOOKUP(Table_Main[[#This Row],[Đơn bán]],Table_DonBan[[Mã Đơn bán]:[Add]],COUNTA(Table_DonBan[[#Headers],[Mã Đơn bán]:[Mã NV]]),0),0)</f>
        <v>0</v>
      </c>
      <c r="AI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0" s="48">
        <f>IFERROR(Table_Main[[#This Row],[Giá trị bán trước VAT]]*Table_Main[[#This Row],[Tỷ lệ hoa hồng]],"")</f>
        <v>0</v>
      </c>
      <c r="AK20" s="48">
        <f>IFERROR(VLOOKUP(Table_Main[[#This Row],[Đơn bán]],Table_DonBan[[Mã Đơn bán]:[Add]],COUNTA(Table_DonBan[[#Headers],[Mã Đơn bán]:[Kênh]]),0),0)</f>
        <v>0</v>
      </c>
      <c r="AL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0" s="48">
        <f>IFERROR(Table_Main[[#This Row],[Giá trị bán trước VAT]]*Table_Main[[#This Row],[Tỷ lệ CK kênh]],"")</f>
        <v>0</v>
      </c>
      <c r="AN20" s="230"/>
      <c r="AO20" s="232"/>
      <c r="AP20" s="226">
        <f>Table_Main[[#This Row],[ĐK - Phân loại]]*Table_Main[[#This Row],[ĐK - Thời gian]]*Table_Main[[#This Row],[ĐK - Giá trị]]*Table_Main[[#This Row],[ĐK - Số lượng]]*Table_Main[[#This Row],[ĐK - Sinh nhật]]*Table_Main[[#This Row],[ĐK - Ngày mua cuối]]</f>
        <v>1</v>
      </c>
      <c r="AQ20" s="226">
        <f xml:space="preserve">
IF(ISBLANK(Table_Main[[#This Row],[Chương trình]]),1,
IF(VLOOKUP(Table_Main[[#This Row],[Chương trình]],Table_ChuongTrinh[[Mã Chương trình]:[Đối tượng CK]],Sheet_ChuongTrinh!$C$1,0) = "Sản phẩm",1,0))</f>
        <v>1</v>
      </c>
      <c r="AR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8" ht="18" customHeight="1" x14ac:dyDescent="0.3">
      <c r="B21" s="523"/>
      <c r="C21" s="238" t="s">
        <v>1152</v>
      </c>
      <c r="D21" s="531" t="str">
        <f>IF(ISBLANK(Table_Main[[#This Row],[Mã SKU]]),Table_Main[[#This Row],[Mã Nguyên liệu]],Table_Main[[#This Row],[Mã SKU]])</f>
        <v>NL2</v>
      </c>
      <c r="E21" s="416"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16"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16"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16"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16">
        <f>IFERROR(Table_Main[[#This Row],[Giá trị tồn đầu ngày]]/Table_Main[[#This Row],[Tồn kho đầu ngày]],0)</f>
        <v>124434.76478973628</v>
      </c>
      <c r="J21" s="416">
        <f>IFERROR(Table_Main[[#This Row],[Giá trị tồn cuối ngày]]/Table_Main[[#This Row],[Tồn kho cuối ngày]],0)</f>
        <v>124977.61214215468</v>
      </c>
      <c r="K21" s="411">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1154</v>
      </c>
      <c r="P21" s="230" t="s">
        <v>1155</v>
      </c>
      <c r="Q21" s="404">
        <v>4</v>
      </c>
      <c r="R21" s="516" t="s">
        <v>1174</v>
      </c>
      <c r="S21" s="530" t="str">
        <f>IFERROR(VLOOKUP(Table_Main[[#This Row],[Đơn Mua]],Table_DonMua[[Mã Đơn mua]:[Add]],COUNTA(Table_DonMua[[#Headers],[Mã Đơn mua]:[Mã Đối tác]]),0),0)</f>
        <v>NCC2</v>
      </c>
      <c r="T21" s="405">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16"/>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66">
        <f>IFERROR(
VLOOKUP(Table_Main[[#This Row],[Mã SKU]],Table_SKU[[Mã SKU]:[Tỷ suất VAT]],COUNTA(Table_SKU[[#Headers],[Mã SKU]:[Tỷ suất VAT]]),0),0)</f>
        <v>0</v>
      </c>
      <c r="AG21" s="48">
        <f xml:space="preserve">
IF(Table_Main[[#This Row],[Đơn bán]]="", 0,Table_Main[[#This Row],[Tỷ suất VAT]]*Table_Main[[#This Row],[Giá trị bán trước VAT]])</f>
        <v>0</v>
      </c>
      <c r="AH21" s="51">
        <f>IFERROR(VLOOKUP(Table_Main[[#This Row],[Đơn bán]],Table_DonBan[[Mã Đơn bán]:[Add]],COUNTA(Table_DonBan[[#Headers],[Mã Đơn bán]:[Mã NV]]),0),0)</f>
        <v>0</v>
      </c>
      <c r="AI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1" s="48">
        <f>IFERROR(Table_Main[[#This Row],[Giá trị bán trước VAT]]*Table_Main[[#This Row],[Tỷ lệ hoa hồng]],"")</f>
        <v>0</v>
      </c>
      <c r="AK21" s="48">
        <f>IFERROR(VLOOKUP(Table_Main[[#This Row],[Đơn bán]],Table_DonBan[[Mã Đơn bán]:[Add]],COUNTA(Table_DonBan[[#Headers],[Mã Đơn bán]:[Kênh]]),0),0)</f>
        <v>0</v>
      </c>
      <c r="AL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1" s="48">
        <f>IFERROR(Table_Main[[#This Row],[Giá trị bán trước VAT]]*Table_Main[[#This Row],[Tỷ lệ CK kênh]],"")</f>
        <v>0</v>
      </c>
      <c r="AN21" s="230"/>
      <c r="AO21" s="232"/>
      <c r="AP21" s="226">
        <f>Table_Main[[#This Row],[ĐK - Phân loại]]*Table_Main[[#This Row],[ĐK - Thời gian]]*Table_Main[[#This Row],[ĐK - Giá trị]]*Table_Main[[#This Row],[ĐK - Số lượng]]*Table_Main[[#This Row],[ĐK - Sinh nhật]]*Table_Main[[#This Row],[ĐK - Ngày mua cuối]]</f>
        <v>1</v>
      </c>
      <c r="AQ21" s="226">
        <f xml:space="preserve">
IF(ISBLANK(Table_Main[[#This Row],[Chương trình]]),1,
IF(VLOOKUP(Table_Main[[#This Row],[Chương trình]],Table_ChuongTrinh[[Mã Chương trình]:[Đối tượng CK]],Sheet_ChuongTrinh!$C$1,0) = "Sản phẩm",1,0))</f>
        <v>1</v>
      </c>
      <c r="AR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8" ht="18" customHeight="1" x14ac:dyDescent="0.3">
      <c r="B22" s="516" t="s">
        <v>1150</v>
      </c>
      <c r="C22" s="516"/>
      <c r="D22" s="530" t="str">
        <f>IF(ISBLANK(Table_Main[[#This Row],[Mã SKU]]),Table_Main[[#This Row],[Mã Nguyên liệu]],Table_Main[[#This Row],[Mã SKU]])</f>
        <v>TP1</v>
      </c>
      <c r="E22" s="416"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16"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16"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16"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16">
        <f>IFERROR(Table_Main[[#This Row],[Giá trị tồn đầu ngày]]/Table_Main[[#This Row],[Tồn kho đầu ngày]],0)</f>
        <v>0</v>
      </c>
      <c r="J22" s="416">
        <f>IFERROR(Table_Main[[#This Row],[Giá trị tồn cuối ngày]]/Table_Main[[#This Row],[Tồn kho cuối ngày]],0)</f>
        <v>0</v>
      </c>
      <c r="K22" s="411">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1155</v>
      </c>
      <c r="Q22" s="404">
        <v>22</v>
      </c>
      <c r="R22" s="516"/>
      <c r="S22" s="530">
        <f>IFERROR(VLOOKUP(Table_Main[[#This Row],[Đơn Mua]],Table_DonMua[[Mã Đơn mua]:[Add]],COUNTA(Table_DonMua[[#Headers],[Mã Đơn mua]:[Mã Đối tác]]),0),0)</f>
        <v>0</v>
      </c>
      <c r="T22" s="405"/>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16" t="s">
        <v>1217</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66">
        <f>IFERROR(
VLOOKUP(Table_Main[[#This Row],[Mã SKU]],Table_SKU[[Mã SKU]:[Tỷ suất VAT]],COUNTA(Table_SKU[[#Headers],[Mã SKU]:[Tỷ suất VAT]]),0),0)</f>
        <v>0</v>
      </c>
      <c r="AG22" s="48">
        <f xml:space="preserve">
IF(Table_Main[[#This Row],[Đơn bán]]="", 0,Table_Main[[#This Row],[Tỷ suất VAT]]*Table_Main[[#This Row],[Giá trị bán trước VAT]])</f>
        <v>0</v>
      </c>
      <c r="AH22" s="51">
        <f>IFERROR(VLOOKUP(Table_Main[[#This Row],[Đơn bán]],Table_DonBan[[Mã Đơn bán]:[Add]],COUNTA(Table_DonBan[[#Headers],[Mã Đơn bán]:[Mã NV]]),0),0)</f>
        <v>0</v>
      </c>
      <c r="AI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2" s="48">
        <f>IFERROR(Table_Main[[#This Row],[Giá trị bán trước VAT]]*Table_Main[[#This Row],[Tỷ lệ hoa hồng]],"")</f>
        <v>0</v>
      </c>
      <c r="AK22" s="48">
        <f>IFERROR(VLOOKUP(Table_Main[[#This Row],[Đơn bán]],Table_DonBan[[Mã Đơn bán]:[Add]],COUNTA(Table_DonBan[[#Headers],[Mã Đơn bán]:[Kênh]]),0),0)</f>
        <v>0</v>
      </c>
      <c r="AL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2" s="48">
        <f>IFERROR(Table_Main[[#This Row],[Giá trị bán trước VAT]]*Table_Main[[#This Row],[Tỷ lệ CK kênh]],"")</f>
        <v>0</v>
      </c>
      <c r="AN22" s="230"/>
      <c r="AO22" s="232"/>
      <c r="AP22" s="226">
        <f>Table_Main[[#This Row],[ĐK - Phân loại]]*Table_Main[[#This Row],[ĐK - Thời gian]]*Table_Main[[#This Row],[ĐK - Giá trị]]*Table_Main[[#This Row],[ĐK - Số lượng]]*Table_Main[[#This Row],[ĐK - Sinh nhật]]*Table_Main[[#This Row],[ĐK - Ngày mua cuối]]</f>
        <v>1</v>
      </c>
      <c r="AQ22" s="226">
        <f xml:space="preserve">
IF(ISBLANK(Table_Main[[#This Row],[Chương trình]]),1,
IF(VLOOKUP(Table_Main[[#This Row],[Chương trình]],Table_ChuongTrinh[[Mã Chương trình]:[Đối tượng CK]],Sheet_ChuongTrinh!$C$1,0) = "Sản phẩm",1,0))</f>
        <v>1</v>
      </c>
      <c r="AR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8" ht="18" customHeight="1" x14ac:dyDescent="0.3">
      <c r="B23" s="516" t="s">
        <v>1151</v>
      </c>
      <c r="C23" s="516"/>
      <c r="D23" s="530" t="str">
        <f>IF(ISBLANK(Table_Main[[#This Row],[Mã SKU]]),Table_Main[[#This Row],[Mã Nguyên liệu]],Table_Main[[#This Row],[Mã SKU]])</f>
        <v>TP2</v>
      </c>
      <c r="E23" s="416"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16"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16"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16"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16">
        <f>IFERROR(Table_Main[[#This Row],[Giá trị tồn đầu ngày]]/Table_Main[[#This Row],[Tồn kho đầu ngày]],0)</f>
        <v>0</v>
      </c>
      <c r="J23" s="416">
        <f>IFERROR(Table_Main[[#This Row],[Giá trị tồn cuối ngày]]/Table_Main[[#This Row],[Tồn kho cuối ngày]],0)</f>
        <v>0</v>
      </c>
      <c r="K23" s="411">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1155</v>
      </c>
      <c r="Q23" s="404">
        <v>8</v>
      </c>
      <c r="R23" s="516"/>
      <c r="S23" s="530">
        <f>IFERROR(VLOOKUP(Table_Main[[#This Row],[Đơn Mua]],Table_DonMua[[Mã Đơn mua]:[Add]],COUNTA(Table_DonMua[[#Headers],[Mã Đơn mua]:[Mã Đối tác]]),0),0)</f>
        <v>0</v>
      </c>
      <c r="T23" s="405"/>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16" t="s">
        <v>1217</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66">
        <f>IFERROR(
VLOOKUP(Table_Main[[#This Row],[Mã SKU]],Table_SKU[[Mã SKU]:[Tỷ suất VAT]],COUNTA(Table_SKU[[#Headers],[Mã SKU]:[Tỷ suất VAT]]),0),0)</f>
        <v>0</v>
      </c>
      <c r="AG23" s="48">
        <f xml:space="preserve">
IF(Table_Main[[#This Row],[Đơn bán]]="", 0,Table_Main[[#This Row],[Tỷ suất VAT]]*Table_Main[[#This Row],[Giá trị bán trước VAT]])</f>
        <v>0</v>
      </c>
      <c r="AH23" s="51">
        <f>IFERROR(VLOOKUP(Table_Main[[#This Row],[Đơn bán]],Table_DonBan[[Mã Đơn bán]:[Add]],COUNTA(Table_DonBan[[#Headers],[Mã Đơn bán]:[Mã NV]]),0),0)</f>
        <v>0</v>
      </c>
      <c r="AI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3" s="48">
        <f>IFERROR(Table_Main[[#This Row],[Giá trị bán trước VAT]]*Table_Main[[#This Row],[Tỷ lệ hoa hồng]],"")</f>
        <v>0</v>
      </c>
      <c r="AK23" s="48">
        <f>IFERROR(VLOOKUP(Table_Main[[#This Row],[Đơn bán]],Table_DonBan[[Mã Đơn bán]:[Add]],COUNTA(Table_DonBan[[#Headers],[Mã Đơn bán]:[Kênh]]),0),0)</f>
        <v>0</v>
      </c>
      <c r="AL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3" s="48">
        <f>IFERROR(Table_Main[[#This Row],[Giá trị bán trước VAT]]*Table_Main[[#This Row],[Tỷ lệ CK kênh]],"")</f>
        <v>0</v>
      </c>
      <c r="AN23" s="230"/>
      <c r="AO23" s="232"/>
      <c r="AP23" s="226">
        <f>Table_Main[[#This Row],[ĐK - Phân loại]]*Table_Main[[#This Row],[ĐK - Thời gian]]*Table_Main[[#This Row],[ĐK - Giá trị]]*Table_Main[[#This Row],[ĐK - Số lượng]]*Table_Main[[#This Row],[ĐK - Sinh nhật]]*Table_Main[[#This Row],[ĐK - Ngày mua cuối]]</f>
        <v>1</v>
      </c>
      <c r="AQ23" s="226">
        <f xml:space="preserve">
IF(ISBLANK(Table_Main[[#This Row],[Chương trình]]),1,
IF(VLOOKUP(Table_Main[[#This Row],[Chương trình]],Table_ChuongTrinh[[Mã Chương trình]:[Đối tượng CK]],Sheet_ChuongTrinh!$C$1,0) = "Sản phẩm",1,0))</f>
        <v>1</v>
      </c>
      <c r="AR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8" ht="18" customHeight="1" x14ac:dyDescent="0.3">
      <c r="B24" s="516" t="s">
        <v>1151</v>
      </c>
      <c r="C24" s="516"/>
      <c r="D24" s="530" t="str">
        <f>IF(ISBLANK(Table_Main[[#This Row],[Mã SKU]]),Table_Main[[#This Row],[Mã Nguyên liệu]],Table_Main[[#This Row],[Mã SKU]])</f>
        <v>TP2</v>
      </c>
      <c r="E24" s="416"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16"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16"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16"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16">
        <f>IFERROR(Table_Main[[#This Row],[Giá trị tồn đầu ngày]]/Table_Main[[#This Row],[Tồn kho đầu ngày]],0)</f>
        <v>0</v>
      </c>
      <c r="J24" s="416">
        <f>IFERROR(Table_Main[[#This Row],[Giá trị tồn cuối ngày]]/Table_Main[[#This Row],[Tồn kho cuối ngày]],0)</f>
        <v>0</v>
      </c>
      <c r="K24" s="411">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1155</v>
      </c>
      <c r="Q24" s="404">
        <v>34</v>
      </c>
      <c r="R24" s="516"/>
      <c r="S24" s="530">
        <f>IFERROR(VLOOKUP(Table_Main[[#This Row],[Đơn Mua]],Table_DonMua[[Mã Đơn mua]:[Add]],COUNTA(Table_DonMua[[#Headers],[Mã Đơn mua]:[Mã Đối tác]]),0),0)</f>
        <v>0</v>
      </c>
      <c r="T24" s="405"/>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16" t="s">
        <v>1216</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66">
        <f>IFERROR(
VLOOKUP(Table_Main[[#This Row],[Mã SKU]],Table_SKU[[Mã SKU]:[Tỷ suất VAT]],COUNTA(Table_SKU[[#Headers],[Mã SKU]:[Tỷ suất VAT]]),0),0)</f>
        <v>0</v>
      </c>
      <c r="AG24" s="48">
        <f xml:space="preserve">
IF(Table_Main[[#This Row],[Đơn bán]]="", 0,Table_Main[[#This Row],[Tỷ suất VAT]]*Table_Main[[#This Row],[Giá trị bán trước VAT]])</f>
        <v>0</v>
      </c>
      <c r="AH24" s="51">
        <f>IFERROR(VLOOKUP(Table_Main[[#This Row],[Đơn bán]],Table_DonBan[[Mã Đơn bán]:[Add]],COUNTA(Table_DonBan[[#Headers],[Mã Đơn bán]:[Mã NV]]),0),0)</f>
        <v>0</v>
      </c>
      <c r="AI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4" s="48">
        <f>IFERROR(Table_Main[[#This Row],[Giá trị bán trước VAT]]*Table_Main[[#This Row],[Tỷ lệ hoa hồng]],"")</f>
        <v>0</v>
      </c>
      <c r="AK24" s="48">
        <f>IFERROR(VLOOKUP(Table_Main[[#This Row],[Đơn bán]],Table_DonBan[[Mã Đơn bán]:[Add]],COUNTA(Table_DonBan[[#Headers],[Mã Đơn bán]:[Kênh]]),0),0)</f>
        <v>0</v>
      </c>
      <c r="AL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4" s="48">
        <f>IFERROR(Table_Main[[#This Row],[Giá trị bán trước VAT]]*Table_Main[[#This Row],[Tỷ lệ CK kênh]],"")</f>
        <v>0</v>
      </c>
      <c r="AN24" s="230"/>
      <c r="AO24" s="232"/>
      <c r="AP24" s="226">
        <f>Table_Main[[#This Row],[ĐK - Phân loại]]*Table_Main[[#This Row],[ĐK - Thời gian]]*Table_Main[[#This Row],[ĐK - Giá trị]]*Table_Main[[#This Row],[ĐK - Số lượng]]*Table_Main[[#This Row],[ĐK - Sinh nhật]]*Table_Main[[#This Row],[ĐK - Ngày mua cuối]]</f>
        <v>1</v>
      </c>
      <c r="AQ24" s="226">
        <f xml:space="preserve">
IF(ISBLANK(Table_Main[[#This Row],[Chương trình]]),1,
IF(VLOOKUP(Table_Main[[#This Row],[Chương trình]],Table_ChuongTrinh[[Mã Chương trình]:[Đối tượng CK]],Sheet_ChuongTrinh!$C$1,0) = "Sản phẩm",1,0))</f>
        <v>1</v>
      </c>
      <c r="AR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8" ht="18" customHeight="1" x14ac:dyDescent="0.3">
      <c r="B25" s="516" t="s">
        <v>1149</v>
      </c>
      <c r="C25" s="516"/>
      <c r="D25" s="530" t="str">
        <f>IF(ISBLANK(Table_Main[[#This Row],[Mã SKU]]),Table_Main[[#This Row],[Mã Nguyên liệu]],Table_Main[[#This Row],[Mã SKU]])</f>
        <v>HH1</v>
      </c>
      <c r="E25" s="416"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16"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16"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16"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16">
        <f>IFERROR(Table_Main[[#This Row],[Giá trị tồn đầu ngày]]/Table_Main[[#This Row],[Tồn kho đầu ngày]],0)</f>
        <v>35013.186567164259</v>
      </c>
      <c r="J25" s="416">
        <f>IFERROR(Table_Main[[#This Row],[Giá trị tồn cuối ngày]]/Table_Main[[#This Row],[Tồn kho cuối ngày]],0)</f>
        <v>59403.86442786071</v>
      </c>
      <c r="K25" s="411">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1154</v>
      </c>
      <c r="P25" s="230" t="s">
        <v>1155</v>
      </c>
      <c r="Q25" s="404">
        <v>40</v>
      </c>
      <c r="R25" s="516" t="s">
        <v>1173</v>
      </c>
      <c r="S25" s="530" t="str">
        <f>IFERROR(VLOOKUP(Table_Main[[#This Row],[Đơn Mua]],Table_DonMua[[Mã Đơn mua]:[Add]],COUNTA(Table_DonMua[[#Headers],[Mã Đơn mua]:[Mã Đối tác]]),0),0)</f>
        <v>NCC1</v>
      </c>
      <c r="T25" s="405">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16"/>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66">
        <f>IFERROR(
VLOOKUP(Table_Main[[#This Row],[Mã SKU]],Table_SKU[[Mã SKU]:[Tỷ suất VAT]],COUNTA(Table_SKU[[#Headers],[Mã SKU]:[Tỷ suất VAT]]),0),0)</f>
        <v>0</v>
      </c>
      <c r="AG25" s="48">
        <f xml:space="preserve">
IF(Table_Main[[#This Row],[Đơn bán]]="", 0,Table_Main[[#This Row],[Tỷ suất VAT]]*Table_Main[[#This Row],[Giá trị bán trước VAT]])</f>
        <v>0</v>
      </c>
      <c r="AH25" s="51">
        <f>IFERROR(VLOOKUP(Table_Main[[#This Row],[Đơn bán]],Table_DonBan[[Mã Đơn bán]:[Add]],COUNTA(Table_DonBan[[#Headers],[Mã Đơn bán]:[Mã NV]]),0),0)</f>
        <v>0</v>
      </c>
      <c r="AI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5" s="48">
        <f>IFERROR(Table_Main[[#This Row],[Giá trị bán trước VAT]]*Table_Main[[#This Row],[Tỷ lệ hoa hồng]],"")</f>
        <v>0</v>
      </c>
      <c r="AK25" s="48">
        <f>IFERROR(VLOOKUP(Table_Main[[#This Row],[Đơn bán]],Table_DonBan[[Mã Đơn bán]:[Add]],COUNTA(Table_DonBan[[#Headers],[Mã Đơn bán]:[Kênh]]),0),0)</f>
        <v>0</v>
      </c>
      <c r="AL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5" s="48">
        <f>IFERROR(Table_Main[[#This Row],[Giá trị bán trước VAT]]*Table_Main[[#This Row],[Tỷ lệ CK kênh]],"")</f>
        <v>0</v>
      </c>
      <c r="AN25" s="230"/>
      <c r="AO25" s="232"/>
      <c r="AP25" s="226">
        <f>Table_Main[[#This Row],[ĐK - Phân loại]]*Table_Main[[#This Row],[ĐK - Thời gian]]*Table_Main[[#This Row],[ĐK - Giá trị]]*Table_Main[[#This Row],[ĐK - Số lượng]]*Table_Main[[#This Row],[ĐK - Sinh nhật]]*Table_Main[[#This Row],[ĐK - Ngày mua cuối]]</f>
        <v>1</v>
      </c>
      <c r="AQ25" s="226">
        <f xml:space="preserve">
IF(ISBLANK(Table_Main[[#This Row],[Chương trình]]),1,
IF(VLOOKUP(Table_Main[[#This Row],[Chương trình]],Table_ChuongTrinh[[Mã Chương trình]:[Đối tượng CK]],Sheet_ChuongTrinh!$C$1,0) = "Sản phẩm",1,0))</f>
        <v>1</v>
      </c>
      <c r="AR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8" ht="18" customHeight="1" x14ac:dyDescent="0.3">
      <c r="B26" s="516" t="s">
        <v>1150</v>
      </c>
      <c r="C26" s="516"/>
      <c r="D26" s="530" t="str">
        <f>IF(ISBLANK(Table_Main[[#This Row],[Mã SKU]]),Table_Main[[#This Row],[Mã Nguyên liệu]],Table_Main[[#This Row],[Mã SKU]])</f>
        <v>TP1</v>
      </c>
      <c r="E26" s="416"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16"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16"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16"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16">
        <f>IFERROR(Table_Main[[#This Row],[Giá trị tồn đầu ngày]]/Table_Main[[#This Row],[Tồn kho đầu ngày]],0)</f>
        <v>0</v>
      </c>
      <c r="J26" s="416">
        <f>IFERROR(Table_Main[[#This Row],[Giá trị tồn cuối ngày]]/Table_Main[[#This Row],[Tồn kho cuối ngày]],0)</f>
        <v>0</v>
      </c>
      <c r="K26" s="411">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1154</v>
      </c>
      <c r="P26" s="230" t="s">
        <v>1155</v>
      </c>
      <c r="Q26" s="404">
        <v>5</v>
      </c>
      <c r="R26" s="516"/>
      <c r="S26" s="530">
        <f>IFERROR(VLOOKUP(Table_Main[[#This Row],[Đơn Mua]],Table_DonMua[[Mã Đơn mua]:[Add]],COUNTA(Table_DonMua[[#Headers],[Mã Đơn mua]:[Mã Đối tác]]),0),0)</f>
        <v>0</v>
      </c>
      <c r="T26" s="405"/>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16"/>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66">
        <f>IFERROR(
VLOOKUP(Table_Main[[#This Row],[Mã SKU]],Table_SKU[[Mã SKU]:[Tỷ suất VAT]],COUNTA(Table_SKU[[#Headers],[Mã SKU]:[Tỷ suất VAT]]),0),0)</f>
        <v>0</v>
      </c>
      <c r="AG26" s="48">
        <f xml:space="preserve">
IF(Table_Main[[#This Row],[Đơn bán]]="", 0,Table_Main[[#This Row],[Tỷ suất VAT]]*Table_Main[[#This Row],[Giá trị bán trước VAT]])</f>
        <v>0</v>
      </c>
      <c r="AH26" s="51">
        <f>IFERROR(VLOOKUP(Table_Main[[#This Row],[Đơn bán]],Table_DonBan[[Mã Đơn bán]:[Add]],COUNTA(Table_DonBan[[#Headers],[Mã Đơn bán]:[Mã NV]]),0),0)</f>
        <v>0</v>
      </c>
      <c r="AI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6" s="48">
        <f>IFERROR(Table_Main[[#This Row],[Giá trị bán trước VAT]]*Table_Main[[#This Row],[Tỷ lệ hoa hồng]],"")</f>
        <v>0</v>
      </c>
      <c r="AK26" s="48">
        <f>IFERROR(VLOOKUP(Table_Main[[#This Row],[Đơn bán]],Table_DonBan[[Mã Đơn bán]:[Add]],COUNTA(Table_DonBan[[#Headers],[Mã Đơn bán]:[Kênh]]),0),0)</f>
        <v>0</v>
      </c>
      <c r="AL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6" s="48">
        <f>IFERROR(Table_Main[[#This Row],[Giá trị bán trước VAT]]*Table_Main[[#This Row],[Tỷ lệ CK kênh]],"")</f>
        <v>0</v>
      </c>
      <c r="AN26" s="230"/>
      <c r="AO26" s="232"/>
      <c r="AP26" s="226">
        <f>Table_Main[[#This Row],[ĐK - Phân loại]]*Table_Main[[#This Row],[ĐK - Thời gian]]*Table_Main[[#This Row],[ĐK - Giá trị]]*Table_Main[[#This Row],[ĐK - Số lượng]]*Table_Main[[#This Row],[ĐK - Sinh nhật]]*Table_Main[[#This Row],[ĐK - Ngày mua cuối]]</f>
        <v>1</v>
      </c>
      <c r="AQ26" s="226">
        <f xml:space="preserve">
IF(ISBLANK(Table_Main[[#This Row],[Chương trình]]),1,
IF(VLOOKUP(Table_Main[[#This Row],[Chương trình]],Table_ChuongTrinh[[Mã Chương trình]:[Đối tượng CK]],Sheet_ChuongTrinh!$C$1,0) = "Sản phẩm",1,0))</f>
        <v>1</v>
      </c>
      <c r="AR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8" ht="18" customHeight="1" x14ac:dyDescent="0.3">
      <c r="B27" s="516" t="s">
        <v>1150</v>
      </c>
      <c r="C27" s="516"/>
      <c r="D27" s="530" t="str">
        <f>IF(ISBLANK(Table_Main[[#This Row],[Mã SKU]]),Table_Main[[#This Row],[Mã Nguyên liệu]],Table_Main[[#This Row],[Mã SKU]])</f>
        <v>TP1</v>
      </c>
      <c r="E27" s="416"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16"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16"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16"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16">
        <f>IFERROR(Table_Main[[#This Row],[Giá trị tồn đầu ngày]]/Table_Main[[#This Row],[Tồn kho đầu ngày]],0)</f>
        <v>0</v>
      </c>
      <c r="J27" s="416">
        <f>IFERROR(Table_Main[[#This Row],[Giá trị tồn cuối ngày]]/Table_Main[[#This Row],[Tồn kho cuối ngày]],0)</f>
        <v>0</v>
      </c>
      <c r="K27" s="411">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1155</v>
      </c>
      <c r="Q27" s="404">
        <v>16</v>
      </c>
      <c r="R27" s="516"/>
      <c r="S27" s="530">
        <f>IFERROR(VLOOKUP(Table_Main[[#This Row],[Đơn Mua]],Table_DonMua[[Mã Đơn mua]:[Add]],COUNTA(Table_DonMua[[#Headers],[Mã Đơn mua]:[Mã Đối tác]]),0),0)</f>
        <v>0</v>
      </c>
      <c r="T27" s="405"/>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16" t="s">
        <v>1215</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66">
        <f>IFERROR(
VLOOKUP(Table_Main[[#This Row],[Mã SKU]],Table_SKU[[Mã SKU]:[Tỷ suất VAT]],COUNTA(Table_SKU[[#Headers],[Mã SKU]:[Tỷ suất VAT]]),0),0)</f>
        <v>0</v>
      </c>
      <c r="AG27" s="48">
        <f xml:space="preserve">
IF(Table_Main[[#This Row],[Đơn bán]]="", 0,Table_Main[[#This Row],[Tỷ suất VAT]]*Table_Main[[#This Row],[Giá trị bán trước VAT]])</f>
        <v>0</v>
      </c>
      <c r="AH27" s="51">
        <f>IFERROR(VLOOKUP(Table_Main[[#This Row],[Đơn bán]],Table_DonBan[[Mã Đơn bán]:[Add]],COUNTA(Table_DonBan[[#Headers],[Mã Đơn bán]:[Mã NV]]),0),0)</f>
        <v>0</v>
      </c>
      <c r="AI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7" s="48">
        <f>IFERROR(Table_Main[[#This Row],[Giá trị bán trước VAT]]*Table_Main[[#This Row],[Tỷ lệ hoa hồng]],"")</f>
        <v>0</v>
      </c>
      <c r="AK27" s="48">
        <f>IFERROR(VLOOKUP(Table_Main[[#This Row],[Đơn bán]],Table_DonBan[[Mã Đơn bán]:[Add]],COUNTA(Table_DonBan[[#Headers],[Mã Đơn bán]:[Kênh]]),0),0)</f>
        <v>0</v>
      </c>
      <c r="AL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7" s="48">
        <f>IFERROR(Table_Main[[#This Row],[Giá trị bán trước VAT]]*Table_Main[[#This Row],[Tỷ lệ CK kênh]],"")</f>
        <v>0</v>
      </c>
      <c r="AN27" s="230"/>
      <c r="AO27" s="232"/>
      <c r="AP27" s="226">
        <f>Table_Main[[#This Row],[ĐK - Phân loại]]*Table_Main[[#This Row],[ĐK - Thời gian]]*Table_Main[[#This Row],[ĐK - Giá trị]]*Table_Main[[#This Row],[ĐK - Số lượng]]*Table_Main[[#This Row],[ĐK - Sinh nhật]]*Table_Main[[#This Row],[ĐK - Ngày mua cuối]]</f>
        <v>1</v>
      </c>
      <c r="AQ27" s="226">
        <f xml:space="preserve">
IF(ISBLANK(Table_Main[[#This Row],[Chương trình]]),1,
IF(VLOOKUP(Table_Main[[#This Row],[Chương trình]],Table_ChuongTrinh[[Mã Chương trình]:[Đối tượng CK]],Sheet_ChuongTrinh!$C$1,0) = "Sản phẩm",1,0))</f>
        <v>1</v>
      </c>
      <c r="AR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8" ht="18" customHeight="1" x14ac:dyDescent="0.3">
      <c r="B28" s="516" t="s">
        <v>1151</v>
      </c>
      <c r="C28" s="516"/>
      <c r="D28" s="530" t="str">
        <f>IF(ISBLANK(Table_Main[[#This Row],[Mã SKU]]),Table_Main[[#This Row],[Mã Nguyên liệu]],Table_Main[[#This Row],[Mã SKU]])</f>
        <v>TP2</v>
      </c>
      <c r="E28" s="416"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16"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16"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16"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16">
        <f>IFERROR(Table_Main[[#This Row],[Giá trị tồn đầu ngày]]/Table_Main[[#This Row],[Tồn kho đầu ngày]],0)</f>
        <v>0</v>
      </c>
      <c r="J28" s="416">
        <f>IFERROR(Table_Main[[#This Row],[Giá trị tồn cuối ngày]]/Table_Main[[#This Row],[Tồn kho cuối ngày]],0)</f>
        <v>0</v>
      </c>
      <c r="K28" s="411">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1154</v>
      </c>
      <c r="P28" s="230" t="s">
        <v>1155</v>
      </c>
      <c r="Q28" s="404">
        <v>29</v>
      </c>
      <c r="R28" s="516"/>
      <c r="S28" s="530">
        <f>IFERROR(VLOOKUP(Table_Main[[#This Row],[Đơn Mua]],Table_DonMua[[Mã Đơn mua]:[Add]],COUNTA(Table_DonMua[[#Headers],[Mã Đơn mua]:[Mã Đối tác]]),0),0)</f>
        <v>0</v>
      </c>
      <c r="T28" s="405"/>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16"/>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66">
        <f>IFERROR(
VLOOKUP(Table_Main[[#This Row],[Mã SKU]],Table_SKU[[Mã SKU]:[Tỷ suất VAT]],COUNTA(Table_SKU[[#Headers],[Mã SKU]:[Tỷ suất VAT]]),0),0)</f>
        <v>0</v>
      </c>
      <c r="AG28" s="48">
        <f xml:space="preserve">
IF(Table_Main[[#This Row],[Đơn bán]]="", 0,Table_Main[[#This Row],[Tỷ suất VAT]]*Table_Main[[#This Row],[Giá trị bán trước VAT]])</f>
        <v>0</v>
      </c>
      <c r="AH28" s="51">
        <f>IFERROR(VLOOKUP(Table_Main[[#This Row],[Đơn bán]],Table_DonBan[[Mã Đơn bán]:[Add]],COUNTA(Table_DonBan[[#Headers],[Mã Đơn bán]:[Mã NV]]),0),0)</f>
        <v>0</v>
      </c>
      <c r="AI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8" s="48">
        <f>IFERROR(Table_Main[[#This Row],[Giá trị bán trước VAT]]*Table_Main[[#This Row],[Tỷ lệ hoa hồng]],"")</f>
        <v>0</v>
      </c>
      <c r="AK28" s="48">
        <f>IFERROR(VLOOKUP(Table_Main[[#This Row],[Đơn bán]],Table_DonBan[[Mã Đơn bán]:[Add]],COUNTA(Table_DonBan[[#Headers],[Mã Đơn bán]:[Kênh]]),0),0)</f>
        <v>0</v>
      </c>
      <c r="AL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8" s="48">
        <f>IFERROR(Table_Main[[#This Row],[Giá trị bán trước VAT]]*Table_Main[[#This Row],[Tỷ lệ CK kênh]],"")</f>
        <v>0</v>
      </c>
      <c r="AN28" s="230"/>
      <c r="AO28" s="232"/>
      <c r="AP28" s="226">
        <f>Table_Main[[#This Row],[ĐK - Phân loại]]*Table_Main[[#This Row],[ĐK - Thời gian]]*Table_Main[[#This Row],[ĐK - Giá trị]]*Table_Main[[#This Row],[ĐK - Số lượng]]*Table_Main[[#This Row],[ĐK - Sinh nhật]]*Table_Main[[#This Row],[ĐK - Ngày mua cuối]]</f>
        <v>1</v>
      </c>
      <c r="AQ28" s="226">
        <f xml:space="preserve">
IF(ISBLANK(Table_Main[[#This Row],[Chương trình]]),1,
IF(VLOOKUP(Table_Main[[#This Row],[Chương trình]],Table_ChuongTrinh[[Mã Chương trình]:[Đối tượng CK]],Sheet_ChuongTrinh!$C$1,0) = "Sản phẩm",1,0))</f>
        <v>1</v>
      </c>
      <c r="AR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8" ht="18" customHeight="1" x14ac:dyDescent="0.3">
      <c r="B29" s="523"/>
      <c r="C29" s="238" t="s">
        <v>1153</v>
      </c>
      <c r="D29" s="531" t="str">
        <f>IF(ISBLANK(Table_Main[[#This Row],[Mã SKU]]),Table_Main[[#This Row],[Mã Nguyên liệu]],Table_Main[[#This Row],[Mã SKU]])</f>
        <v>NL1</v>
      </c>
      <c r="E29" s="416"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16"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16"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16"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16">
        <f>IFERROR(Table_Main[[#This Row],[Giá trị tồn đầu ngày]]/Table_Main[[#This Row],[Tồn kho đầu ngày]],0)</f>
        <v>98498.533356417363</v>
      </c>
      <c r="J29" s="416">
        <f>IFERROR(Table_Main[[#This Row],[Giá trị tồn cuối ngày]]/Table_Main[[#This Row],[Tồn kho cuối ngày]],0)</f>
        <v>97256.577798663333</v>
      </c>
      <c r="K29" s="411">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1154</v>
      </c>
      <c r="P29" s="230" t="s">
        <v>1155</v>
      </c>
      <c r="Q29" s="404">
        <v>16</v>
      </c>
      <c r="R29" s="516" t="s">
        <v>1172</v>
      </c>
      <c r="S29" s="530" t="str">
        <f>IFERROR(VLOOKUP(Table_Main[[#This Row],[Đơn Mua]],Table_DonMua[[Mã Đơn mua]:[Add]],COUNTA(Table_DonMua[[#Headers],[Mã Đơn mua]:[Mã Đối tác]]),0),0)</f>
        <v>NCC2</v>
      </c>
      <c r="T29" s="405">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16"/>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66">
        <f>IFERROR(
VLOOKUP(Table_Main[[#This Row],[Mã SKU]],Table_SKU[[Mã SKU]:[Tỷ suất VAT]],COUNTA(Table_SKU[[#Headers],[Mã SKU]:[Tỷ suất VAT]]),0),0)</f>
        <v>0</v>
      </c>
      <c r="AG29" s="48">
        <f xml:space="preserve">
IF(Table_Main[[#This Row],[Đơn bán]]="", 0,Table_Main[[#This Row],[Tỷ suất VAT]]*Table_Main[[#This Row],[Giá trị bán trước VAT]])</f>
        <v>0</v>
      </c>
      <c r="AH29" s="51">
        <f>IFERROR(VLOOKUP(Table_Main[[#This Row],[Đơn bán]],Table_DonBan[[Mã Đơn bán]:[Add]],COUNTA(Table_DonBan[[#Headers],[Mã Đơn bán]:[Mã NV]]),0),0)</f>
        <v>0</v>
      </c>
      <c r="AI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29" s="48">
        <f>IFERROR(Table_Main[[#This Row],[Giá trị bán trước VAT]]*Table_Main[[#This Row],[Tỷ lệ hoa hồng]],"")</f>
        <v>0</v>
      </c>
      <c r="AK29" s="48">
        <f>IFERROR(VLOOKUP(Table_Main[[#This Row],[Đơn bán]],Table_DonBan[[Mã Đơn bán]:[Add]],COUNTA(Table_DonBan[[#Headers],[Mã Đơn bán]:[Kênh]]),0),0)</f>
        <v>0</v>
      </c>
      <c r="AL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29" s="48">
        <f>IFERROR(Table_Main[[#This Row],[Giá trị bán trước VAT]]*Table_Main[[#This Row],[Tỷ lệ CK kênh]],"")</f>
        <v>0</v>
      </c>
      <c r="AN29" s="230"/>
      <c r="AO29" s="232"/>
      <c r="AP29" s="226">
        <f>Table_Main[[#This Row],[ĐK - Phân loại]]*Table_Main[[#This Row],[ĐK - Thời gian]]*Table_Main[[#This Row],[ĐK - Giá trị]]*Table_Main[[#This Row],[ĐK - Số lượng]]*Table_Main[[#This Row],[ĐK - Sinh nhật]]*Table_Main[[#This Row],[ĐK - Ngày mua cuối]]</f>
        <v>1</v>
      </c>
      <c r="AQ29" s="226">
        <f xml:space="preserve">
IF(ISBLANK(Table_Main[[#This Row],[Chương trình]]),1,
IF(VLOOKUP(Table_Main[[#This Row],[Chương trình]],Table_ChuongTrinh[[Mã Chương trình]:[Đối tượng CK]],Sheet_ChuongTrinh!$C$1,0) = "Sản phẩm",1,0))</f>
        <v>1</v>
      </c>
      <c r="AR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8" ht="18" customHeight="1" x14ac:dyDescent="0.3">
      <c r="B30" s="516" t="s">
        <v>1151</v>
      </c>
      <c r="C30" s="516"/>
      <c r="D30" s="530" t="str">
        <f>IF(ISBLANK(Table_Main[[#This Row],[Mã SKU]]),Table_Main[[#This Row],[Mã Nguyên liệu]],Table_Main[[#This Row],[Mã SKU]])</f>
        <v>TP2</v>
      </c>
      <c r="E30" s="416"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16"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16"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16"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16">
        <f>IFERROR(Table_Main[[#This Row],[Giá trị tồn đầu ngày]]/Table_Main[[#This Row],[Tồn kho đầu ngày]],0)</f>
        <v>0</v>
      </c>
      <c r="J30" s="416">
        <f>IFERROR(Table_Main[[#This Row],[Giá trị tồn cuối ngày]]/Table_Main[[#This Row],[Tồn kho cuối ngày]],0)</f>
        <v>0</v>
      </c>
      <c r="K30" s="411">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1155</v>
      </c>
      <c r="Q30" s="404">
        <v>39</v>
      </c>
      <c r="R30" s="516"/>
      <c r="S30" s="530">
        <f>IFERROR(VLOOKUP(Table_Main[[#This Row],[Đơn Mua]],Table_DonMua[[Mã Đơn mua]:[Add]],COUNTA(Table_DonMua[[#Headers],[Mã Đơn mua]:[Mã Đối tác]]),0),0)</f>
        <v>0</v>
      </c>
      <c r="T30" s="405"/>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16" t="s">
        <v>1214</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66">
        <f>IFERROR(
VLOOKUP(Table_Main[[#This Row],[Mã SKU]],Table_SKU[[Mã SKU]:[Tỷ suất VAT]],COUNTA(Table_SKU[[#Headers],[Mã SKU]:[Tỷ suất VAT]]),0),0)</f>
        <v>0</v>
      </c>
      <c r="AG30" s="48">
        <f xml:space="preserve">
IF(Table_Main[[#This Row],[Đơn bán]]="", 0,Table_Main[[#This Row],[Tỷ suất VAT]]*Table_Main[[#This Row],[Giá trị bán trước VAT]])</f>
        <v>0</v>
      </c>
      <c r="AH30" s="51">
        <f>IFERROR(VLOOKUP(Table_Main[[#This Row],[Đơn bán]],Table_DonBan[[Mã Đơn bán]:[Add]],COUNTA(Table_DonBan[[#Headers],[Mã Đơn bán]:[Mã NV]]),0),0)</f>
        <v>0</v>
      </c>
      <c r="AI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0" s="48">
        <f>IFERROR(Table_Main[[#This Row],[Giá trị bán trước VAT]]*Table_Main[[#This Row],[Tỷ lệ hoa hồng]],"")</f>
        <v>0</v>
      </c>
      <c r="AK30" s="48">
        <f>IFERROR(VLOOKUP(Table_Main[[#This Row],[Đơn bán]],Table_DonBan[[Mã Đơn bán]:[Add]],COUNTA(Table_DonBan[[#Headers],[Mã Đơn bán]:[Kênh]]),0),0)</f>
        <v>0</v>
      </c>
      <c r="AL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0" s="48">
        <f>IFERROR(Table_Main[[#This Row],[Giá trị bán trước VAT]]*Table_Main[[#This Row],[Tỷ lệ CK kênh]],"")</f>
        <v>0</v>
      </c>
      <c r="AN30" s="230"/>
      <c r="AO30" s="232"/>
      <c r="AP30" s="226">
        <f>Table_Main[[#This Row],[ĐK - Phân loại]]*Table_Main[[#This Row],[ĐK - Thời gian]]*Table_Main[[#This Row],[ĐK - Giá trị]]*Table_Main[[#This Row],[ĐK - Số lượng]]*Table_Main[[#This Row],[ĐK - Sinh nhật]]*Table_Main[[#This Row],[ĐK - Ngày mua cuối]]</f>
        <v>1</v>
      </c>
      <c r="AQ30" s="226">
        <f xml:space="preserve">
IF(ISBLANK(Table_Main[[#This Row],[Chương trình]]),1,
IF(VLOOKUP(Table_Main[[#This Row],[Chương trình]],Table_ChuongTrinh[[Mã Chương trình]:[Đối tượng CK]],Sheet_ChuongTrinh!$C$1,0) = "Sản phẩm",1,0))</f>
        <v>1</v>
      </c>
      <c r="AR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8" ht="18" customHeight="1" x14ac:dyDescent="0.3">
      <c r="B31" s="516" t="s">
        <v>1151</v>
      </c>
      <c r="C31" s="516"/>
      <c r="D31" s="530" t="str">
        <f>IF(ISBLANK(Table_Main[[#This Row],[Mã SKU]]),Table_Main[[#This Row],[Mã Nguyên liệu]],Table_Main[[#This Row],[Mã SKU]])</f>
        <v>TP2</v>
      </c>
      <c r="E31" s="416"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16"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16"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16"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16">
        <f>IFERROR(Table_Main[[#This Row],[Giá trị tồn đầu ngày]]/Table_Main[[#This Row],[Tồn kho đầu ngày]],0)</f>
        <v>0</v>
      </c>
      <c r="J31" s="416">
        <f>IFERROR(Table_Main[[#This Row],[Giá trị tồn cuối ngày]]/Table_Main[[#This Row],[Tồn kho cuối ngày]],0)</f>
        <v>0</v>
      </c>
      <c r="K31" s="411">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1155</v>
      </c>
      <c r="Q31" s="404">
        <v>21</v>
      </c>
      <c r="R31" s="516"/>
      <c r="S31" s="530">
        <f>IFERROR(VLOOKUP(Table_Main[[#This Row],[Đơn Mua]],Table_DonMua[[Mã Đơn mua]:[Add]],COUNTA(Table_DonMua[[#Headers],[Mã Đơn mua]:[Mã Đối tác]]),0),0)</f>
        <v>0</v>
      </c>
      <c r="T31" s="405"/>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16" t="s">
        <v>1213</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66">
        <f>IFERROR(
VLOOKUP(Table_Main[[#This Row],[Mã SKU]],Table_SKU[[Mã SKU]:[Tỷ suất VAT]],COUNTA(Table_SKU[[#Headers],[Mã SKU]:[Tỷ suất VAT]]),0),0)</f>
        <v>0</v>
      </c>
      <c r="AG31" s="48">
        <f xml:space="preserve">
IF(Table_Main[[#This Row],[Đơn bán]]="", 0,Table_Main[[#This Row],[Tỷ suất VAT]]*Table_Main[[#This Row],[Giá trị bán trước VAT]])</f>
        <v>0</v>
      </c>
      <c r="AH31" s="51">
        <f>IFERROR(VLOOKUP(Table_Main[[#This Row],[Đơn bán]],Table_DonBan[[Mã Đơn bán]:[Add]],COUNTA(Table_DonBan[[#Headers],[Mã Đơn bán]:[Mã NV]]),0),0)</f>
        <v>0</v>
      </c>
      <c r="AI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1" s="48">
        <f>IFERROR(Table_Main[[#This Row],[Giá trị bán trước VAT]]*Table_Main[[#This Row],[Tỷ lệ hoa hồng]],"")</f>
        <v>0</v>
      </c>
      <c r="AK31" s="48">
        <f>IFERROR(VLOOKUP(Table_Main[[#This Row],[Đơn bán]],Table_DonBan[[Mã Đơn bán]:[Add]],COUNTA(Table_DonBan[[#Headers],[Mã Đơn bán]:[Kênh]]),0),0)</f>
        <v>0</v>
      </c>
      <c r="AL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1" s="48">
        <f>IFERROR(Table_Main[[#This Row],[Giá trị bán trước VAT]]*Table_Main[[#This Row],[Tỷ lệ CK kênh]],"")</f>
        <v>0</v>
      </c>
      <c r="AN31" s="230"/>
      <c r="AO31" s="232"/>
      <c r="AP31" s="226">
        <f>Table_Main[[#This Row],[ĐK - Phân loại]]*Table_Main[[#This Row],[ĐK - Thời gian]]*Table_Main[[#This Row],[ĐK - Giá trị]]*Table_Main[[#This Row],[ĐK - Số lượng]]*Table_Main[[#This Row],[ĐK - Sinh nhật]]*Table_Main[[#This Row],[ĐK - Ngày mua cuối]]</f>
        <v>1</v>
      </c>
      <c r="AQ31" s="226">
        <f xml:space="preserve">
IF(ISBLANK(Table_Main[[#This Row],[Chương trình]]),1,
IF(VLOOKUP(Table_Main[[#This Row],[Chương trình]],Table_ChuongTrinh[[Mã Chương trình]:[Đối tượng CK]],Sheet_ChuongTrinh!$C$1,0) = "Sản phẩm",1,0))</f>
        <v>1</v>
      </c>
      <c r="AR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8" ht="18" customHeight="1" x14ac:dyDescent="0.3">
      <c r="B32" s="523"/>
      <c r="C32" s="238" t="s">
        <v>1153</v>
      </c>
      <c r="D32" s="531" t="str">
        <f>IF(ISBLANK(Table_Main[[#This Row],[Mã SKU]]),Table_Main[[#This Row],[Mã Nguyên liệu]],Table_Main[[#This Row],[Mã SKU]])</f>
        <v>NL1</v>
      </c>
      <c r="E32" s="416"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16"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16"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16"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16">
        <f>IFERROR(Table_Main[[#This Row],[Giá trị tồn đầu ngày]]/Table_Main[[#This Row],[Tồn kho đầu ngày]],0)</f>
        <v>102362.35087719299</v>
      </c>
      <c r="J32" s="416">
        <f>IFERROR(Table_Main[[#This Row],[Giá trị tồn cuối ngày]]/Table_Main[[#This Row],[Tồn kho cuối ngày]],0)</f>
        <v>98498.533356417363</v>
      </c>
      <c r="K32" s="411">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1154</v>
      </c>
      <c r="P32" s="230" t="s">
        <v>1155</v>
      </c>
      <c r="Q32" s="404">
        <v>15</v>
      </c>
      <c r="R32" s="516" t="s">
        <v>1171</v>
      </c>
      <c r="S32" s="530" t="str">
        <f>IFERROR(VLOOKUP(Table_Main[[#This Row],[Đơn Mua]],Table_DonMua[[Mã Đơn mua]:[Add]],COUNTA(Table_DonMua[[#Headers],[Mã Đơn mua]:[Mã Đối tác]]),0),0)</f>
        <v>NCC1</v>
      </c>
      <c r="T32" s="405">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16"/>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66">
        <f>IFERROR(
VLOOKUP(Table_Main[[#This Row],[Mã SKU]],Table_SKU[[Mã SKU]:[Tỷ suất VAT]],COUNTA(Table_SKU[[#Headers],[Mã SKU]:[Tỷ suất VAT]]),0),0)</f>
        <v>0</v>
      </c>
      <c r="AG32" s="48">
        <f xml:space="preserve">
IF(Table_Main[[#This Row],[Đơn bán]]="", 0,Table_Main[[#This Row],[Tỷ suất VAT]]*Table_Main[[#This Row],[Giá trị bán trước VAT]])</f>
        <v>0</v>
      </c>
      <c r="AH32" s="51">
        <f>IFERROR(VLOOKUP(Table_Main[[#This Row],[Đơn bán]],Table_DonBan[[Mã Đơn bán]:[Add]],COUNTA(Table_DonBan[[#Headers],[Mã Đơn bán]:[Mã NV]]),0),0)</f>
        <v>0</v>
      </c>
      <c r="AI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2" s="48">
        <f>IFERROR(Table_Main[[#This Row],[Giá trị bán trước VAT]]*Table_Main[[#This Row],[Tỷ lệ hoa hồng]],"")</f>
        <v>0</v>
      </c>
      <c r="AK32" s="48">
        <f>IFERROR(VLOOKUP(Table_Main[[#This Row],[Đơn bán]],Table_DonBan[[Mã Đơn bán]:[Add]],COUNTA(Table_DonBan[[#Headers],[Mã Đơn bán]:[Kênh]]),0),0)</f>
        <v>0</v>
      </c>
      <c r="AL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2" s="48">
        <f>IFERROR(Table_Main[[#This Row],[Giá trị bán trước VAT]]*Table_Main[[#This Row],[Tỷ lệ CK kênh]],"")</f>
        <v>0</v>
      </c>
      <c r="AN32" s="230"/>
      <c r="AO32" s="232"/>
      <c r="AP32" s="226">
        <f>Table_Main[[#This Row],[ĐK - Phân loại]]*Table_Main[[#This Row],[ĐK - Thời gian]]*Table_Main[[#This Row],[ĐK - Giá trị]]*Table_Main[[#This Row],[ĐK - Số lượng]]*Table_Main[[#This Row],[ĐK - Sinh nhật]]*Table_Main[[#This Row],[ĐK - Ngày mua cuối]]</f>
        <v>1</v>
      </c>
      <c r="AQ32" s="226">
        <f xml:space="preserve">
IF(ISBLANK(Table_Main[[#This Row],[Chương trình]]),1,
IF(VLOOKUP(Table_Main[[#This Row],[Chương trình]],Table_ChuongTrinh[[Mã Chương trình]:[Đối tượng CK]],Sheet_ChuongTrinh!$C$1,0) = "Sản phẩm",1,0))</f>
        <v>1</v>
      </c>
      <c r="AR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8" ht="18" customHeight="1" x14ac:dyDescent="0.3">
      <c r="B33" s="516" t="s">
        <v>1150</v>
      </c>
      <c r="C33" s="516"/>
      <c r="D33" s="530" t="str">
        <f>IF(ISBLANK(Table_Main[[#This Row],[Mã SKU]]),Table_Main[[#This Row],[Mã Nguyên liệu]],Table_Main[[#This Row],[Mã SKU]])</f>
        <v>TP1</v>
      </c>
      <c r="E33" s="416"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16"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16"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16"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16">
        <f>IFERROR(Table_Main[[#This Row],[Giá trị tồn đầu ngày]]/Table_Main[[#This Row],[Tồn kho đầu ngày]],0)</f>
        <v>0</v>
      </c>
      <c r="J33" s="416">
        <f>IFERROR(Table_Main[[#This Row],[Giá trị tồn cuối ngày]]/Table_Main[[#This Row],[Tồn kho cuối ngày]],0)</f>
        <v>0</v>
      </c>
      <c r="K33" s="411">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1155</v>
      </c>
      <c r="Q33" s="404">
        <v>28</v>
      </c>
      <c r="R33" s="516"/>
      <c r="S33" s="530">
        <f>IFERROR(VLOOKUP(Table_Main[[#This Row],[Đơn Mua]],Table_DonMua[[Mã Đơn mua]:[Add]],COUNTA(Table_DonMua[[#Headers],[Mã Đơn mua]:[Mã Đối tác]]),0),0)</f>
        <v>0</v>
      </c>
      <c r="T33" s="405"/>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16" t="s">
        <v>1212</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66">
        <f>IFERROR(
VLOOKUP(Table_Main[[#This Row],[Mã SKU]],Table_SKU[[Mã SKU]:[Tỷ suất VAT]],COUNTA(Table_SKU[[#Headers],[Mã SKU]:[Tỷ suất VAT]]),0),0)</f>
        <v>0</v>
      </c>
      <c r="AG33" s="48">
        <f xml:space="preserve">
IF(Table_Main[[#This Row],[Đơn bán]]="", 0,Table_Main[[#This Row],[Tỷ suất VAT]]*Table_Main[[#This Row],[Giá trị bán trước VAT]])</f>
        <v>0</v>
      </c>
      <c r="AH33" s="51">
        <f>IFERROR(VLOOKUP(Table_Main[[#This Row],[Đơn bán]],Table_DonBan[[Mã Đơn bán]:[Add]],COUNTA(Table_DonBan[[#Headers],[Mã Đơn bán]:[Mã NV]]),0),0)</f>
        <v>0</v>
      </c>
      <c r="AI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3" s="48">
        <f>IFERROR(Table_Main[[#This Row],[Giá trị bán trước VAT]]*Table_Main[[#This Row],[Tỷ lệ hoa hồng]],"")</f>
        <v>0</v>
      </c>
      <c r="AK33" s="48">
        <f>IFERROR(VLOOKUP(Table_Main[[#This Row],[Đơn bán]],Table_DonBan[[Mã Đơn bán]:[Add]],COUNTA(Table_DonBan[[#Headers],[Mã Đơn bán]:[Kênh]]),0),0)</f>
        <v>0</v>
      </c>
      <c r="AL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3" s="48">
        <f>IFERROR(Table_Main[[#This Row],[Giá trị bán trước VAT]]*Table_Main[[#This Row],[Tỷ lệ CK kênh]],"")</f>
        <v>0</v>
      </c>
      <c r="AN33" s="230"/>
      <c r="AO33" s="232"/>
      <c r="AP33" s="226">
        <f>Table_Main[[#This Row],[ĐK - Phân loại]]*Table_Main[[#This Row],[ĐK - Thời gian]]*Table_Main[[#This Row],[ĐK - Giá trị]]*Table_Main[[#This Row],[ĐK - Số lượng]]*Table_Main[[#This Row],[ĐK - Sinh nhật]]*Table_Main[[#This Row],[ĐK - Ngày mua cuối]]</f>
        <v>1</v>
      </c>
      <c r="AQ33" s="226">
        <f xml:space="preserve">
IF(ISBLANK(Table_Main[[#This Row],[Chương trình]]),1,
IF(VLOOKUP(Table_Main[[#This Row],[Chương trình]],Table_ChuongTrinh[[Mã Chương trình]:[Đối tượng CK]],Sheet_ChuongTrinh!$C$1,0) = "Sản phẩm",1,0))</f>
        <v>1</v>
      </c>
      <c r="AR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8" ht="18" customHeight="1" x14ac:dyDescent="0.3">
      <c r="B34" s="523"/>
      <c r="C34" s="238" t="s">
        <v>1153</v>
      </c>
      <c r="D34" s="531" t="str">
        <f>IF(ISBLANK(Table_Main[[#This Row],[Mã SKU]]),Table_Main[[#This Row],[Mã Nguyên liệu]],Table_Main[[#This Row],[Mã SKU]])</f>
        <v>NL1</v>
      </c>
      <c r="E34" s="416"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16"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16"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16"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16">
        <f>IFERROR(Table_Main[[#This Row],[Giá trị tồn đầu ngày]]/Table_Main[[#This Row],[Tồn kho đầu ngày]],0)</f>
        <v>102362.35087719298</v>
      </c>
      <c r="J34" s="416">
        <f>IFERROR(Table_Main[[#This Row],[Giá trị tồn cuối ngày]]/Table_Main[[#This Row],[Tồn kho cuối ngày]],0)</f>
        <v>102362.35087719299</v>
      </c>
      <c r="K34" s="411">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1155</v>
      </c>
      <c r="Q34" s="404">
        <v>34</v>
      </c>
      <c r="R34" s="516"/>
      <c r="S34" s="530">
        <f>IFERROR(VLOOKUP(Table_Main[[#This Row],[Đơn Mua]],Table_DonMua[[Mã Đơn mua]:[Add]],COUNTA(Table_DonMua[[#Headers],[Mã Đơn mua]:[Mã Đối tác]]),0),0)</f>
        <v>0</v>
      </c>
      <c r="T34" s="405"/>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16"/>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66">
        <f>IFERROR(
VLOOKUP(Table_Main[[#This Row],[Mã SKU]],Table_SKU[[Mã SKU]:[Tỷ suất VAT]],COUNTA(Table_SKU[[#Headers],[Mã SKU]:[Tỷ suất VAT]]),0),0)</f>
        <v>0</v>
      </c>
      <c r="AG34" s="48">
        <f xml:space="preserve">
IF(Table_Main[[#This Row],[Đơn bán]]="", 0,Table_Main[[#This Row],[Tỷ suất VAT]]*Table_Main[[#This Row],[Giá trị bán trước VAT]])</f>
        <v>0</v>
      </c>
      <c r="AH34" s="51">
        <f>IFERROR(VLOOKUP(Table_Main[[#This Row],[Đơn bán]],Table_DonBan[[Mã Đơn bán]:[Add]],COUNTA(Table_DonBan[[#Headers],[Mã Đơn bán]:[Mã NV]]),0),0)</f>
        <v>0</v>
      </c>
      <c r="AI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4" s="48">
        <f>IFERROR(Table_Main[[#This Row],[Giá trị bán trước VAT]]*Table_Main[[#This Row],[Tỷ lệ hoa hồng]],"")</f>
        <v>0</v>
      </c>
      <c r="AK34" s="48">
        <f>IFERROR(VLOOKUP(Table_Main[[#This Row],[Đơn bán]],Table_DonBan[[Mã Đơn bán]:[Add]],COUNTA(Table_DonBan[[#Headers],[Mã Đơn bán]:[Kênh]]),0),0)</f>
        <v>0</v>
      </c>
      <c r="AL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4" s="48">
        <f>IFERROR(Table_Main[[#This Row],[Giá trị bán trước VAT]]*Table_Main[[#This Row],[Tỷ lệ CK kênh]],"")</f>
        <v>0</v>
      </c>
      <c r="AN34" s="230"/>
      <c r="AO34" s="232"/>
      <c r="AP34" s="226">
        <f>Table_Main[[#This Row],[ĐK - Phân loại]]*Table_Main[[#This Row],[ĐK - Thời gian]]*Table_Main[[#This Row],[ĐK - Giá trị]]*Table_Main[[#This Row],[ĐK - Số lượng]]*Table_Main[[#This Row],[ĐK - Sinh nhật]]*Table_Main[[#This Row],[ĐK - Ngày mua cuối]]</f>
        <v>1</v>
      </c>
      <c r="AQ34" s="226">
        <f xml:space="preserve">
IF(ISBLANK(Table_Main[[#This Row],[Chương trình]]),1,
IF(VLOOKUP(Table_Main[[#This Row],[Chương trình]],Table_ChuongTrinh[[Mã Chương trình]:[Đối tượng CK]],Sheet_ChuongTrinh!$C$1,0) = "Sản phẩm",1,0))</f>
        <v>1</v>
      </c>
      <c r="AR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8" ht="18" customHeight="1" x14ac:dyDescent="0.3">
      <c r="B35" s="516" t="s">
        <v>1150</v>
      </c>
      <c r="C35" s="516"/>
      <c r="D35" s="530" t="str">
        <f>IF(ISBLANK(Table_Main[[#This Row],[Mã SKU]]),Table_Main[[#This Row],[Mã Nguyên liệu]],Table_Main[[#This Row],[Mã SKU]])</f>
        <v>TP1</v>
      </c>
      <c r="E35" s="416"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16"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16"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16"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16">
        <f>IFERROR(Table_Main[[#This Row],[Giá trị tồn đầu ngày]]/Table_Main[[#This Row],[Tồn kho đầu ngày]],0)</f>
        <v>0</v>
      </c>
      <c r="J35" s="416">
        <f>IFERROR(Table_Main[[#This Row],[Giá trị tồn cuối ngày]]/Table_Main[[#This Row],[Tồn kho cuối ngày]],0)</f>
        <v>0</v>
      </c>
      <c r="K35" s="411">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1154</v>
      </c>
      <c r="P35" s="230" t="s">
        <v>1155</v>
      </c>
      <c r="Q35" s="404">
        <v>32</v>
      </c>
      <c r="R35" s="516"/>
      <c r="S35" s="530">
        <f>IFERROR(VLOOKUP(Table_Main[[#This Row],[Đơn Mua]],Table_DonMua[[Mã Đơn mua]:[Add]],COUNTA(Table_DonMua[[#Headers],[Mã Đơn mua]:[Mã Đối tác]]),0),0)</f>
        <v>0</v>
      </c>
      <c r="T35" s="405"/>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16"/>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66">
        <f>IFERROR(
VLOOKUP(Table_Main[[#This Row],[Mã SKU]],Table_SKU[[Mã SKU]:[Tỷ suất VAT]],COUNTA(Table_SKU[[#Headers],[Mã SKU]:[Tỷ suất VAT]]),0),0)</f>
        <v>0</v>
      </c>
      <c r="AG35" s="48">
        <f xml:space="preserve">
IF(Table_Main[[#This Row],[Đơn bán]]="", 0,Table_Main[[#This Row],[Tỷ suất VAT]]*Table_Main[[#This Row],[Giá trị bán trước VAT]])</f>
        <v>0</v>
      </c>
      <c r="AH35" s="51">
        <f>IFERROR(VLOOKUP(Table_Main[[#This Row],[Đơn bán]],Table_DonBan[[Mã Đơn bán]:[Add]],COUNTA(Table_DonBan[[#Headers],[Mã Đơn bán]:[Mã NV]]),0),0)</f>
        <v>0</v>
      </c>
      <c r="AI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5" s="48">
        <f>IFERROR(Table_Main[[#This Row],[Giá trị bán trước VAT]]*Table_Main[[#This Row],[Tỷ lệ hoa hồng]],"")</f>
        <v>0</v>
      </c>
      <c r="AK35" s="48">
        <f>IFERROR(VLOOKUP(Table_Main[[#This Row],[Đơn bán]],Table_DonBan[[Mã Đơn bán]:[Add]],COUNTA(Table_DonBan[[#Headers],[Mã Đơn bán]:[Kênh]]),0),0)</f>
        <v>0</v>
      </c>
      <c r="AL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5" s="48">
        <f>IFERROR(Table_Main[[#This Row],[Giá trị bán trước VAT]]*Table_Main[[#This Row],[Tỷ lệ CK kênh]],"")</f>
        <v>0</v>
      </c>
      <c r="AN35" s="230"/>
      <c r="AO35" s="232"/>
      <c r="AP35" s="226">
        <f>Table_Main[[#This Row],[ĐK - Phân loại]]*Table_Main[[#This Row],[ĐK - Thời gian]]*Table_Main[[#This Row],[ĐK - Giá trị]]*Table_Main[[#This Row],[ĐK - Số lượng]]*Table_Main[[#This Row],[ĐK - Sinh nhật]]*Table_Main[[#This Row],[ĐK - Ngày mua cuối]]</f>
        <v>1</v>
      </c>
      <c r="AQ35" s="226">
        <f xml:space="preserve">
IF(ISBLANK(Table_Main[[#This Row],[Chương trình]]),1,
IF(VLOOKUP(Table_Main[[#This Row],[Chương trình]],Table_ChuongTrinh[[Mã Chương trình]:[Đối tượng CK]],Sheet_ChuongTrinh!$C$1,0) = "Sản phẩm",1,0))</f>
        <v>1</v>
      </c>
      <c r="AR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8" ht="18" customHeight="1" x14ac:dyDescent="0.3">
      <c r="B36" s="516" t="s">
        <v>1150</v>
      </c>
      <c r="C36" s="516"/>
      <c r="D36" s="530" t="str">
        <f>IF(ISBLANK(Table_Main[[#This Row],[Mã SKU]]),Table_Main[[#This Row],[Mã Nguyên liệu]],Table_Main[[#This Row],[Mã SKU]])</f>
        <v>TP1</v>
      </c>
      <c r="E36" s="416"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16"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16"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16"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16">
        <f>IFERROR(Table_Main[[#This Row],[Giá trị tồn đầu ngày]]/Table_Main[[#This Row],[Tồn kho đầu ngày]],0)</f>
        <v>0</v>
      </c>
      <c r="J36" s="416">
        <f>IFERROR(Table_Main[[#This Row],[Giá trị tồn cuối ngày]]/Table_Main[[#This Row],[Tồn kho cuối ngày]],0)</f>
        <v>0</v>
      </c>
      <c r="K36" s="411">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1154</v>
      </c>
      <c r="P36" s="230" t="s">
        <v>1155</v>
      </c>
      <c r="Q36" s="404">
        <v>21</v>
      </c>
      <c r="R36" s="516"/>
      <c r="S36" s="530">
        <f>IFERROR(VLOOKUP(Table_Main[[#This Row],[Đơn Mua]],Table_DonMua[[Mã Đơn mua]:[Add]],COUNTA(Table_DonMua[[#Headers],[Mã Đơn mua]:[Mã Đối tác]]),0),0)</f>
        <v>0</v>
      </c>
      <c r="T36" s="405"/>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16"/>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66">
        <f>IFERROR(
VLOOKUP(Table_Main[[#This Row],[Mã SKU]],Table_SKU[[Mã SKU]:[Tỷ suất VAT]],COUNTA(Table_SKU[[#Headers],[Mã SKU]:[Tỷ suất VAT]]),0),0)</f>
        <v>0</v>
      </c>
      <c r="AG36" s="48">
        <f xml:space="preserve">
IF(Table_Main[[#This Row],[Đơn bán]]="", 0,Table_Main[[#This Row],[Tỷ suất VAT]]*Table_Main[[#This Row],[Giá trị bán trước VAT]])</f>
        <v>0</v>
      </c>
      <c r="AH36" s="51">
        <f>IFERROR(VLOOKUP(Table_Main[[#This Row],[Đơn bán]],Table_DonBan[[Mã Đơn bán]:[Add]],COUNTA(Table_DonBan[[#Headers],[Mã Đơn bán]:[Mã NV]]),0),0)</f>
        <v>0</v>
      </c>
      <c r="AI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6" s="48">
        <f>IFERROR(Table_Main[[#This Row],[Giá trị bán trước VAT]]*Table_Main[[#This Row],[Tỷ lệ hoa hồng]],"")</f>
        <v>0</v>
      </c>
      <c r="AK36" s="48">
        <f>IFERROR(VLOOKUP(Table_Main[[#This Row],[Đơn bán]],Table_DonBan[[Mã Đơn bán]:[Add]],COUNTA(Table_DonBan[[#Headers],[Mã Đơn bán]:[Kênh]]),0),0)</f>
        <v>0</v>
      </c>
      <c r="AL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6" s="48">
        <f>IFERROR(Table_Main[[#This Row],[Giá trị bán trước VAT]]*Table_Main[[#This Row],[Tỷ lệ CK kênh]],"")</f>
        <v>0</v>
      </c>
      <c r="AN36" s="230"/>
      <c r="AO36" s="232"/>
      <c r="AP36" s="226">
        <f>Table_Main[[#This Row],[ĐK - Phân loại]]*Table_Main[[#This Row],[ĐK - Thời gian]]*Table_Main[[#This Row],[ĐK - Giá trị]]*Table_Main[[#This Row],[ĐK - Số lượng]]*Table_Main[[#This Row],[ĐK - Sinh nhật]]*Table_Main[[#This Row],[ĐK - Ngày mua cuối]]</f>
        <v>1</v>
      </c>
      <c r="AQ36" s="226">
        <f xml:space="preserve">
IF(ISBLANK(Table_Main[[#This Row],[Chương trình]]),1,
IF(VLOOKUP(Table_Main[[#This Row],[Chương trình]],Table_ChuongTrinh[[Mã Chương trình]:[Đối tượng CK]],Sheet_ChuongTrinh!$C$1,0) = "Sản phẩm",1,0))</f>
        <v>1</v>
      </c>
      <c r="AR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8" ht="18" customHeight="1" x14ac:dyDescent="0.15">
      <c r="B37" s="523"/>
      <c r="C37" s="238" t="s">
        <v>1152</v>
      </c>
      <c r="D37" s="531" t="str">
        <f>IF(ISBLANK(Table_Main[[#This Row],[Mã SKU]]),Table_Main[[#This Row],[Mã Nguyên liệu]],Table_Main[[#This Row],[Mã SKU]])</f>
        <v>NL2</v>
      </c>
      <c r="E37" s="416"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16"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16"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16"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16">
        <f>IFERROR(Table_Main[[#This Row],[Giá trị tồn đầu ngày]]/Table_Main[[#This Row],[Tồn kho đầu ngày]],0)</f>
        <v>113214.64718460439</v>
      </c>
      <c r="J37" s="416">
        <f>IFERROR(Table_Main[[#This Row],[Giá trị tồn cuối ngày]]/Table_Main[[#This Row],[Tồn kho cuối ngày]],0)</f>
        <v>113214.6471846044</v>
      </c>
      <c r="K37" s="411">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44" t="str">
        <f>IF(Table_Main[[#This Row],[Ngày lên đơn]]=0,"",Table_Main[[#This Row],[Ngày xuất nhập]]-Table_Main[[#This Row],[Ngày lên đơn]])</f>
        <v/>
      </c>
      <c r="O37" s="7" t="s">
        <v>53</v>
      </c>
      <c r="P37" s="230" t="s">
        <v>1155</v>
      </c>
      <c r="Q37" s="404">
        <v>11</v>
      </c>
      <c r="R37" s="516"/>
      <c r="S37" s="530">
        <f>IFERROR(VLOOKUP(Table_Main[[#This Row],[Đơn Mua]],Table_DonMua[[Mã Đơn mua]:[Add]],COUNTA(Table_DonMua[[#Headers],[Mã Đơn mua]:[Mã Đối tác]]),0),0)</f>
        <v>0</v>
      </c>
      <c r="T37" s="405"/>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16"/>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66">
        <f>IFERROR(
VLOOKUP(Table_Main[[#This Row],[Mã SKU]],Table_SKU[[Mã SKU]:[Tỷ suất VAT]],COUNTA(Table_SKU[[#Headers],[Mã SKU]:[Tỷ suất VAT]]),0),0)</f>
        <v>0</v>
      </c>
      <c r="AG37" s="48">
        <f xml:space="preserve">
IF(Table_Main[[#This Row],[Đơn bán]]="", 0,Table_Main[[#This Row],[Tỷ suất VAT]]*Table_Main[[#This Row],[Giá trị bán trước VAT]])</f>
        <v>0</v>
      </c>
      <c r="AH37" s="51">
        <f>IFERROR(VLOOKUP(Table_Main[[#This Row],[Đơn bán]],Table_DonBan[[Mã Đơn bán]:[Add]],COUNTA(Table_DonBan[[#Headers],[Mã Đơn bán]:[Mã NV]]),0),0)</f>
        <v>0</v>
      </c>
      <c r="AI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7" s="48">
        <f>IFERROR(Table_Main[[#This Row],[Giá trị bán trước VAT]]*Table_Main[[#This Row],[Tỷ lệ hoa hồng]],"")</f>
        <v>0</v>
      </c>
      <c r="AK37" s="48">
        <f>IFERROR(VLOOKUP(Table_Main[[#This Row],[Đơn bán]],Table_DonBan[[Mã Đơn bán]:[Add]],COUNTA(Table_DonBan[[#Headers],[Mã Đơn bán]:[Kênh]]),0),0)</f>
        <v>0</v>
      </c>
      <c r="AL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7" s="48">
        <f>IFERROR(Table_Main[[#This Row],[Giá trị bán trước VAT]]*Table_Main[[#This Row],[Tỷ lệ CK kênh]],"")</f>
        <v>0</v>
      </c>
      <c r="AN37" s="230"/>
      <c r="AO37" s="232"/>
      <c r="AP37" s="226">
        <f>Table_Main[[#This Row],[ĐK - Phân loại]]*Table_Main[[#This Row],[ĐK - Thời gian]]*Table_Main[[#This Row],[ĐK - Giá trị]]*Table_Main[[#This Row],[ĐK - Số lượng]]*Table_Main[[#This Row],[ĐK - Sinh nhật]]*Table_Main[[#This Row],[ĐK - Ngày mua cuối]]</f>
        <v>1</v>
      </c>
      <c r="AQ37" s="226">
        <f xml:space="preserve">
IF(ISBLANK(Table_Main[[#This Row],[Chương trình]]),1,
IF(VLOOKUP(Table_Main[[#This Row],[Chương trình]],Table_ChuongTrinh[[Mã Chương trình]:[Đối tượng CK]],Sheet_ChuongTrinh!$C$1,0) = "Sản phẩm",1,0))</f>
        <v>1</v>
      </c>
      <c r="AR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8" ht="18" customHeight="1" x14ac:dyDescent="0.15">
      <c r="B38" s="523"/>
      <c r="C38" s="238" t="s">
        <v>1152</v>
      </c>
      <c r="D38" s="531" t="str">
        <f>IF(ISBLANK(Table_Main[[#This Row],[Mã SKU]]),Table_Main[[#This Row],[Mã Nguyên liệu]],Table_Main[[#This Row],[Mã SKU]])</f>
        <v>NL2</v>
      </c>
      <c r="E38" s="416"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16"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16"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16"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16">
        <f>IFERROR(Table_Main[[#This Row],[Giá trị tồn đầu ngày]]/Table_Main[[#This Row],[Tồn kho đầu ngày]],0)</f>
        <v>113214.6471846044</v>
      </c>
      <c r="J38" s="416">
        <f>IFERROR(Table_Main[[#This Row],[Giá trị tồn cuối ngày]]/Table_Main[[#This Row],[Tồn kho cuối ngày]],0)</f>
        <v>124434.76478973628</v>
      </c>
      <c r="K38" s="411">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44">
        <f>IF(Table_Main[[#This Row],[Ngày lên đơn]]=0,"",Table_Main[[#This Row],[Ngày xuất nhập]]-Table_Main[[#This Row],[Ngày lên đơn]])</f>
        <v>3</v>
      </c>
      <c r="O38" s="7" t="s">
        <v>1154</v>
      </c>
      <c r="P38" s="230" t="s">
        <v>1155</v>
      </c>
      <c r="Q38" s="404">
        <v>25</v>
      </c>
      <c r="R38" s="516" t="s">
        <v>1170</v>
      </c>
      <c r="S38" s="530" t="str">
        <f>IFERROR(VLOOKUP(Table_Main[[#This Row],[Đơn Mua]],Table_DonMua[[Mã Đơn mua]:[Add]],COUNTA(Table_DonMua[[#Headers],[Mã Đơn mua]:[Mã Đối tác]]),0),0)</f>
        <v>NCC2</v>
      </c>
      <c r="T38" s="405">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16"/>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66">
        <f>IFERROR(
VLOOKUP(Table_Main[[#This Row],[Mã SKU]],Table_SKU[[Mã SKU]:[Tỷ suất VAT]],COUNTA(Table_SKU[[#Headers],[Mã SKU]:[Tỷ suất VAT]]),0),0)</f>
        <v>0</v>
      </c>
      <c r="AG38" s="48">
        <f xml:space="preserve">
IF(Table_Main[[#This Row],[Đơn bán]]="", 0,Table_Main[[#This Row],[Tỷ suất VAT]]*Table_Main[[#This Row],[Giá trị bán trước VAT]])</f>
        <v>0</v>
      </c>
      <c r="AH38" s="51">
        <f>IFERROR(VLOOKUP(Table_Main[[#This Row],[Đơn bán]],Table_DonBan[[Mã Đơn bán]:[Add]],COUNTA(Table_DonBan[[#Headers],[Mã Đơn bán]:[Mã NV]]),0),0)</f>
        <v>0</v>
      </c>
      <c r="AI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8" s="48">
        <f>IFERROR(Table_Main[[#This Row],[Giá trị bán trước VAT]]*Table_Main[[#This Row],[Tỷ lệ hoa hồng]],"")</f>
        <v>0</v>
      </c>
      <c r="AK38" s="48">
        <f>IFERROR(VLOOKUP(Table_Main[[#This Row],[Đơn bán]],Table_DonBan[[Mã Đơn bán]:[Add]],COUNTA(Table_DonBan[[#Headers],[Mã Đơn bán]:[Kênh]]),0),0)</f>
        <v>0</v>
      </c>
      <c r="AL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8" s="48">
        <f>IFERROR(Table_Main[[#This Row],[Giá trị bán trước VAT]]*Table_Main[[#This Row],[Tỷ lệ CK kênh]],"")</f>
        <v>0</v>
      </c>
      <c r="AN38" s="230"/>
      <c r="AO38" s="232"/>
      <c r="AP38" s="226">
        <f>Table_Main[[#This Row],[ĐK - Phân loại]]*Table_Main[[#This Row],[ĐK - Thời gian]]*Table_Main[[#This Row],[ĐK - Giá trị]]*Table_Main[[#This Row],[ĐK - Số lượng]]*Table_Main[[#This Row],[ĐK - Sinh nhật]]*Table_Main[[#This Row],[ĐK - Ngày mua cuối]]</f>
        <v>1</v>
      </c>
      <c r="AQ38" s="226">
        <f xml:space="preserve">
IF(ISBLANK(Table_Main[[#This Row],[Chương trình]]),1,
IF(VLOOKUP(Table_Main[[#This Row],[Chương trình]],Table_ChuongTrinh[[Mã Chương trình]:[Đối tượng CK]],Sheet_ChuongTrinh!$C$1,0) = "Sản phẩm",1,0))</f>
        <v>1</v>
      </c>
      <c r="AR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8" ht="18" customHeight="1" x14ac:dyDescent="0.3">
      <c r="B39" s="516" t="s">
        <v>1150</v>
      </c>
      <c r="C39" s="516"/>
      <c r="D39" s="530" t="str">
        <f>IF(ISBLANK(Table_Main[[#This Row],[Mã SKU]]),Table_Main[[#This Row],[Mã Nguyên liệu]],Table_Main[[#This Row],[Mã SKU]])</f>
        <v>TP1</v>
      </c>
      <c r="E39" s="416"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16"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16"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16"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16">
        <f>IFERROR(Table_Main[[#This Row],[Giá trị tồn đầu ngày]]/Table_Main[[#This Row],[Tồn kho đầu ngày]],0)</f>
        <v>0</v>
      </c>
      <c r="J39" s="416">
        <f>IFERROR(Table_Main[[#This Row],[Giá trị tồn cuối ngày]]/Table_Main[[#This Row],[Tồn kho cuối ngày]],0)</f>
        <v>0</v>
      </c>
      <c r="K39" s="411">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1155</v>
      </c>
      <c r="Q39" s="404">
        <v>18</v>
      </c>
      <c r="R39" s="516"/>
      <c r="S39" s="530">
        <f>IFERROR(VLOOKUP(Table_Main[[#This Row],[Đơn Mua]],Table_DonMua[[Mã Đơn mua]:[Add]],COUNTA(Table_DonMua[[#Headers],[Mã Đơn mua]:[Mã Đối tác]]),0),0)</f>
        <v>0</v>
      </c>
      <c r="T39" s="405"/>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16" t="s">
        <v>1211</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66">
        <f>IFERROR(
VLOOKUP(Table_Main[[#This Row],[Mã SKU]],Table_SKU[[Mã SKU]:[Tỷ suất VAT]],COUNTA(Table_SKU[[#Headers],[Mã SKU]:[Tỷ suất VAT]]),0),0)</f>
        <v>0</v>
      </c>
      <c r="AG39" s="48">
        <f xml:space="preserve">
IF(Table_Main[[#This Row],[Đơn bán]]="", 0,Table_Main[[#This Row],[Tỷ suất VAT]]*Table_Main[[#This Row],[Giá trị bán trước VAT]])</f>
        <v>0</v>
      </c>
      <c r="AH39" s="51">
        <f>IFERROR(VLOOKUP(Table_Main[[#This Row],[Đơn bán]],Table_DonBan[[Mã Đơn bán]:[Add]],COUNTA(Table_DonBan[[#Headers],[Mã Đơn bán]:[Mã NV]]),0),0)</f>
        <v>0</v>
      </c>
      <c r="AI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39" s="48">
        <f>IFERROR(Table_Main[[#This Row],[Giá trị bán trước VAT]]*Table_Main[[#This Row],[Tỷ lệ hoa hồng]],"")</f>
        <v>0</v>
      </c>
      <c r="AK39" s="48">
        <f>IFERROR(VLOOKUP(Table_Main[[#This Row],[Đơn bán]],Table_DonBan[[Mã Đơn bán]:[Add]],COUNTA(Table_DonBan[[#Headers],[Mã Đơn bán]:[Kênh]]),0),0)</f>
        <v>0</v>
      </c>
      <c r="AL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39" s="48">
        <f>IFERROR(Table_Main[[#This Row],[Giá trị bán trước VAT]]*Table_Main[[#This Row],[Tỷ lệ CK kênh]],"")</f>
        <v>0</v>
      </c>
      <c r="AN39" s="230"/>
      <c r="AO39" s="232"/>
      <c r="AP39" s="226">
        <f>Table_Main[[#This Row],[ĐK - Phân loại]]*Table_Main[[#This Row],[ĐK - Thời gian]]*Table_Main[[#This Row],[ĐK - Giá trị]]*Table_Main[[#This Row],[ĐK - Số lượng]]*Table_Main[[#This Row],[ĐK - Sinh nhật]]*Table_Main[[#This Row],[ĐK - Ngày mua cuối]]</f>
        <v>1</v>
      </c>
      <c r="AQ39" s="226">
        <f xml:space="preserve">
IF(ISBLANK(Table_Main[[#This Row],[Chương trình]]),1,
IF(VLOOKUP(Table_Main[[#This Row],[Chương trình]],Table_ChuongTrinh[[Mã Chương trình]:[Đối tượng CK]],Sheet_ChuongTrinh!$C$1,0) = "Sản phẩm",1,0))</f>
        <v>1</v>
      </c>
      <c r="AR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8" ht="18" customHeight="1" x14ac:dyDescent="0.15">
      <c r="B40" s="523"/>
      <c r="C40" s="238" t="s">
        <v>1152</v>
      </c>
      <c r="D40" s="531" t="str">
        <f>IF(ISBLANK(Table_Main[[#This Row],[Mã SKU]]),Table_Main[[#This Row],[Mã Nguyên liệu]],Table_Main[[#This Row],[Mã SKU]])</f>
        <v>NL2</v>
      </c>
      <c r="E40" s="416"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16"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16"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16"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16">
        <f>IFERROR(Table_Main[[#This Row],[Giá trị tồn đầu ngày]]/Table_Main[[#This Row],[Tồn kho đầu ngày]],0)</f>
        <v>140047.56521739124</v>
      </c>
      <c r="J40" s="416">
        <f>IFERROR(Table_Main[[#This Row],[Giá trị tồn cuối ngày]]/Table_Main[[#This Row],[Tồn kho cuối ngày]],0)</f>
        <v>113214.64718460439</v>
      </c>
      <c r="K40" s="411">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44">
        <f>IF(Table_Main[[#This Row],[Ngày lên đơn]]=0,"",Table_Main[[#This Row],[Ngày xuất nhập]]-Table_Main[[#This Row],[Ngày lên đơn]])</f>
        <v>2</v>
      </c>
      <c r="O40" s="7" t="s">
        <v>1154</v>
      </c>
      <c r="P40" s="230" t="s">
        <v>1155</v>
      </c>
      <c r="Q40" s="404">
        <v>23</v>
      </c>
      <c r="R40" s="516" t="s">
        <v>1169</v>
      </c>
      <c r="S40" s="530" t="str">
        <f>IFERROR(VLOOKUP(Table_Main[[#This Row],[Đơn Mua]],Table_DonMua[[Mã Đơn mua]:[Add]],COUNTA(Table_DonMua[[#Headers],[Mã Đơn mua]:[Mã Đối tác]]),0),0)</f>
        <v>NCC3</v>
      </c>
      <c r="T40" s="405">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16"/>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66">
        <f>IFERROR(
VLOOKUP(Table_Main[[#This Row],[Mã SKU]],Table_SKU[[Mã SKU]:[Tỷ suất VAT]],COUNTA(Table_SKU[[#Headers],[Mã SKU]:[Tỷ suất VAT]]),0),0)</f>
        <v>0</v>
      </c>
      <c r="AG40" s="48">
        <f xml:space="preserve">
IF(Table_Main[[#This Row],[Đơn bán]]="", 0,Table_Main[[#This Row],[Tỷ suất VAT]]*Table_Main[[#This Row],[Giá trị bán trước VAT]])</f>
        <v>0</v>
      </c>
      <c r="AH40" s="51">
        <f>IFERROR(VLOOKUP(Table_Main[[#This Row],[Đơn bán]],Table_DonBan[[Mã Đơn bán]:[Add]],COUNTA(Table_DonBan[[#Headers],[Mã Đơn bán]:[Mã NV]]),0),0)</f>
        <v>0</v>
      </c>
      <c r="AI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0" s="48">
        <f>IFERROR(Table_Main[[#This Row],[Giá trị bán trước VAT]]*Table_Main[[#This Row],[Tỷ lệ hoa hồng]],"")</f>
        <v>0</v>
      </c>
      <c r="AK40" s="48">
        <f>IFERROR(VLOOKUP(Table_Main[[#This Row],[Đơn bán]],Table_DonBan[[Mã Đơn bán]:[Add]],COUNTA(Table_DonBan[[#Headers],[Mã Đơn bán]:[Kênh]]),0),0)</f>
        <v>0</v>
      </c>
      <c r="AL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0" s="48">
        <f>IFERROR(Table_Main[[#This Row],[Giá trị bán trước VAT]]*Table_Main[[#This Row],[Tỷ lệ CK kênh]],"")</f>
        <v>0</v>
      </c>
      <c r="AN40" s="230"/>
      <c r="AO40" s="232"/>
      <c r="AP40" s="226">
        <f>Table_Main[[#This Row],[ĐK - Phân loại]]*Table_Main[[#This Row],[ĐK - Thời gian]]*Table_Main[[#This Row],[ĐK - Giá trị]]*Table_Main[[#This Row],[ĐK - Số lượng]]*Table_Main[[#This Row],[ĐK - Sinh nhật]]*Table_Main[[#This Row],[ĐK - Ngày mua cuối]]</f>
        <v>1</v>
      </c>
      <c r="AQ40" s="226">
        <f xml:space="preserve">
IF(ISBLANK(Table_Main[[#This Row],[Chương trình]]),1,
IF(VLOOKUP(Table_Main[[#This Row],[Chương trình]],Table_ChuongTrinh[[Mã Chương trình]:[Đối tượng CK]],Sheet_ChuongTrinh!$C$1,0) = "Sản phẩm",1,0))</f>
        <v>1</v>
      </c>
      <c r="AR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8" ht="18" customHeight="1" x14ac:dyDescent="0.15">
      <c r="B41" s="516" t="s">
        <v>1149</v>
      </c>
      <c r="C41" s="516"/>
      <c r="D41" s="530" t="str">
        <f>IF(ISBLANK(Table_Main[[#This Row],[Mã SKU]]),Table_Main[[#This Row],[Mã Nguyên liệu]],Table_Main[[#This Row],[Mã SKU]])</f>
        <v>HH1</v>
      </c>
      <c r="E41" s="416"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16"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16"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16"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16">
        <f>IFERROR(Table_Main[[#This Row],[Giá trị tồn đầu ngày]]/Table_Main[[#This Row],[Tồn kho đầu ngày]],0)</f>
        <v>90132.701492537191</v>
      </c>
      <c r="J41" s="416">
        <f>IFERROR(Table_Main[[#This Row],[Giá trị tồn cuối ngày]]/Table_Main[[#This Row],[Tồn kho cuối ngày]],0)</f>
        <v>35013.186567164259</v>
      </c>
      <c r="K41" s="411">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44">
        <f>IF(Table_Main[[#This Row],[Ngày lên đơn]]=0,"",Table_Main[[#This Row],[Ngày xuất nhập]]-Table_Main[[#This Row],[Ngày lên đơn]])</f>
        <v>1</v>
      </c>
      <c r="O41" s="7" t="s">
        <v>1154</v>
      </c>
      <c r="P41" s="230" t="s">
        <v>1155</v>
      </c>
      <c r="Q41" s="404">
        <v>13</v>
      </c>
      <c r="R41" s="516" t="s">
        <v>1168</v>
      </c>
      <c r="S41" s="530" t="str">
        <f>IFERROR(VLOOKUP(Table_Main[[#This Row],[Đơn Mua]],Table_DonMua[[Mã Đơn mua]:[Add]],COUNTA(Table_DonMua[[#Headers],[Mã Đơn mua]:[Mã Đối tác]]),0),0)</f>
        <v>NCC1</v>
      </c>
      <c r="T41" s="405">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16"/>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66">
        <f>IFERROR(
VLOOKUP(Table_Main[[#This Row],[Mã SKU]],Table_SKU[[Mã SKU]:[Tỷ suất VAT]],COUNTA(Table_SKU[[#Headers],[Mã SKU]:[Tỷ suất VAT]]),0),0)</f>
        <v>0</v>
      </c>
      <c r="AG41" s="48">
        <f xml:space="preserve">
IF(Table_Main[[#This Row],[Đơn bán]]="", 0,Table_Main[[#This Row],[Tỷ suất VAT]]*Table_Main[[#This Row],[Giá trị bán trước VAT]])</f>
        <v>0</v>
      </c>
      <c r="AH41" s="51">
        <f>IFERROR(VLOOKUP(Table_Main[[#This Row],[Đơn bán]],Table_DonBan[[Mã Đơn bán]:[Add]],COUNTA(Table_DonBan[[#Headers],[Mã Đơn bán]:[Mã NV]]),0),0)</f>
        <v>0</v>
      </c>
      <c r="AI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1" s="48">
        <f>IFERROR(Table_Main[[#This Row],[Giá trị bán trước VAT]]*Table_Main[[#This Row],[Tỷ lệ hoa hồng]],"")</f>
        <v>0</v>
      </c>
      <c r="AK41" s="48">
        <f>IFERROR(VLOOKUP(Table_Main[[#This Row],[Đơn bán]],Table_DonBan[[Mã Đơn bán]:[Add]],COUNTA(Table_DonBan[[#Headers],[Mã Đơn bán]:[Kênh]]),0),0)</f>
        <v>0</v>
      </c>
      <c r="AL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1" s="48">
        <f>IFERROR(Table_Main[[#This Row],[Giá trị bán trước VAT]]*Table_Main[[#This Row],[Tỷ lệ CK kênh]],"")</f>
        <v>0</v>
      </c>
      <c r="AN41" s="230"/>
      <c r="AO41" s="232"/>
      <c r="AP41" s="226">
        <f>Table_Main[[#This Row],[ĐK - Phân loại]]*Table_Main[[#This Row],[ĐK - Thời gian]]*Table_Main[[#This Row],[ĐK - Giá trị]]*Table_Main[[#This Row],[ĐK - Số lượng]]*Table_Main[[#This Row],[ĐK - Sinh nhật]]*Table_Main[[#This Row],[ĐK - Ngày mua cuối]]</f>
        <v>1</v>
      </c>
      <c r="AQ41" s="226">
        <f xml:space="preserve">
IF(ISBLANK(Table_Main[[#This Row],[Chương trình]]),1,
IF(VLOOKUP(Table_Main[[#This Row],[Chương trình]],Table_ChuongTrinh[[Mã Chương trình]:[Đối tượng CK]],Sheet_ChuongTrinh!$C$1,0) = "Sản phẩm",1,0))</f>
        <v>1</v>
      </c>
      <c r="AR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8" ht="18" customHeight="1" x14ac:dyDescent="0.3">
      <c r="B42" s="516" t="s">
        <v>1149</v>
      </c>
      <c r="C42" s="516"/>
      <c r="D42" s="530" t="str">
        <f>IF(ISBLANK(Table_Main[[#This Row],[Mã SKU]]),Table_Main[[#This Row],[Mã Nguyên liệu]],Table_Main[[#This Row],[Mã SKU]])</f>
        <v>HH1</v>
      </c>
      <c r="E42" s="416"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16"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16"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16"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16">
        <f>IFERROR(Table_Main[[#This Row],[Giá trị tồn đầu ngày]]/Table_Main[[#This Row],[Tồn kho đầu ngày]],0)</f>
        <v>90132.701492537439</v>
      </c>
      <c r="J42" s="416">
        <f>IFERROR(Table_Main[[#This Row],[Giá trị tồn cuối ngày]]/Table_Main[[#This Row],[Tồn kho cuối ngày]],0)</f>
        <v>90132.701492537191</v>
      </c>
      <c r="K42" s="411">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1155</v>
      </c>
      <c r="Q42" s="404">
        <v>23</v>
      </c>
      <c r="R42" s="516"/>
      <c r="S42" s="530">
        <f>IFERROR(VLOOKUP(Table_Main[[#This Row],[Đơn Mua]],Table_DonMua[[Mã Đơn mua]:[Add]],COUNTA(Table_DonMua[[#Headers],[Mã Đơn mua]:[Mã Đối tác]]),0),0)</f>
        <v>0</v>
      </c>
      <c r="T42" s="405"/>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16" t="s">
        <v>1210</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66">
        <f>IFERROR(
VLOOKUP(Table_Main[[#This Row],[Mã SKU]],Table_SKU[[Mã SKU]:[Tỷ suất VAT]],COUNTA(Table_SKU[[#Headers],[Mã SKU]:[Tỷ suất VAT]]),0),0)</f>
        <v>0</v>
      </c>
      <c r="AG42" s="48">
        <f xml:space="preserve">
IF(Table_Main[[#This Row],[Đơn bán]]="", 0,Table_Main[[#This Row],[Tỷ suất VAT]]*Table_Main[[#This Row],[Giá trị bán trước VAT]])</f>
        <v>0</v>
      </c>
      <c r="AH42" s="51">
        <f>IFERROR(VLOOKUP(Table_Main[[#This Row],[Đơn bán]],Table_DonBan[[Mã Đơn bán]:[Add]],COUNTA(Table_DonBan[[#Headers],[Mã Đơn bán]:[Mã NV]]),0),0)</f>
        <v>0</v>
      </c>
      <c r="AI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2" s="48">
        <f>IFERROR(Table_Main[[#This Row],[Giá trị bán trước VAT]]*Table_Main[[#This Row],[Tỷ lệ hoa hồng]],"")</f>
        <v>0</v>
      </c>
      <c r="AK42" s="48">
        <f>IFERROR(VLOOKUP(Table_Main[[#This Row],[Đơn bán]],Table_DonBan[[Mã Đơn bán]:[Add]],COUNTA(Table_DonBan[[#Headers],[Mã Đơn bán]:[Kênh]]),0),0)</f>
        <v>0</v>
      </c>
      <c r="AL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2" s="48">
        <f>IFERROR(Table_Main[[#This Row],[Giá trị bán trước VAT]]*Table_Main[[#This Row],[Tỷ lệ CK kênh]],"")</f>
        <v>0</v>
      </c>
      <c r="AN42" s="230"/>
      <c r="AO42" s="232"/>
      <c r="AP42" s="226">
        <f>Table_Main[[#This Row],[ĐK - Phân loại]]*Table_Main[[#This Row],[ĐK - Thời gian]]*Table_Main[[#This Row],[ĐK - Giá trị]]*Table_Main[[#This Row],[ĐK - Số lượng]]*Table_Main[[#This Row],[ĐK - Sinh nhật]]*Table_Main[[#This Row],[ĐK - Ngày mua cuối]]</f>
        <v>1</v>
      </c>
      <c r="AQ42" s="226">
        <f xml:space="preserve">
IF(ISBLANK(Table_Main[[#This Row],[Chương trình]]),1,
IF(VLOOKUP(Table_Main[[#This Row],[Chương trình]],Table_ChuongTrinh[[Mã Chương trình]:[Đối tượng CK]],Sheet_ChuongTrinh!$C$1,0) = "Sản phẩm",1,0))</f>
        <v>1</v>
      </c>
      <c r="AR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8" ht="18" customHeight="1" x14ac:dyDescent="0.3">
      <c r="B43" s="516" t="s">
        <v>1150</v>
      </c>
      <c r="C43" s="516"/>
      <c r="D43" s="530" t="str">
        <f>IF(ISBLANK(Table_Main[[#This Row],[Mã SKU]]),Table_Main[[#This Row],[Mã Nguyên liệu]],Table_Main[[#This Row],[Mã SKU]])</f>
        <v>TP1</v>
      </c>
      <c r="E43" s="416"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16"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16"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16"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16">
        <f>IFERROR(Table_Main[[#This Row],[Giá trị tồn đầu ngày]]/Table_Main[[#This Row],[Tồn kho đầu ngày]],0)</f>
        <v>0</v>
      </c>
      <c r="J43" s="416">
        <f>IFERROR(Table_Main[[#This Row],[Giá trị tồn cuối ngày]]/Table_Main[[#This Row],[Tồn kho cuối ngày]],0)</f>
        <v>0</v>
      </c>
      <c r="K43" s="411">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1155</v>
      </c>
      <c r="Q43" s="404">
        <v>11</v>
      </c>
      <c r="R43" s="516"/>
      <c r="S43" s="530">
        <f>IFERROR(VLOOKUP(Table_Main[[#This Row],[Đơn Mua]],Table_DonMua[[Mã Đơn mua]:[Add]],COUNTA(Table_DonMua[[#Headers],[Mã Đơn mua]:[Mã Đối tác]]),0),0)</f>
        <v>0</v>
      </c>
      <c r="T43" s="405"/>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16" t="s">
        <v>1209</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66">
        <f>IFERROR(
VLOOKUP(Table_Main[[#This Row],[Mã SKU]],Table_SKU[[Mã SKU]:[Tỷ suất VAT]],COUNTA(Table_SKU[[#Headers],[Mã SKU]:[Tỷ suất VAT]]),0),0)</f>
        <v>0</v>
      </c>
      <c r="AG43" s="48">
        <f xml:space="preserve">
IF(Table_Main[[#This Row],[Đơn bán]]="", 0,Table_Main[[#This Row],[Tỷ suất VAT]]*Table_Main[[#This Row],[Giá trị bán trước VAT]])</f>
        <v>0</v>
      </c>
      <c r="AH43" s="51">
        <f>IFERROR(VLOOKUP(Table_Main[[#This Row],[Đơn bán]],Table_DonBan[[Mã Đơn bán]:[Add]],COUNTA(Table_DonBan[[#Headers],[Mã Đơn bán]:[Mã NV]]),0),0)</f>
        <v>0</v>
      </c>
      <c r="AI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3" s="48">
        <f>IFERROR(Table_Main[[#This Row],[Giá trị bán trước VAT]]*Table_Main[[#This Row],[Tỷ lệ hoa hồng]],"")</f>
        <v>0</v>
      </c>
      <c r="AK43" s="48">
        <f>IFERROR(VLOOKUP(Table_Main[[#This Row],[Đơn bán]],Table_DonBan[[Mã Đơn bán]:[Add]],COUNTA(Table_DonBan[[#Headers],[Mã Đơn bán]:[Kênh]]),0),0)</f>
        <v>0</v>
      </c>
      <c r="AL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3" s="48">
        <f>IFERROR(Table_Main[[#This Row],[Giá trị bán trước VAT]]*Table_Main[[#This Row],[Tỷ lệ CK kênh]],"")</f>
        <v>0</v>
      </c>
      <c r="AN43" s="230"/>
      <c r="AO43" s="232"/>
      <c r="AP43" s="226">
        <f>Table_Main[[#This Row],[ĐK - Phân loại]]*Table_Main[[#This Row],[ĐK - Thời gian]]*Table_Main[[#This Row],[ĐK - Giá trị]]*Table_Main[[#This Row],[ĐK - Số lượng]]*Table_Main[[#This Row],[ĐK - Sinh nhật]]*Table_Main[[#This Row],[ĐK - Ngày mua cuối]]</f>
        <v>1</v>
      </c>
      <c r="AQ43" s="226">
        <f xml:space="preserve">
IF(ISBLANK(Table_Main[[#This Row],[Chương trình]]),1,
IF(VLOOKUP(Table_Main[[#This Row],[Chương trình]],Table_ChuongTrinh[[Mã Chương trình]:[Đối tượng CK]],Sheet_ChuongTrinh!$C$1,0) = "Sản phẩm",1,0))</f>
        <v>1</v>
      </c>
      <c r="AR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8" ht="18" customHeight="1" x14ac:dyDescent="0.3">
      <c r="B44" s="516" t="s">
        <v>1149</v>
      </c>
      <c r="C44" s="516"/>
      <c r="D44" s="530" t="str">
        <f>IF(ISBLANK(Table_Main[[#This Row],[Mã SKU]]),Table_Main[[#This Row],[Mã Nguyên liệu]],Table_Main[[#This Row],[Mã SKU]])</f>
        <v>HH1</v>
      </c>
      <c r="E44" s="416"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16"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16"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16"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16">
        <f>IFERROR(Table_Main[[#This Row],[Giá trị tồn đầu ngày]]/Table_Main[[#This Row],[Tồn kho đầu ngày]],0)</f>
        <v>90132.701492537264</v>
      </c>
      <c r="J44" s="416">
        <f>IFERROR(Table_Main[[#This Row],[Giá trị tồn cuối ngày]]/Table_Main[[#This Row],[Tồn kho cuối ngày]],0)</f>
        <v>90132.701492537439</v>
      </c>
      <c r="K44" s="411">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1155</v>
      </c>
      <c r="Q44" s="404">
        <v>39</v>
      </c>
      <c r="R44" s="516"/>
      <c r="S44" s="530">
        <f>IFERROR(VLOOKUP(Table_Main[[#This Row],[Đơn Mua]],Table_DonMua[[Mã Đơn mua]:[Add]],COUNTA(Table_DonMua[[#Headers],[Mã Đơn mua]:[Mã Đối tác]]),0),0)</f>
        <v>0</v>
      </c>
      <c r="T44" s="405"/>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16" t="s">
        <v>1208</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66">
        <f>IFERROR(
VLOOKUP(Table_Main[[#This Row],[Mã SKU]],Table_SKU[[Mã SKU]:[Tỷ suất VAT]],COUNTA(Table_SKU[[#Headers],[Mã SKU]:[Tỷ suất VAT]]),0),0)</f>
        <v>0</v>
      </c>
      <c r="AG44" s="48">
        <f xml:space="preserve">
IF(Table_Main[[#This Row],[Đơn bán]]="", 0,Table_Main[[#This Row],[Tỷ suất VAT]]*Table_Main[[#This Row],[Giá trị bán trước VAT]])</f>
        <v>0</v>
      </c>
      <c r="AH44" s="51">
        <f>IFERROR(VLOOKUP(Table_Main[[#This Row],[Đơn bán]],Table_DonBan[[Mã Đơn bán]:[Add]],COUNTA(Table_DonBan[[#Headers],[Mã Đơn bán]:[Mã NV]]),0),0)</f>
        <v>0</v>
      </c>
      <c r="AI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4" s="48">
        <f>IFERROR(Table_Main[[#This Row],[Giá trị bán trước VAT]]*Table_Main[[#This Row],[Tỷ lệ hoa hồng]],"")</f>
        <v>0</v>
      </c>
      <c r="AK44" s="48">
        <f>IFERROR(VLOOKUP(Table_Main[[#This Row],[Đơn bán]],Table_DonBan[[Mã Đơn bán]:[Add]],COUNTA(Table_DonBan[[#Headers],[Mã Đơn bán]:[Kênh]]),0),0)</f>
        <v>0</v>
      </c>
      <c r="AL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4" s="48">
        <f>IFERROR(Table_Main[[#This Row],[Giá trị bán trước VAT]]*Table_Main[[#This Row],[Tỷ lệ CK kênh]],"")</f>
        <v>0</v>
      </c>
      <c r="AN44" s="230"/>
      <c r="AO44" s="232"/>
      <c r="AP44" s="226">
        <f>Table_Main[[#This Row],[ĐK - Phân loại]]*Table_Main[[#This Row],[ĐK - Thời gian]]*Table_Main[[#This Row],[ĐK - Giá trị]]*Table_Main[[#This Row],[ĐK - Số lượng]]*Table_Main[[#This Row],[ĐK - Sinh nhật]]*Table_Main[[#This Row],[ĐK - Ngày mua cuối]]</f>
        <v>1</v>
      </c>
      <c r="AQ44" s="226">
        <f xml:space="preserve">
IF(ISBLANK(Table_Main[[#This Row],[Chương trình]]),1,
IF(VLOOKUP(Table_Main[[#This Row],[Chương trình]],Table_ChuongTrinh[[Mã Chương trình]:[Đối tượng CK]],Sheet_ChuongTrinh!$C$1,0) = "Sản phẩm",1,0))</f>
        <v>1</v>
      </c>
      <c r="AR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8" ht="18" customHeight="1" x14ac:dyDescent="0.3">
      <c r="B45" s="523"/>
      <c r="C45" s="238" t="s">
        <v>1152</v>
      </c>
      <c r="D45" s="531" t="str">
        <f>IF(ISBLANK(Table_Main[[#This Row],[Mã SKU]]),Table_Main[[#This Row],[Mã Nguyên liệu]],Table_Main[[#This Row],[Mã SKU]])</f>
        <v>NL2</v>
      </c>
      <c r="E45" s="416"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16"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16"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16"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16">
        <f>IFERROR(Table_Main[[#This Row],[Giá trị tồn đầu ngày]]/Table_Main[[#This Row],[Tồn kho đầu ngày]],0)</f>
        <v>140047.56521739133</v>
      </c>
      <c r="J45" s="416">
        <f>IFERROR(Table_Main[[#This Row],[Giá trị tồn cuối ngày]]/Table_Main[[#This Row],[Tồn kho cuối ngày]],0)</f>
        <v>140047.56521739124</v>
      </c>
      <c r="K45" s="411">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1155</v>
      </c>
      <c r="Q45" s="404">
        <v>35</v>
      </c>
      <c r="R45" s="516"/>
      <c r="S45" s="530">
        <f>IFERROR(VLOOKUP(Table_Main[[#This Row],[Đơn Mua]],Table_DonMua[[Mã Đơn mua]:[Add]],COUNTA(Table_DonMua[[#Headers],[Mã Đơn mua]:[Mã Đối tác]]),0),0)</f>
        <v>0</v>
      </c>
      <c r="T45" s="405"/>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16"/>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66">
        <f>IFERROR(
VLOOKUP(Table_Main[[#This Row],[Mã SKU]],Table_SKU[[Mã SKU]:[Tỷ suất VAT]],COUNTA(Table_SKU[[#Headers],[Mã SKU]:[Tỷ suất VAT]]),0),0)</f>
        <v>0</v>
      </c>
      <c r="AG45" s="48">
        <f xml:space="preserve">
IF(Table_Main[[#This Row],[Đơn bán]]="", 0,Table_Main[[#This Row],[Tỷ suất VAT]]*Table_Main[[#This Row],[Giá trị bán trước VAT]])</f>
        <v>0</v>
      </c>
      <c r="AH45" s="51">
        <f>IFERROR(VLOOKUP(Table_Main[[#This Row],[Đơn bán]],Table_DonBan[[Mã Đơn bán]:[Add]],COUNTA(Table_DonBan[[#Headers],[Mã Đơn bán]:[Mã NV]]),0),0)</f>
        <v>0</v>
      </c>
      <c r="AI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5" s="48">
        <f>IFERROR(Table_Main[[#This Row],[Giá trị bán trước VAT]]*Table_Main[[#This Row],[Tỷ lệ hoa hồng]],"")</f>
        <v>0</v>
      </c>
      <c r="AK45" s="48">
        <f>IFERROR(VLOOKUP(Table_Main[[#This Row],[Đơn bán]],Table_DonBan[[Mã Đơn bán]:[Add]],COUNTA(Table_DonBan[[#Headers],[Mã Đơn bán]:[Kênh]]),0),0)</f>
        <v>0</v>
      </c>
      <c r="AL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5" s="48">
        <f>IFERROR(Table_Main[[#This Row],[Giá trị bán trước VAT]]*Table_Main[[#This Row],[Tỷ lệ CK kênh]],"")</f>
        <v>0</v>
      </c>
      <c r="AN45" s="230"/>
      <c r="AO45" s="232"/>
      <c r="AP45" s="226">
        <f>Table_Main[[#This Row],[ĐK - Phân loại]]*Table_Main[[#This Row],[ĐK - Thời gian]]*Table_Main[[#This Row],[ĐK - Giá trị]]*Table_Main[[#This Row],[ĐK - Số lượng]]*Table_Main[[#This Row],[ĐK - Sinh nhật]]*Table_Main[[#This Row],[ĐK - Ngày mua cuối]]</f>
        <v>1</v>
      </c>
      <c r="AQ45" s="226">
        <f xml:space="preserve">
IF(ISBLANK(Table_Main[[#This Row],[Chương trình]]),1,
IF(VLOOKUP(Table_Main[[#This Row],[Chương trình]],Table_ChuongTrinh[[Mã Chương trình]:[Đối tượng CK]],Sheet_ChuongTrinh!$C$1,0) = "Sản phẩm",1,0))</f>
        <v>1</v>
      </c>
      <c r="AR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8" ht="18" customHeight="1" x14ac:dyDescent="0.15">
      <c r="B46" s="516" t="s">
        <v>1151</v>
      </c>
      <c r="C46" s="516"/>
      <c r="D46" s="530" t="str">
        <f>IF(ISBLANK(Table_Main[[#This Row],[Mã SKU]]),Table_Main[[#This Row],[Mã Nguyên liệu]],Table_Main[[#This Row],[Mã SKU]])</f>
        <v>TP2</v>
      </c>
      <c r="E46" s="416"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16"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16"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16"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16">
        <f>IFERROR(Table_Main[[#This Row],[Giá trị tồn đầu ngày]]/Table_Main[[#This Row],[Tồn kho đầu ngày]],0)</f>
        <v>0</v>
      </c>
      <c r="J46" s="416">
        <f>IFERROR(Table_Main[[#This Row],[Giá trị tồn cuối ngày]]/Table_Main[[#This Row],[Tồn kho cuối ngày]],0)</f>
        <v>0</v>
      </c>
      <c r="K46" s="411">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44" t="str">
        <f>IF(Table_Main[[#This Row],[Ngày lên đơn]]=0,"",Table_Main[[#This Row],[Ngày xuất nhập]]-Table_Main[[#This Row],[Ngày lên đơn]])</f>
        <v/>
      </c>
      <c r="O46" s="7" t="s">
        <v>1154</v>
      </c>
      <c r="P46" s="230" t="s">
        <v>1155</v>
      </c>
      <c r="Q46" s="404">
        <v>45</v>
      </c>
      <c r="R46" s="516"/>
      <c r="S46" s="530">
        <f>IFERROR(VLOOKUP(Table_Main[[#This Row],[Đơn Mua]],Table_DonMua[[Mã Đơn mua]:[Add]],COUNTA(Table_DonMua[[#Headers],[Mã Đơn mua]:[Mã Đối tác]]),0),0)</f>
        <v>0</v>
      </c>
      <c r="T46" s="405"/>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16"/>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66">
        <f>IFERROR(
VLOOKUP(Table_Main[[#This Row],[Mã SKU]],Table_SKU[[Mã SKU]:[Tỷ suất VAT]],COUNTA(Table_SKU[[#Headers],[Mã SKU]:[Tỷ suất VAT]]),0),0)</f>
        <v>0</v>
      </c>
      <c r="AG46" s="48">
        <f xml:space="preserve">
IF(Table_Main[[#This Row],[Đơn bán]]="", 0,Table_Main[[#This Row],[Tỷ suất VAT]]*Table_Main[[#This Row],[Giá trị bán trước VAT]])</f>
        <v>0</v>
      </c>
      <c r="AH46" s="51">
        <f>IFERROR(VLOOKUP(Table_Main[[#This Row],[Đơn bán]],Table_DonBan[[Mã Đơn bán]:[Add]],COUNTA(Table_DonBan[[#Headers],[Mã Đơn bán]:[Mã NV]]),0),0)</f>
        <v>0</v>
      </c>
      <c r="AI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6" s="48">
        <f>IFERROR(Table_Main[[#This Row],[Giá trị bán trước VAT]]*Table_Main[[#This Row],[Tỷ lệ hoa hồng]],"")</f>
        <v>0</v>
      </c>
      <c r="AK46" s="48">
        <f>IFERROR(VLOOKUP(Table_Main[[#This Row],[Đơn bán]],Table_DonBan[[Mã Đơn bán]:[Add]],COUNTA(Table_DonBan[[#Headers],[Mã Đơn bán]:[Kênh]]),0),0)</f>
        <v>0</v>
      </c>
      <c r="AL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6" s="48">
        <f>IFERROR(Table_Main[[#This Row],[Giá trị bán trước VAT]]*Table_Main[[#This Row],[Tỷ lệ CK kênh]],"")</f>
        <v>0</v>
      </c>
      <c r="AN46" s="230"/>
      <c r="AO46" s="232"/>
      <c r="AP46" s="226">
        <f>Table_Main[[#This Row],[ĐK - Phân loại]]*Table_Main[[#This Row],[ĐK - Thời gian]]*Table_Main[[#This Row],[ĐK - Giá trị]]*Table_Main[[#This Row],[ĐK - Số lượng]]*Table_Main[[#This Row],[ĐK - Sinh nhật]]*Table_Main[[#This Row],[ĐK - Ngày mua cuối]]</f>
        <v>1</v>
      </c>
      <c r="AQ46" s="226">
        <f xml:space="preserve">
IF(ISBLANK(Table_Main[[#This Row],[Chương trình]]),1,
IF(VLOOKUP(Table_Main[[#This Row],[Chương trình]],Table_ChuongTrinh[[Mã Chương trình]:[Đối tượng CK]],Sheet_ChuongTrinh!$C$1,0) = "Sản phẩm",1,0))</f>
        <v>1</v>
      </c>
      <c r="AR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8" ht="18" customHeight="1" x14ac:dyDescent="0.3">
      <c r="B47" s="516" t="s">
        <v>1149</v>
      </c>
      <c r="C47" s="516"/>
      <c r="D47" s="530" t="str">
        <f>IF(ISBLANK(Table_Main[[#This Row],[Mã SKU]]),Table_Main[[#This Row],[Mã Nguyên liệu]],Table_Main[[#This Row],[Mã SKU]])</f>
        <v>HH1</v>
      </c>
      <c r="E47" s="416"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16"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16"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16"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16">
        <f>IFERROR(Table_Main[[#This Row],[Giá trị tồn đầu ngày]]/Table_Main[[#This Row],[Tồn kho đầu ngày]],0)</f>
        <v>90132.701492537308</v>
      </c>
      <c r="J47" s="416">
        <f>IFERROR(Table_Main[[#This Row],[Giá trị tồn cuối ngày]]/Table_Main[[#This Row],[Tồn kho cuối ngày]],0)</f>
        <v>90132.701492537264</v>
      </c>
      <c r="K47" s="411">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1155</v>
      </c>
      <c r="Q47" s="404">
        <v>27</v>
      </c>
      <c r="R47" s="516"/>
      <c r="S47" s="530">
        <f>IFERROR(VLOOKUP(Table_Main[[#This Row],[Đơn Mua]],Table_DonMua[[Mã Đơn mua]:[Add]],COUNTA(Table_DonMua[[#Headers],[Mã Đơn mua]:[Mã Đối tác]]),0),0)</f>
        <v>0</v>
      </c>
      <c r="T47" s="405"/>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16" t="s">
        <v>1207</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66">
        <f>IFERROR(
VLOOKUP(Table_Main[[#This Row],[Mã SKU]],Table_SKU[[Mã SKU]:[Tỷ suất VAT]],COUNTA(Table_SKU[[#Headers],[Mã SKU]:[Tỷ suất VAT]]),0),0)</f>
        <v>0</v>
      </c>
      <c r="AG47" s="48">
        <f xml:space="preserve">
IF(Table_Main[[#This Row],[Đơn bán]]="", 0,Table_Main[[#This Row],[Tỷ suất VAT]]*Table_Main[[#This Row],[Giá trị bán trước VAT]])</f>
        <v>0</v>
      </c>
      <c r="AH47" s="51">
        <f>IFERROR(VLOOKUP(Table_Main[[#This Row],[Đơn bán]],Table_DonBan[[Mã Đơn bán]:[Add]],COUNTA(Table_DonBan[[#Headers],[Mã Đơn bán]:[Mã NV]]),0),0)</f>
        <v>0</v>
      </c>
      <c r="AI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7" s="48">
        <f>IFERROR(Table_Main[[#This Row],[Giá trị bán trước VAT]]*Table_Main[[#This Row],[Tỷ lệ hoa hồng]],"")</f>
        <v>0</v>
      </c>
      <c r="AK47" s="48">
        <f>IFERROR(VLOOKUP(Table_Main[[#This Row],[Đơn bán]],Table_DonBan[[Mã Đơn bán]:[Add]],COUNTA(Table_DonBan[[#Headers],[Mã Đơn bán]:[Kênh]]),0),0)</f>
        <v>0</v>
      </c>
      <c r="AL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7" s="48">
        <f>IFERROR(Table_Main[[#This Row],[Giá trị bán trước VAT]]*Table_Main[[#This Row],[Tỷ lệ CK kênh]],"")</f>
        <v>0</v>
      </c>
      <c r="AN47" s="230"/>
      <c r="AO47" s="232"/>
      <c r="AP47" s="226">
        <f>Table_Main[[#This Row],[ĐK - Phân loại]]*Table_Main[[#This Row],[ĐK - Thời gian]]*Table_Main[[#This Row],[ĐK - Giá trị]]*Table_Main[[#This Row],[ĐK - Số lượng]]*Table_Main[[#This Row],[ĐK - Sinh nhật]]*Table_Main[[#This Row],[ĐK - Ngày mua cuối]]</f>
        <v>1</v>
      </c>
      <c r="AQ47" s="226">
        <f xml:space="preserve">
IF(ISBLANK(Table_Main[[#This Row],[Chương trình]]),1,
IF(VLOOKUP(Table_Main[[#This Row],[Chương trình]],Table_ChuongTrinh[[Mã Chương trình]:[Đối tượng CK]],Sheet_ChuongTrinh!$C$1,0) = "Sản phẩm",1,0))</f>
        <v>1</v>
      </c>
      <c r="AR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8" ht="18" customHeight="1" x14ac:dyDescent="0.3">
      <c r="B48" s="516" t="s">
        <v>1150</v>
      </c>
      <c r="C48" s="516"/>
      <c r="D48" s="530" t="str">
        <f>IF(ISBLANK(Table_Main[[#This Row],[Mã SKU]]),Table_Main[[#This Row],[Mã Nguyên liệu]],Table_Main[[#This Row],[Mã SKU]])</f>
        <v>TP1</v>
      </c>
      <c r="E48" s="416"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16"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16"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16"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16">
        <f>IFERROR(Table_Main[[#This Row],[Giá trị tồn đầu ngày]]/Table_Main[[#This Row],[Tồn kho đầu ngày]],0)</f>
        <v>0</v>
      </c>
      <c r="J48" s="416">
        <f>IFERROR(Table_Main[[#This Row],[Giá trị tồn cuối ngày]]/Table_Main[[#This Row],[Tồn kho cuối ngày]],0)</f>
        <v>0</v>
      </c>
      <c r="K48" s="411">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1155</v>
      </c>
      <c r="Q48" s="404">
        <v>14</v>
      </c>
      <c r="R48" s="516"/>
      <c r="S48" s="530">
        <f>IFERROR(VLOOKUP(Table_Main[[#This Row],[Đơn Mua]],Table_DonMua[[Mã Đơn mua]:[Add]],COUNTA(Table_DonMua[[#Headers],[Mã Đơn mua]:[Mã Đối tác]]),0),0)</f>
        <v>0</v>
      </c>
      <c r="T48" s="405"/>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16" t="s">
        <v>1206</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66">
        <f>IFERROR(
VLOOKUP(Table_Main[[#This Row],[Mã SKU]],Table_SKU[[Mã SKU]:[Tỷ suất VAT]],COUNTA(Table_SKU[[#Headers],[Mã SKU]:[Tỷ suất VAT]]),0),0)</f>
        <v>0</v>
      </c>
      <c r="AG48" s="48">
        <f xml:space="preserve">
IF(Table_Main[[#This Row],[Đơn bán]]="", 0,Table_Main[[#This Row],[Tỷ suất VAT]]*Table_Main[[#This Row],[Giá trị bán trước VAT]])</f>
        <v>0</v>
      </c>
      <c r="AH48" s="51">
        <f>IFERROR(VLOOKUP(Table_Main[[#This Row],[Đơn bán]],Table_DonBan[[Mã Đơn bán]:[Add]],COUNTA(Table_DonBan[[#Headers],[Mã Đơn bán]:[Mã NV]]),0),0)</f>
        <v>0</v>
      </c>
      <c r="AI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8" s="48">
        <f>IFERROR(Table_Main[[#This Row],[Giá trị bán trước VAT]]*Table_Main[[#This Row],[Tỷ lệ hoa hồng]],"")</f>
        <v>0</v>
      </c>
      <c r="AK48" s="48">
        <f>IFERROR(VLOOKUP(Table_Main[[#This Row],[Đơn bán]],Table_DonBan[[Mã Đơn bán]:[Add]],COUNTA(Table_DonBan[[#Headers],[Mã Đơn bán]:[Kênh]]),0),0)</f>
        <v>0</v>
      </c>
      <c r="AL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8" s="48">
        <f>IFERROR(Table_Main[[#This Row],[Giá trị bán trước VAT]]*Table_Main[[#This Row],[Tỷ lệ CK kênh]],"")</f>
        <v>0</v>
      </c>
      <c r="AN48" s="230"/>
      <c r="AO48" s="232"/>
      <c r="AP48" s="226">
        <f>Table_Main[[#This Row],[ĐK - Phân loại]]*Table_Main[[#This Row],[ĐK - Thời gian]]*Table_Main[[#This Row],[ĐK - Giá trị]]*Table_Main[[#This Row],[ĐK - Số lượng]]*Table_Main[[#This Row],[ĐK - Sinh nhật]]*Table_Main[[#This Row],[ĐK - Ngày mua cuối]]</f>
        <v>1</v>
      </c>
      <c r="AQ48" s="226">
        <f xml:space="preserve">
IF(ISBLANK(Table_Main[[#This Row],[Chương trình]]),1,
IF(VLOOKUP(Table_Main[[#This Row],[Chương trình]],Table_ChuongTrinh[[Mã Chương trình]:[Đối tượng CK]],Sheet_ChuongTrinh!$C$1,0) = "Sản phẩm",1,0))</f>
        <v>1</v>
      </c>
      <c r="AR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8" ht="18" customHeight="1" x14ac:dyDescent="0.3">
      <c r="B49" s="516" t="s">
        <v>1150</v>
      </c>
      <c r="C49" s="516"/>
      <c r="D49" s="530" t="str">
        <f>IF(ISBLANK(Table_Main[[#This Row],[Mã SKU]]),Table_Main[[#This Row],[Mã Nguyên liệu]],Table_Main[[#This Row],[Mã SKU]])</f>
        <v>TP1</v>
      </c>
      <c r="E49" s="416"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16"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16"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16"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16">
        <f>IFERROR(Table_Main[[#This Row],[Giá trị tồn đầu ngày]]/Table_Main[[#This Row],[Tồn kho đầu ngày]],0)</f>
        <v>0</v>
      </c>
      <c r="J49" s="416">
        <f>IFERROR(Table_Main[[#This Row],[Giá trị tồn cuối ngày]]/Table_Main[[#This Row],[Tồn kho cuối ngày]],0)</f>
        <v>0</v>
      </c>
      <c r="K49" s="411">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1154</v>
      </c>
      <c r="P49" s="230" t="s">
        <v>1155</v>
      </c>
      <c r="Q49" s="404">
        <v>28</v>
      </c>
      <c r="R49" s="516"/>
      <c r="S49" s="530">
        <f>IFERROR(VLOOKUP(Table_Main[[#This Row],[Đơn Mua]],Table_DonMua[[Mã Đơn mua]:[Add]],COUNTA(Table_DonMua[[#Headers],[Mã Đơn mua]:[Mã Đối tác]]),0),0)</f>
        <v>0</v>
      </c>
      <c r="T49" s="405"/>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16"/>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66">
        <f>IFERROR(
VLOOKUP(Table_Main[[#This Row],[Mã SKU]],Table_SKU[[Mã SKU]:[Tỷ suất VAT]],COUNTA(Table_SKU[[#Headers],[Mã SKU]:[Tỷ suất VAT]]),0),0)</f>
        <v>0</v>
      </c>
      <c r="AG49" s="48">
        <f xml:space="preserve">
IF(Table_Main[[#This Row],[Đơn bán]]="", 0,Table_Main[[#This Row],[Tỷ suất VAT]]*Table_Main[[#This Row],[Giá trị bán trước VAT]])</f>
        <v>0</v>
      </c>
      <c r="AH49" s="51">
        <f>IFERROR(VLOOKUP(Table_Main[[#This Row],[Đơn bán]],Table_DonBan[[Mã Đơn bán]:[Add]],COUNTA(Table_DonBan[[#Headers],[Mã Đơn bán]:[Mã NV]]),0),0)</f>
        <v>0</v>
      </c>
      <c r="AI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49" s="48">
        <f>IFERROR(Table_Main[[#This Row],[Giá trị bán trước VAT]]*Table_Main[[#This Row],[Tỷ lệ hoa hồng]],"")</f>
        <v>0</v>
      </c>
      <c r="AK49" s="48">
        <f>IFERROR(VLOOKUP(Table_Main[[#This Row],[Đơn bán]],Table_DonBan[[Mã Đơn bán]:[Add]],COUNTA(Table_DonBan[[#Headers],[Mã Đơn bán]:[Kênh]]),0),0)</f>
        <v>0</v>
      </c>
      <c r="AL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49" s="48">
        <f>IFERROR(Table_Main[[#This Row],[Giá trị bán trước VAT]]*Table_Main[[#This Row],[Tỷ lệ CK kênh]],"")</f>
        <v>0</v>
      </c>
      <c r="AN49" s="230"/>
      <c r="AO49" s="232"/>
      <c r="AP49" s="226">
        <f>Table_Main[[#This Row],[ĐK - Phân loại]]*Table_Main[[#This Row],[ĐK - Thời gian]]*Table_Main[[#This Row],[ĐK - Giá trị]]*Table_Main[[#This Row],[ĐK - Số lượng]]*Table_Main[[#This Row],[ĐK - Sinh nhật]]*Table_Main[[#This Row],[ĐK - Ngày mua cuối]]</f>
        <v>1</v>
      </c>
      <c r="AQ49" s="226">
        <f xml:space="preserve">
IF(ISBLANK(Table_Main[[#This Row],[Chương trình]]),1,
IF(VLOOKUP(Table_Main[[#This Row],[Chương trình]],Table_ChuongTrinh[[Mã Chương trình]:[Đối tượng CK]],Sheet_ChuongTrinh!$C$1,0) = "Sản phẩm",1,0))</f>
        <v>1</v>
      </c>
      <c r="AR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8" ht="18" customHeight="1" x14ac:dyDescent="0.15">
      <c r="B50" s="516" t="s">
        <v>1149</v>
      </c>
      <c r="C50" s="516"/>
      <c r="D50" s="530" t="str">
        <f>IF(ISBLANK(Table_Main[[#This Row],[Mã SKU]]),Table_Main[[#This Row],[Mã Nguyên liệu]],Table_Main[[#This Row],[Mã SKU]])</f>
        <v>HH1</v>
      </c>
      <c r="E50" s="416"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16"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16"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16"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16">
        <f>IFERROR(Table_Main[[#This Row],[Giá trị tồn đầu ngày]]/Table_Main[[#This Row],[Tồn kho đầu ngày]],0)</f>
        <v>90132.701492537322</v>
      </c>
      <c r="J50" s="416">
        <f>IFERROR(Table_Main[[#This Row],[Giá trị tồn cuối ngày]]/Table_Main[[#This Row],[Tồn kho cuối ngày]],0)</f>
        <v>90132.701492537308</v>
      </c>
      <c r="K50" s="411">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44">
        <f>IF(Table_Main[[#This Row],[Ngày lên đơn]]=0,"",Table_Main[[#This Row],[Ngày xuất nhập]]-Table_Main[[#This Row],[Ngày lên đơn]])</f>
        <v>0</v>
      </c>
      <c r="O50" s="7" t="s">
        <v>53</v>
      </c>
      <c r="P50" s="230" t="s">
        <v>1155</v>
      </c>
      <c r="Q50" s="404">
        <v>19</v>
      </c>
      <c r="R50" s="516"/>
      <c r="S50" s="530">
        <f>IFERROR(VLOOKUP(Table_Main[[#This Row],[Đơn Mua]],Table_DonMua[[Mã Đơn mua]:[Add]],COUNTA(Table_DonMua[[#Headers],[Mã Đơn mua]:[Mã Đối tác]]),0),0)</f>
        <v>0</v>
      </c>
      <c r="T50" s="405"/>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16" t="s">
        <v>1205</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66">
        <f>IFERROR(
VLOOKUP(Table_Main[[#This Row],[Mã SKU]],Table_SKU[[Mã SKU]:[Tỷ suất VAT]],COUNTA(Table_SKU[[#Headers],[Mã SKU]:[Tỷ suất VAT]]),0),0)</f>
        <v>0</v>
      </c>
      <c r="AG50" s="48">
        <f xml:space="preserve">
IF(Table_Main[[#This Row],[Đơn bán]]="", 0,Table_Main[[#This Row],[Tỷ suất VAT]]*Table_Main[[#This Row],[Giá trị bán trước VAT]])</f>
        <v>0</v>
      </c>
      <c r="AH50" s="51">
        <f>IFERROR(VLOOKUP(Table_Main[[#This Row],[Đơn bán]],Table_DonBan[[Mã Đơn bán]:[Add]],COUNTA(Table_DonBan[[#Headers],[Mã Đơn bán]:[Mã NV]]),0),0)</f>
        <v>0</v>
      </c>
      <c r="AI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0" s="48">
        <f>IFERROR(Table_Main[[#This Row],[Giá trị bán trước VAT]]*Table_Main[[#This Row],[Tỷ lệ hoa hồng]],"")</f>
        <v>0</v>
      </c>
      <c r="AK50" s="48">
        <f>IFERROR(VLOOKUP(Table_Main[[#This Row],[Đơn bán]],Table_DonBan[[Mã Đơn bán]:[Add]],COUNTA(Table_DonBan[[#Headers],[Mã Đơn bán]:[Kênh]]),0),0)</f>
        <v>0</v>
      </c>
      <c r="AL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0" s="48">
        <f>IFERROR(Table_Main[[#This Row],[Giá trị bán trước VAT]]*Table_Main[[#This Row],[Tỷ lệ CK kênh]],"")</f>
        <v>0</v>
      </c>
      <c r="AN50" s="230"/>
      <c r="AO50" s="232"/>
      <c r="AP50" s="226">
        <f>Table_Main[[#This Row],[ĐK - Phân loại]]*Table_Main[[#This Row],[ĐK - Thời gian]]*Table_Main[[#This Row],[ĐK - Giá trị]]*Table_Main[[#This Row],[ĐK - Số lượng]]*Table_Main[[#This Row],[ĐK - Sinh nhật]]*Table_Main[[#This Row],[ĐK - Ngày mua cuối]]</f>
        <v>1</v>
      </c>
      <c r="AQ50" s="226">
        <f xml:space="preserve">
IF(ISBLANK(Table_Main[[#This Row],[Chương trình]]),1,
IF(VLOOKUP(Table_Main[[#This Row],[Chương trình]],Table_ChuongTrinh[[Mã Chương trình]:[Đối tượng CK]],Sheet_ChuongTrinh!$C$1,0) = "Sản phẩm",1,0))</f>
        <v>1</v>
      </c>
      <c r="AR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8" ht="18" customHeight="1" x14ac:dyDescent="0.15">
      <c r="B51" s="526"/>
      <c r="C51" s="238" t="s">
        <v>1152</v>
      </c>
      <c r="D51" s="531" t="str">
        <f>IF(ISBLANK(Table_Main[[#This Row],[Mã SKU]]),Table_Main[[#This Row],[Mã Nguyên liệu]],Table_Main[[#This Row],[Mã SKU]])</f>
        <v>NL2</v>
      </c>
      <c r="E51" s="416"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16"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16"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16"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16">
        <f>IFERROR(Table_Main[[#This Row],[Giá trị tồn đầu ngày]]/Table_Main[[#This Row],[Tồn kho đầu ngày]],0)</f>
        <v>140047.56521739133</v>
      </c>
      <c r="J51" s="416">
        <f>IFERROR(Table_Main[[#This Row],[Giá trị tồn cuối ngày]]/Table_Main[[#This Row],[Tồn kho cuối ngày]],0)</f>
        <v>140047.56521739133</v>
      </c>
      <c r="K51" s="411">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44" t="str">
        <f>IF(Table_Main[[#This Row],[Ngày lên đơn]]=0,"",Table_Main[[#This Row],[Ngày xuất nhập]]-Table_Main[[#This Row],[Ngày lên đơn]])</f>
        <v/>
      </c>
      <c r="O51" s="7" t="s">
        <v>53</v>
      </c>
      <c r="P51" s="230" t="s">
        <v>1155</v>
      </c>
      <c r="Q51" s="518">
        <v>15</v>
      </c>
      <c r="R51" s="516"/>
      <c r="S51" s="543">
        <f>IFERROR(VLOOKUP(Table_Main[[#This Row],[Đơn Mua]],Table_DonMua[[Mã Đơn mua]:[Add]],COUNTA(Table_DonMua[[#Headers],[Mã Đơn mua]:[Mã Đối tác]]),0),0)</f>
        <v>0</v>
      </c>
      <c r="T51" s="427"/>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16"/>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66">
        <f>IFERROR(
VLOOKUP(Table_Main[[#This Row],[Mã SKU]],Table_SKU[[Mã SKU]:[Tỷ suất VAT]],COUNTA(Table_SKU[[#Headers],[Mã SKU]:[Tỷ suất VAT]]),0),0)</f>
        <v>0</v>
      </c>
      <c r="AG51" s="48">
        <f xml:space="preserve">
IF(Table_Main[[#This Row],[Đơn bán]]="", 0,Table_Main[[#This Row],[Tỷ suất VAT]]*Table_Main[[#This Row],[Giá trị bán trước VAT]])</f>
        <v>0</v>
      </c>
      <c r="AH51" s="51">
        <f>IFERROR(VLOOKUP(Table_Main[[#This Row],[Đơn bán]],Table_DonBan[[Mã Đơn bán]:[Add]],COUNTA(Table_DonBan[[#Headers],[Mã Đơn bán]:[Mã NV]]),0),0)</f>
        <v>0</v>
      </c>
      <c r="AI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1" s="48">
        <f>IFERROR(Table_Main[[#This Row],[Giá trị bán trước VAT]]*Table_Main[[#This Row],[Tỷ lệ hoa hồng]],"")</f>
        <v>0</v>
      </c>
      <c r="AK51" s="48">
        <f>IFERROR(VLOOKUP(Table_Main[[#This Row],[Đơn bán]],Table_DonBan[[Mã Đơn bán]:[Add]],COUNTA(Table_DonBan[[#Headers],[Mã Đơn bán]:[Kênh]]),0),0)</f>
        <v>0</v>
      </c>
      <c r="AL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1" s="48">
        <f>IFERROR(Table_Main[[#This Row],[Giá trị bán trước VAT]]*Table_Main[[#This Row],[Tỷ lệ CK kênh]],"")</f>
        <v>0</v>
      </c>
      <c r="AN51" s="230"/>
      <c r="AO51" s="232"/>
      <c r="AP51" s="226">
        <f>Table_Main[[#This Row],[ĐK - Phân loại]]*Table_Main[[#This Row],[ĐK - Thời gian]]*Table_Main[[#This Row],[ĐK - Giá trị]]*Table_Main[[#This Row],[ĐK - Số lượng]]*Table_Main[[#This Row],[ĐK - Sinh nhật]]*Table_Main[[#This Row],[ĐK - Ngày mua cuối]]</f>
        <v>1</v>
      </c>
      <c r="AQ51" s="226">
        <f xml:space="preserve">
IF(ISBLANK(Table_Main[[#This Row],[Chương trình]]),1,
IF(VLOOKUP(Table_Main[[#This Row],[Chương trình]],Table_ChuongTrinh[[Mã Chương trình]:[Đối tượng CK]],Sheet_ChuongTrinh!$C$1,0) = "Sản phẩm",1,0))</f>
        <v>1</v>
      </c>
      <c r="AR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8" ht="18" customHeight="1" x14ac:dyDescent="0.15">
      <c r="B52" s="516" t="s">
        <v>1150</v>
      </c>
      <c r="C52" s="516"/>
      <c r="D52" s="530" t="str">
        <f>IF(ISBLANK(Table_Main[[#This Row],[Mã SKU]]),Table_Main[[#This Row],[Mã Nguyên liệu]],Table_Main[[#This Row],[Mã SKU]])</f>
        <v>TP1</v>
      </c>
      <c r="E52" s="416"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16"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16"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16"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16">
        <f>IFERROR(Table_Main[[#This Row],[Giá trị tồn đầu ngày]]/Table_Main[[#This Row],[Tồn kho đầu ngày]],0)</f>
        <v>0</v>
      </c>
      <c r="J52" s="416">
        <f>IFERROR(Table_Main[[#This Row],[Giá trị tồn cuối ngày]]/Table_Main[[#This Row],[Tồn kho cuối ngày]],0)</f>
        <v>0</v>
      </c>
      <c r="K52" s="411">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44" t="str">
        <f>IF(Table_Main[[#This Row],[Ngày lên đơn]]=0,"",Table_Main[[#This Row],[Ngày xuất nhập]]-Table_Main[[#This Row],[Ngày lên đơn]])</f>
        <v/>
      </c>
      <c r="O52" s="7" t="s">
        <v>1154</v>
      </c>
      <c r="P52" s="230" t="s">
        <v>1155</v>
      </c>
      <c r="Q52" s="404">
        <v>30</v>
      </c>
      <c r="R52" s="516"/>
      <c r="S52" s="530">
        <f>IFERROR(VLOOKUP(Table_Main[[#This Row],[Đơn Mua]],Table_DonMua[[Mã Đơn mua]:[Add]],COUNTA(Table_DonMua[[#Headers],[Mã Đơn mua]:[Mã Đối tác]]),0),0)</f>
        <v>0</v>
      </c>
      <c r="T52" s="405"/>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16"/>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66">
        <f>IFERROR(
VLOOKUP(Table_Main[[#This Row],[Mã SKU]],Table_SKU[[Mã SKU]:[Tỷ suất VAT]],COUNTA(Table_SKU[[#Headers],[Mã SKU]:[Tỷ suất VAT]]),0),0)</f>
        <v>0</v>
      </c>
      <c r="AG52" s="48">
        <f xml:space="preserve">
IF(Table_Main[[#This Row],[Đơn bán]]="", 0,Table_Main[[#This Row],[Tỷ suất VAT]]*Table_Main[[#This Row],[Giá trị bán trước VAT]])</f>
        <v>0</v>
      </c>
      <c r="AH52" s="51">
        <f>IFERROR(VLOOKUP(Table_Main[[#This Row],[Đơn bán]],Table_DonBan[[Mã Đơn bán]:[Add]],COUNTA(Table_DonBan[[#Headers],[Mã Đơn bán]:[Mã NV]]),0),0)</f>
        <v>0</v>
      </c>
      <c r="AI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2" s="48">
        <f>IFERROR(Table_Main[[#This Row],[Giá trị bán trước VAT]]*Table_Main[[#This Row],[Tỷ lệ hoa hồng]],"")</f>
        <v>0</v>
      </c>
      <c r="AK52" s="48">
        <f>IFERROR(VLOOKUP(Table_Main[[#This Row],[Đơn bán]],Table_DonBan[[Mã Đơn bán]:[Add]],COUNTA(Table_DonBan[[#Headers],[Mã Đơn bán]:[Kênh]]),0),0)</f>
        <v>0</v>
      </c>
      <c r="AL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2" s="48">
        <f>IFERROR(Table_Main[[#This Row],[Giá trị bán trước VAT]]*Table_Main[[#This Row],[Tỷ lệ CK kênh]],"")</f>
        <v>0</v>
      </c>
      <c r="AN52" s="230"/>
      <c r="AO52" s="232"/>
      <c r="AP52" s="226">
        <f>Table_Main[[#This Row],[ĐK - Phân loại]]*Table_Main[[#This Row],[ĐK - Thời gian]]*Table_Main[[#This Row],[ĐK - Giá trị]]*Table_Main[[#This Row],[ĐK - Số lượng]]*Table_Main[[#This Row],[ĐK - Sinh nhật]]*Table_Main[[#This Row],[ĐK - Ngày mua cuối]]</f>
        <v>1</v>
      </c>
      <c r="AQ52" s="226">
        <f xml:space="preserve">
IF(ISBLANK(Table_Main[[#This Row],[Chương trình]]),1,
IF(VLOOKUP(Table_Main[[#This Row],[Chương trình]],Table_ChuongTrinh[[Mã Chương trình]:[Đối tượng CK]],Sheet_ChuongTrinh!$C$1,0) = "Sản phẩm",1,0))</f>
        <v>1</v>
      </c>
      <c r="AR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8" ht="18" customHeight="1" x14ac:dyDescent="0.15">
      <c r="B53" s="516" t="s">
        <v>1150</v>
      </c>
      <c r="C53" s="516"/>
      <c r="D53" s="530" t="str">
        <f>IF(ISBLANK(Table_Main[[#This Row],[Mã SKU]]),Table_Main[[#This Row],[Mã Nguyên liệu]],Table_Main[[#This Row],[Mã SKU]])</f>
        <v>TP1</v>
      </c>
      <c r="E53" s="416"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16"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16"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16"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16">
        <f>IFERROR(Table_Main[[#This Row],[Giá trị tồn đầu ngày]]/Table_Main[[#This Row],[Tồn kho đầu ngày]],0)</f>
        <v>0</v>
      </c>
      <c r="J53" s="416">
        <f>IFERROR(Table_Main[[#This Row],[Giá trị tồn cuối ngày]]/Table_Main[[#This Row],[Tồn kho cuối ngày]],0)</f>
        <v>0</v>
      </c>
      <c r="K53" s="411">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44" t="str">
        <f>IF(Table_Main[[#This Row],[Ngày lên đơn]]=0,"",Table_Main[[#This Row],[Ngày xuất nhập]]-Table_Main[[#This Row],[Ngày lên đơn]])</f>
        <v/>
      </c>
      <c r="O53" s="7" t="s">
        <v>1154</v>
      </c>
      <c r="P53" s="230" t="s">
        <v>1155</v>
      </c>
      <c r="Q53" s="404">
        <v>28</v>
      </c>
      <c r="R53" s="516"/>
      <c r="S53" s="530">
        <f>IFERROR(VLOOKUP(Table_Main[[#This Row],[Đơn Mua]],Table_DonMua[[Mã Đơn mua]:[Add]],COUNTA(Table_DonMua[[#Headers],[Mã Đơn mua]:[Mã Đối tác]]),0),0)</f>
        <v>0</v>
      </c>
      <c r="T53" s="405"/>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16"/>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66">
        <f>IFERROR(
VLOOKUP(Table_Main[[#This Row],[Mã SKU]],Table_SKU[[Mã SKU]:[Tỷ suất VAT]],COUNTA(Table_SKU[[#Headers],[Mã SKU]:[Tỷ suất VAT]]),0),0)</f>
        <v>0</v>
      </c>
      <c r="AG53" s="48">
        <f xml:space="preserve">
IF(Table_Main[[#This Row],[Đơn bán]]="", 0,Table_Main[[#This Row],[Tỷ suất VAT]]*Table_Main[[#This Row],[Giá trị bán trước VAT]])</f>
        <v>0</v>
      </c>
      <c r="AH53" s="51">
        <f>IFERROR(VLOOKUP(Table_Main[[#This Row],[Đơn bán]],Table_DonBan[[Mã Đơn bán]:[Add]],COUNTA(Table_DonBan[[#Headers],[Mã Đơn bán]:[Mã NV]]),0),0)</f>
        <v>0</v>
      </c>
      <c r="AI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3" s="48">
        <f>IFERROR(Table_Main[[#This Row],[Giá trị bán trước VAT]]*Table_Main[[#This Row],[Tỷ lệ hoa hồng]],"")</f>
        <v>0</v>
      </c>
      <c r="AK53" s="48">
        <f>IFERROR(VLOOKUP(Table_Main[[#This Row],[Đơn bán]],Table_DonBan[[Mã Đơn bán]:[Add]],COUNTA(Table_DonBan[[#Headers],[Mã Đơn bán]:[Kênh]]),0),0)</f>
        <v>0</v>
      </c>
      <c r="AL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3" s="48">
        <f>IFERROR(Table_Main[[#This Row],[Giá trị bán trước VAT]]*Table_Main[[#This Row],[Tỷ lệ CK kênh]],"")</f>
        <v>0</v>
      </c>
      <c r="AN53" s="230"/>
      <c r="AO53" s="232"/>
      <c r="AP53" s="226">
        <f>Table_Main[[#This Row],[ĐK - Phân loại]]*Table_Main[[#This Row],[ĐK - Thời gian]]*Table_Main[[#This Row],[ĐK - Giá trị]]*Table_Main[[#This Row],[ĐK - Số lượng]]*Table_Main[[#This Row],[ĐK - Sinh nhật]]*Table_Main[[#This Row],[ĐK - Ngày mua cuối]]</f>
        <v>1</v>
      </c>
      <c r="AQ53" s="226">
        <f xml:space="preserve">
IF(ISBLANK(Table_Main[[#This Row],[Chương trình]]),1,
IF(VLOOKUP(Table_Main[[#This Row],[Chương trình]],Table_ChuongTrinh[[Mã Chương trình]:[Đối tượng CK]],Sheet_ChuongTrinh!$C$1,0) = "Sản phẩm",1,0))</f>
        <v>1</v>
      </c>
      <c r="AR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8" ht="18" customHeight="1" x14ac:dyDescent="0.3">
      <c r="B54" s="236"/>
      <c r="C54" s="238" t="s">
        <v>1152</v>
      </c>
      <c r="D54" s="531" t="str">
        <f>IF(ISBLANK(Table_Main[[#This Row],[Mã SKU]]),Table_Main[[#This Row],[Mã Nguyên liệu]],Table_Main[[#This Row],[Mã SKU]])</f>
        <v>NL2</v>
      </c>
      <c r="E54" s="416"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16"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16"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16"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16">
        <f>IFERROR(Table_Main[[#This Row],[Giá trị tồn đầu ngày]]/Table_Main[[#This Row],[Tồn kho đầu ngày]],0)</f>
        <v>140047.5652173913</v>
      </c>
      <c r="J54" s="416">
        <f>IFERROR(Table_Main[[#This Row],[Giá trị tồn cuối ngày]]/Table_Main[[#This Row],[Tồn kho cuối ngày]],0)</f>
        <v>140047.56521739133</v>
      </c>
      <c r="K54" s="411">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1155</v>
      </c>
      <c r="Q54" s="404">
        <v>50</v>
      </c>
      <c r="R54" s="516"/>
      <c r="S54" s="530">
        <f>IFERROR(VLOOKUP(Table_Main[[#This Row],[Đơn Mua]],Table_DonMua[[Mã Đơn mua]:[Add]],COUNTA(Table_DonMua[[#Headers],[Mã Đơn mua]:[Mã Đối tác]]),0),0)</f>
        <v>0</v>
      </c>
      <c r="T54" s="405"/>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16"/>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66">
        <f>IFERROR(
VLOOKUP(Table_Main[[#This Row],[Mã SKU]],Table_SKU[[Mã SKU]:[Tỷ suất VAT]],COUNTA(Table_SKU[[#Headers],[Mã SKU]:[Tỷ suất VAT]]),0),0)</f>
        <v>0</v>
      </c>
      <c r="AG54" s="48">
        <f xml:space="preserve">
IF(Table_Main[[#This Row],[Đơn bán]]="", 0,Table_Main[[#This Row],[Tỷ suất VAT]]*Table_Main[[#This Row],[Giá trị bán trước VAT]])</f>
        <v>0</v>
      </c>
      <c r="AH54" s="51">
        <f>IFERROR(VLOOKUP(Table_Main[[#This Row],[Đơn bán]],Table_DonBan[[Mã Đơn bán]:[Add]],COUNTA(Table_DonBan[[#Headers],[Mã Đơn bán]:[Mã NV]]),0),0)</f>
        <v>0</v>
      </c>
      <c r="AI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4" s="48">
        <f>IFERROR(Table_Main[[#This Row],[Giá trị bán trước VAT]]*Table_Main[[#This Row],[Tỷ lệ hoa hồng]],"")</f>
        <v>0</v>
      </c>
      <c r="AK54" s="48">
        <f>IFERROR(VLOOKUP(Table_Main[[#This Row],[Đơn bán]],Table_DonBan[[Mã Đơn bán]:[Add]],COUNTA(Table_DonBan[[#Headers],[Mã Đơn bán]:[Kênh]]),0),0)</f>
        <v>0</v>
      </c>
      <c r="AL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4" s="48">
        <f>IFERROR(Table_Main[[#This Row],[Giá trị bán trước VAT]]*Table_Main[[#This Row],[Tỷ lệ CK kênh]],"")</f>
        <v>0</v>
      </c>
      <c r="AN54" s="230"/>
      <c r="AO54" s="232"/>
      <c r="AP54" s="226">
        <f>Table_Main[[#This Row],[ĐK - Phân loại]]*Table_Main[[#This Row],[ĐK - Thời gian]]*Table_Main[[#This Row],[ĐK - Giá trị]]*Table_Main[[#This Row],[ĐK - Số lượng]]*Table_Main[[#This Row],[ĐK - Sinh nhật]]*Table_Main[[#This Row],[ĐK - Ngày mua cuối]]</f>
        <v>1</v>
      </c>
      <c r="AQ54" s="226">
        <f xml:space="preserve">
IF(ISBLANK(Table_Main[[#This Row],[Chương trình]]),1,
IF(VLOOKUP(Table_Main[[#This Row],[Chương trình]],Table_ChuongTrinh[[Mã Chương trình]:[Đối tượng CK]],Sheet_ChuongTrinh!$C$1,0) = "Sản phẩm",1,0))</f>
        <v>1</v>
      </c>
      <c r="AR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8" ht="18" customHeight="1" x14ac:dyDescent="0.3">
      <c r="B55" s="524" t="s">
        <v>1150</v>
      </c>
      <c r="C55" s="516"/>
      <c r="D55" s="530" t="str">
        <f>IF(ISBLANK(Table_Main[[#This Row],[Mã SKU]]),Table_Main[[#This Row],[Mã Nguyên liệu]],Table_Main[[#This Row],[Mã SKU]])</f>
        <v>TP1</v>
      </c>
      <c r="E55" s="416"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16"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16"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16"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16">
        <f>IFERROR(Table_Main[[#This Row],[Giá trị tồn đầu ngày]]/Table_Main[[#This Row],[Tồn kho đầu ngày]],0)</f>
        <v>0</v>
      </c>
      <c r="J55" s="416">
        <f>IFERROR(Table_Main[[#This Row],[Giá trị tồn cuối ngày]]/Table_Main[[#This Row],[Tồn kho cuối ngày]],0)</f>
        <v>0</v>
      </c>
      <c r="K55" s="411">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1155</v>
      </c>
      <c r="Q55" s="404">
        <v>28</v>
      </c>
      <c r="R55" s="516"/>
      <c r="S55" s="530">
        <f>IFERROR(VLOOKUP(Table_Main[[#This Row],[Đơn Mua]],Table_DonMua[[Mã Đơn mua]:[Add]],COUNTA(Table_DonMua[[#Headers],[Mã Đơn mua]:[Mã Đối tác]]),0),0)</f>
        <v>0</v>
      </c>
      <c r="T55" s="405"/>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16" t="s">
        <v>1204</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66">
        <f>IFERROR(
VLOOKUP(Table_Main[[#This Row],[Mã SKU]],Table_SKU[[Mã SKU]:[Tỷ suất VAT]],COUNTA(Table_SKU[[#Headers],[Mã SKU]:[Tỷ suất VAT]]),0),0)</f>
        <v>0</v>
      </c>
      <c r="AG55" s="48">
        <f xml:space="preserve">
IF(Table_Main[[#This Row],[Đơn bán]]="", 0,Table_Main[[#This Row],[Tỷ suất VAT]]*Table_Main[[#This Row],[Giá trị bán trước VAT]])</f>
        <v>0</v>
      </c>
      <c r="AH55" s="51">
        <f>IFERROR(VLOOKUP(Table_Main[[#This Row],[Đơn bán]],Table_DonBan[[Mã Đơn bán]:[Add]],COUNTA(Table_DonBan[[#Headers],[Mã Đơn bán]:[Mã NV]]),0),0)</f>
        <v>0</v>
      </c>
      <c r="AI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5" s="48">
        <f>IFERROR(Table_Main[[#This Row],[Giá trị bán trước VAT]]*Table_Main[[#This Row],[Tỷ lệ hoa hồng]],"")</f>
        <v>0</v>
      </c>
      <c r="AK55" s="48">
        <f>IFERROR(VLOOKUP(Table_Main[[#This Row],[Đơn bán]],Table_DonBan[[Mã Đơn bán]:[Add]],COUNTA(Table_DonBan[[#Headers],[Mã Đơn bán]:[Kênh]]),0),0)</f>
        <v>0</v>
      </c>
      <c r="AL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5" s="48">
        <f>IFERROR(Table_Main[[#This Row],[Giá trị bán trước VAT]]*Table_Main[[#This Row],[Tỷ lệ CK kênh]],"")</f>
        <v>0</v>
      </c>
      <c r="AN55" s="230"/>
      <c r="AO55" s="232"/>
      <c r="AP55" s="226">
        <f>Table_Main[[#This Row],[ĐK - Phân loại]]*Table_Main[[#This Row],[ĐK - Thời gian]]*Table_Main[[#This Row],[ĐK - Giá trị]]*Table_Main[[#This Row],[ĐK - Số lượng]]*Table_Main[[#This Row],[ĐK - Sinh nhật]]*Table_Main[[#This Row],[ĐK - Ngày mua cuối]]</f>
        <v>1</v>
      </c>
      <c r="AQ55" s="226">
        <f xml:space="preserve">
IF(ISBLANK(Table_Main[[#This Row],[Chương trình]]),1,
IF(VLOOKUP(Table_Main[[#This Row],[Chương trình]],Table_ChuongTrinh[[Mã Chương trình]:[Đối tượng CK]],Sheet_ChuongTrinh!$C$1,0) = "Sản phẩm",1,0))</f>
        <v>1</v>
      </c>
      <c r="AR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8" ht="18" customHeight="1" x14ac:dyDescent="0.3">
      <c r="B56" s="524" t="s">
        <v>1151</v>
      </c>
      <c r="C56" s="516"/>
      <c r="D56" s="530" t="str">
        <f>IF(ISBLANK(Table_Main[[#This Row],[Mã SKU]]),Table_Main[[#This Row],[Mã Nguyên liệu]],Table_Main[[#This Row],[Mã SKU]])</f>
        <v>TP2</v>
      </c>
      <c r="E56" s="416"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16"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16"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16"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16">
        <f>IFERROR(Table_Main[[#This Row],[Giá trị tồn đầu ngày]]/Table_Main[[#This Row],[Tồn kho đầu ngày]],0)</f>
        <v>0</v>
      </c>
      <c r="J56" s="416">
        <f>IFERROR(Table_Main[[#This Row],[Giá trị tồn cuối ngày]]/Table_Main[[#This Row],[Tồn kho cuối ngày]],0)</f>
        <v>0</v>
      </c>
      <c r="K56" s="411">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1155</v>
      </c>
      <c r="Q56" s="404">
        <v>31</v>
      </c>
      <c r="R56" s="516"/>
      <c r="S56" s="530">
        <f>IFERROR(VLOOKUP(Table_Main[[#This Row],[Đơn Mua]],Table_DonMua[[Mã Đơn mua]:[Add]],COUNTA(Table_DonMua[[#Headers],[Mã Đơn mua]:[Mã Đối tác]]),0),0)</f>
        <v>0</v>
      </c>
      <c r="T56" s="405"/>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16" t="s">
        <v>1203</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66">
        <f>IFERROR(
VLOOKUP(Table_Main[[#This Row],[Mã SKU]],Table_SKU[[Mã SKU]:[Tỷ suất VAT]],COUNTA(Table_SKU[[#Headers],[Mã SKU]:[Tỷ suất VAT]]),0),0)</f>
        <v>0</v>
      </c>
      <c r="AG56" s="48">
        <f xml:space="preserve">
IF(Table_Main[[#This Row],[Đơn bán]]="", 0,Table_Main[[#This Row],[Tỷ suất VAT]]*Table_Main[[#This Row],[Giá trị bán trước VAT]])</f>
        <v>0</v>
      </c>
      <c r="AH56" s="51">
        <f>IFERROR(VLOOKUP(Table_Main[[#This Row],[Đơn bán]],Table_DonBan[[Mã Đơn bán]:[Add]],COUNTA(Table_DonBan[[#Headers],[Mã Đơn bán]:[Mã NV]]),0),0)</f>
        <v>0</v>
      </c>
      <c r="AI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6" s="48">
        <f>IFERROR(Table_Main[[#This Row],[Giá trị bán trước VAT]]*Table_Main[[#This Row],[Tỷ lệ hoa hồng]],"")</f>
        <v>0</v>
      </c>
      <c r="AK56" s="48">
        <f>IFERROR(VLOOKUP(Table_Main[[#This Row],[Đơn bán]],Table_DonBan[[Mã Đơn bán]:[Add]],COUNTA(Table_DonBan[[#Headers],[Mã Đơn bán]:[Kênh]]),0),0)</f>
        <v>0</v>
      </c>
      <c r="AL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6" s="48">
        <f>IFERROR(Table_Main[[#This Row],[Giá trị bán trước VAT]]*Table_Main[[#This Row],[Tỷ lệ CK kênh]],"")</f>
        <v>0</v>
      </c>
      <c r="AN56" s="230"/>
      <c r="AO56" s="232"/>
      <c r="AP56" s="226">
        <f>Table_Main[[#This Row],[ĐK - Phân loại]]*Table_Main[[#This Row],[ĐK - Thời gian]]*Table_Main[[#This Row],[ĐK - Giá trị]]*Table_Main[[#This Row],[ĐK - Số lượng]]*Table_Main[[#This Row],[ĐK - Sinh nhật]]*Table_Main[[#This Row],[ĐK - Ngày mua cuối]]</f>
        <v>1</v>
      </c>
      <c r="AQ56" s="226">
        <f xml:space="preserve">
IF(ISBLANK(Table_Main[[#This Row],[Chương trình]]),1,
IF(VLOOKUP(Table_Main[[#This Row],[Chương trình]],Table_ChuongTrinh[[Mã Chương trình]:[Đối tượng CK]],Sheet_ChuongTrinh!$C$1,0) = "Sản phẩm",1,0))</f>
        <v>1</v>
      </c>
      <c r="AR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8" ht="18" customHeight="1" x14ac:dyDescent="0.3">
      <c r="B57" s="236"/>
      <c r="C57" s="238" t="s">
        <v>1153</v>
      </c>
      <c r="D57" s="531" t="str">
        <f>IF(ISBLANK(Table_Main[[#This Row],[Mã SKU]]),Table_Main[[#This Row],[Mã Nguyên liệu]],Table_Main[[#This Row],[Mã SKU]])</f>
        <v>NL1</v>
      </c>
      <c r="E57" s="416"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16"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16"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16"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16">
        <f>IFERROR(Table_Main[[#This Row],[Giá trị tồn đầu ngày]]/Table_Main[[#This Row],[Tồn kho đầu ngày]],0)</f>
        <v>100718.58181818182</v>
      </c>
      <c r="J57" s="416">
        <f>IFERROR(Table_Main[[#This Row],[Giá trị tồn cuối ngày]]/Table_Main[[#This Row],[Tồn kho cuối ngày]],0)</f>
        <v>102362.35087719298</v>
      </c>
      <c r="K57" s="411">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1154</v>
      </c>
      <c r="P57" s="230" t="s">
        <v>1155</v>
      </c>
      <c r="Q57" s="404">
        <v>6</v>
      </c>
      <c r="R57" s="516" t="s">
        <v>1167</v>
      </c>
      <c r="S57" s="530" t="str">
        <f>IFERROR(VLOOKUP(Table_Main[[#This Row],[Đơn Mua]],Table_DonMua[[Mã Đơn mua]:[Add]],COUNTA(Table_DonMua[[#Headers],[Mã Đơn mua]:[Mã Đối tác]]),0),0)</f>
        <v>NCC2</v>
      </c>
      <c r="T57" s="405">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16"/>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66">
        <f>IFERROR(
VLOOKUP(Table_Main[[#This Row],[Mã SKU]],Table_SKU[[Mã SKU]:[Tỷ suất VAT]],COUNTA(Table_SKU[[#Headers],[Mã SKU]:[Tỷ suất VAT]]),0),0)</f>
        <v>0</v>
      </c>
      <c r="AG57" s="48">
        <f xml:space="preserve">
IF(Table_Main[[#This Row],[Đơn bán]]="", 0,Table_Main[[#This Row],[Tỷ suất VAT]]*Table_Main[[#This Row],[Giá trị bán trước VAT]])</f>
        <v>0</v>
      </c>
      <c r="AH57" s="51">
        <f>IFERROR(VLOOKUP(Table_Main[[#This Row],[Đơn bán]],Table_DonBan[[Mã Đơn bán]:[Add]],COUNTA(Table_DonBan[[#Headers],[Mã Đơn bán]:[Mã NV]]),0),0)</f>
        <v>0</v>
      </c>
      <c r="AI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7" s="48">
        <f>IFERROR(Table_Main[[#This Row],[Giá trị bán trước VAT]]*Table_Main[[#This Row],[Tỷ lệ hoa hồng]],"")</f>
        <v>0</v>
      </c>
      <c r="AK57" s="48">
        <f>IFERROR(VLOOKUP(Table_Main[[#This Row],[Đơn bán]],Table_DonBan[[Mã Đơn bán]:[Add]],COUNTA(Table_DonBan[[#Headers],[Mã Đơn bán]:[Kênh]]),0),0)</f>
        <v>0</v>
      </c>
      <c r="AL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7" s="48">
        <f>IFERROR(Table_Main[[#This Row],[Giá trị bán trước VAT]]*Table_Main[[#This Row],[Tỷ lệ CK kênh]],"")</f>
        <v>0</v>
      </c>
      <c r="AN57" s="230"/>
      <c r="AO57" s="232"/>
      <c r="AP57" s="226">
        <f>Table_Main[[#This Row],[ĐK - Phân loại]]*Table_Main[[#This Row],[ĐK - Thời gian]]*Table_Main[[#This Row],[ĐK - Giá trị]]*Table_Main[[#This Row],[ĐK - Số lượng]]*Table_Main[[#This Row],[ĐK - Sinh nhật]]*Table_Main[[#This Row],[ĐK - Ngày mua cuối]]</f>
        <v>1</v>
      </c>
      <c r="AQ57" s="226">
        <f xml:space="preserve">
IF(ISBLANK(Table_Main[[#This Row],[Chương trình]]),1,
IF(VLOOKUP(Table_Main[[#This Row],[Chương trình]],Table_ChuongTrinh[[Mã Chương trình]:[Đối tượng CK]],Sheet_ChuongTrinh!$C$1,0) = "Sản phẩm",1,0))</f>
        <v>1</v>
      </c>
      <c r="AR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8" ht="18" customHeight="1" x14ac:dyDescent="0.3">
      <c r="B58" s="524" t="s">
        <v>1150</v>
      </c>
      <c r="C58" s="516"/>
      <c r="D58" s="530" t="str">
        <f>IF(ISBLANK(Table_Main[[#This Row],[Mã SKU]]),Table_Main[[#This Row],[Mã Nguyên liệu]],Table_Main[[#This Row],[Mã SKU]])</f>
        <v>TP1</v>
      </c>
      <c r="E58" s="416"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16"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16"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16"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16">
        <f>IFERROR(Table_Main[[#This Row],[Giá trị tồn đầu ngày]]/Table_Main[[#This Row],[Tồn kho đầu ngày]],0)</f>
        <v>0</v>
      </c>
      <c r="J58" s="416">
        <f>IFERROR(Table_Main[[#This Row],[Giá trị tồn cuối ngày]]/Table_Main[[#This Row],[Tồn kho cuối ngày]],0)</f>
        <v>0</v>
      </c>
      <c r="K58" s="411">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1155</v>
      </c>
      <c r="Q58" s="404">
        <v>14</v>
      </c>
      <c r="R58" s="516"/>
      <c r="S58" s="530">
        <f>IFERROR(VLOOKUP(Table_Main[[#This Row],[Đơn Mua]],Table_DonMua[[Mã Đơn mua]:[Add]],COUNTA(Table_DonMua[[#Headers],[Mã Đơn mua]:[Mã Đối tác]]),0),0)</f>
        <v>0</v>
      </c>
      <c r="T58" s="405"/>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16" t="s">
        <v>1202</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66">
        <f>IFERROR(
VLOOKUP(Table_Main[[#This Row],[Mã SKU]],Table_SKU[[Mã SKU]:[Tỷ suất VAT]],COUNTA(Table_SKU[[#Headers],[Mã SKU]:[Tỷ suất VAT]]),0),0)</f>
        <v>0</v>
      </c>
      <c r="AG58" s="48">
        <f xml:space="preserve">
IF(Table_Main[[#This Row],[Đơn bán]]="", 0,Table_Main[[#This Row],[Tỷ suất VAT]]*Table_Main[[#This Row],[Giá trị bán trước VAT]])</f>
        <v>0</v>
      </c>
      <c r="AH58" s="51">
        <f>IFERROR(VLOOKUP(Table_Main[[#This Row],[Đơn bán]],Table_DonBan[[Mã Đơn bán]:[Add]],COUNTA(Table_DonBan[[#Headers],[Mã Đơn bán]:[Mã NV]]),0),0)</f>
        <v>0</v>
      </c>
      <c r="AI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8" s="48">
        <f>IFERROR(Table_Main[[#This Row],[Giá trị bán trước VAT]]*Table_Main[[#This Row],[Tỷ lệ hoa hồng]],"")</f>
        <v>0</v>
      </c>
      <c r="AK58" s="48">
        <f>IFERROR(VLOOKUP(Table_Main[[#This Row],[Đơn bán]],Table_DonBan[[Mã Đơn bán]:[Add]],COUNTA(Table_DonBan[[#Headers],[Mã Đơn bán]:[Kênh]]),0),0)</f>
        <v>0</v>
      </c>
      <c r="AL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8" s="48">
        <f>IFERROR(Table_Main[[#This Row],[Giá trị bán trước VAT]]*Table_Main[[#This Row],[Tỷ lệ CK kênh]],"")</f>
        <v>0</v>
      </c>
      <c r="AN58" s="230"/>
      <c r="AO58" s="232"/>
      <c r="AP58" s="226">
        <f>Table_Main[[#This Row],[ĐK - Phân loại]]*Table_Main[[#This Row],[ĐK - Thời gian]]*Table_Main[[#This Row],[ĐK - Giá trị]]*Table_Main[[#This Row],[ĐK - Số lượng]]*Table_Main[[#This Row],[ĐK - Sinh nhật]]*Table_Main[[#This Row],[ĐK - Ngày mua cuối]]</f>
        <v>1</v>
      </c>
      <c r="AQ58" s="226">
        <f xml:space="preserve">
IF(ISBLANK(Table_Main[[#This Row],[Chương trình]]),1,
IF(VLOOKUP(Table_Main[[#This Row],[Chương trình]],Table_ChuongTrinh[[Mã Chương trình]:[Đối tượng CK]],Sheet_ChuongTrinh!$C$1,0) = "Sản phẩm",1,0))</f>
        <v>1</v>
      </c>
      <c r="AR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8" ht="18" customHeight="1" x14ac:dyDescent="0.3">
      <c r="B59" s="524" t="s">
        <v>1150</v>
      </c>
      <c r="C59" s="516"/>
      <c r="D59" s="530" t="str">
        <f>IF(ISBLANK(Table_Main[[#This Row],[Mã SKU]]),Table_Main[[#This Row],[Mã Nguyên liệu]],Table_Main[[#This Row],[Mã SKU]])</f>
        <v>TP1</v>
      </c>
      <c r="E59" s="416"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16"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16"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16"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16">
        <f>IFERROR(Table_Main[[#This Row],[Giá trị tồn đầu ngày]]/Table_Main[[#This Row],[Tồn kho đầu ngày]],0)</f>
        <v>0</v>
      </c>
      <c r="J59" s="416">
        <f>IFERROR(Table_Main[[#This Row],[Giá trị tồn cuối ngày]]/Table_Main[[#This Row],[Tồn kho cuối ngày]],0)</f>
        <v>0</v>
      </c>
      <c r="K59" s="411">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1154</v>
      </c>
      <c r="P59" s="230" t="s">
        <v>1155</v>
      </c>
      <c r="Q59" s="404">
        <v>29</v>
      </c>
      <c r="R59" s="516"/>
      <c r="S59" s="530">
        <f>IFERROR(VLOOKUP(Table_Main[[#This Row],[Đơn Mua]],Table_DonMua[[Mã Đơn mua]:[Add]],COUNTA(Table_DonMua[[#Headers],[Mã Đơn mua]:[Mã Đối tác]]),0),0)</f>
        <v>0</v>
      </c>
      <c r="T59" s="405"/>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16"/>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66">
        <f>IFERROR(
VLOOKUP(Table_Main[[#This Row],[Mã SKU]],Table_SKU[[Mã SKU]:[Tỷ suất VAT]],COUNTA(Table_SKU[[#Headers],[Mã SKU]:[Tỷ suất VAT]]),0),0)</f>
        <v>0</v>
      </c>
      <c r="AG59" s="48">
        <f xml:space="preserve">
IF(Table_Main[[#This Row],[Đơn bán]]="", 0,Table_Main[[#This Row],[Tỷ suất VAT]]*Table_Main[[#This Row],[Giá trị bán trước VAT]])</f>
        <v>0</v>
      </c>
      <c r="AH59" s="51">
        <f>IFERROR(VLOOKUP(Table_Main[[#This Row],[Đơn bán]],Table_DonBan[[Mã Đơn bán]:[Add]],COUNTA(Table_DonBan[[#Headers],[Mã Đơn bán]:[Mã NV]]),0),0)</f>
        <v>0</v>
      </c>
      <c r="AI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59" s="48">
        <f>IFERROR(Table_Main[[#This Row],[Giá trị bán trước VAT]]*Table_Main[[#This Row],[Tỷ lệ hoa hồng]],"")</f>
        <v>0</v>
      </c>
      <c r="AK59" s="48">
        <f>IFERROR(VLOOKUP(Table_Main[[#This Row],[Đơn bán]],Table_DonBan[[Mã Đơn bán]:[Add]],COUNTA(Table_DonBan[[#Headers],[Mã Đơn bán]:[Kênh]]),0),0)</f>
        <v>0</v>
      </c>
      <c r="AL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59" s="48">
        <f>IFERROR(Table_Main[[#This Row],[Giá trị bán trước VAT]]*Table_Main[[#This Row],[Tỷ lệ CK kênh]],"")</f>
        <v>0</v>
      </c>
      <c r="AN59" s="230"/>
      <c r="AO59" s="232"/>
      <c r="AP59" s="226">
        <f>Table_Main[[#This Row],[ĐK - Phân loại]]*Table_Main[[#This Row],[ĐK - Thời gian]]*Table_Main[[#This Row],[ĐK - Giá trị]]*Table_Main[[#This Row],[ĐK - Số lượng]]*Table_Main[[#This Row],[ĐK - Sinh nhật]]*Table_Main[[#This Row],[ĐK - Ngày mua cuối]]</f>
        <v>1</v>
      </c>
      <c r="AQ59" s="226">
        <f xml:space="preserve">
IF(ISBLANK(Table_Main[[#This Row],[Chương trình]]),1,
IF(VLOOKUP(Table_Main[[#This Row],[Chương trình]],Table_ChuongTrinh[[Mã Chương trình]:[Đối tượng CK]],Sheet_ChuongTrinh!$C$1,0) = "Sản phẩm",1,0))</f>
        <v>1</v>
      </c>
      <c r="AR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8" ht="18" customHeight="1" x14ac:dyDescent="0.3">
      <c r="B60" s="524" t="s">
        <v>1151</v>
      </c>
      <c r="C60" s="516"/>
      <c r="D60" s="530" t="str">
        <f>IF(ISBLANK(Table_Main[[#This Row],[Mã SKU]]),Table_Main[[#This Row],[Mã Nguyên liệu]],Table_Main[[#This Row],[Mã SKU]])</f>
        <v>TP2</v>
      </c>
      <c r="E60" s="416"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16"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16"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16"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16">
        <f>IFERROR(Table_Main[[#This Row],[Giá trị tồn đầu ngày]]/Table_Main[[#This Row],[Tồn kho đầu ngày]],0)</f>
        <v>0</v>
      </c>
      <c r="J60" s="416">
        <f>IFERROR(Table_Main[[#This Row],[Giá trị tồn cuối ngày]]/Table_Main[[#This Row],[Tồn kho cuối ngày]],0)</f>
        <v>0</v>
      </c>
      <c r="K60" s="411">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1154</v>
      </c>
      <c r="P60" s="230" t="s">
        <v>1155</v>
      </c>
      <c r="Q60" s="404">
        <v>38</v>
      </c>
      <c r="R60" s="516"/>
      <c r="S60" s="530">
        <f>IFERROR(VLOOKUP(Table_Main[[#This Row],[Đơn Mua]],Table_DonMua[[Mã Đơn mua]:[Add]],COUNTA(Table_DonMua[[#Headers],[Mã Đơn mua]:[Mã Đối tác]]),0),0)</f>
        <v>0</v>
      </c>
      <c r="T60" s="405"/>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16"/>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66">
        <f>IFERROR(
VLOOKUP(Table_Main[[#This Row],[Mã SKU]],Table_SKU[[Mã SKU]:[Tỷ suất VAT]],COUNTA(Table_SKU[[#Headers],[Mã SKU]:[Tỷ suất VAT]]),0),0)</f>
        <v>0</v>
      </c>
      <c r="AG60" s="48">
        <f xml:space="preserve">
IF(Table_Main[[#This Row],[Đơn bán]]="", 0,Table_Main[[#This Row],[Tỷ suất VAT]]*Table_Main[[#This Row],[Giá trị bán trước VAT]])</f>
        <v>0</v>
      </c>
      <c r="AH60" s="51">
        <f>IFERROR(VLOOKUP(Table_Main[[#This Row],[Đơn bán]],Table_DonBan[[Mã Đơn bán]:[Add]],COUNTA(Table_DonBan[[#Headers],[Mã Đơn bán]:[Mã NV]]),0),0)</f>
        <v>0</v>
      </c>
      <c r="AI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0" s="48">
        <f>IFERROR(Table_Main[[#This Row],[Giá trị bán trước VAT]]*Table_Main[[#This Row],[Tỷ lệ hoa hồng]],"")</f>
        <v>0</v>
      </c>
      <c r="AK60" s="48">
        <f>IFERROR(VLOOKUP(Table_Main[[#This Row],[Đơn bán]],Table_DonBan[[Mã Đơn bán]:[Add]],COUNTA(Table_DonBan[[#Headers],[Mã Đơn bán]:[Kênh]]),0),0)</f>
        <v>0</v>
      </c>
      <c r="AL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0" s="48">
        <f>IFERROR(Table_Main[[#This Row],[Giá trị bán trước VAT]]*Table_Main[[#This Row],[Tỷ lệ CK kênh]],"")</f>
        <v>0</v>
      </c>
      <c r="AN60" s="230"/>
      <c r="AO60" s="232"/>
      <c r="AP60" s="226">
        <f>Table_Main[[#This Row],[ĐK - Phân loại]]*Table_Main[[#This Row],[ĐK - Thời gian]]*Table_Main[[#This Row],[ĐK - Giá trị]]*Table_Main[[#This Row],[ĐK - Số lượng]]*Table_Main[[#This Row],[ĐK - Sinh nhật]]*Table_Main[[#This Row],[ĐK - Ngày mua cuối]]</f>
        <v>1</v>
      </c>
      <c r="AQ60" s="226">
        <f xml:space="preserve">
IF(ISBLANK(Table_Main[[#This Row],[Chương trình]]),1,
IF(VLOOKUP(Table_Main[[#This Row],[Chương trình]],Table_ChuongTrinh[[Mã Chương trình]:[Đối tượng CK]],Sheet_ChuongTrinh!$C$1,0) = "Sản phẩm",1,0))</f>
        <v>1</v>
      </c>
      <c r="AR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8" ht="18" customHeight="1" x14ac:dyDescent="0.3">
      <c r="B61" s="524" t="s">
        <v>1149</v>
      </c>
      <c r="C61" s="516"/>
      <c r="D61" s="530" t="str">
        <f>IF(ISBLANK(Table_Main[[#This Row],[Mã SKU]]),Table_Main[[#This Row],[Mã Nguyên liệu]],Table_Main[[#This Row],[Mã SKU]])</f>
        <v>HH1</v>
      </c>
      <c r="E61" s="416"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16"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16"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16"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16">
        <f>IFERROR(Table_Main[[#This Row],[Giá trị tồn đầu ngày]]/Table_Main[[#This Row],[Tồn kho đầu ngày]],0)</f>
        <v>90132.701492537322</v>
      </c>
      <c r="J61" s="416">
        <f>IFERROR(Table_Main[[#This Row],[Giá trị tồn cuối ngày]]/Table_Main[[#This Row],[Tồn kho cuối ngày]],0)</f>
        <v>90132.701492537322</v>
      </c>
      <c r="K61" s="411">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1155</v>
      </c>
      <c r="Q61" s="404">
        <v>30</v>
      </c>
      <c r="R61" s="516"/>
      <c r="S61" s="530">
        <f>IFERROR(VLOOKUP(Table_Main[[#This Row],[Đơn Mua]],Table_DonMua[[Mã Đơn mua]:[Add]],COUNTA(Table_DonMua[[#Headers],[Mã Đơn mua]:[Mã Đối tác]]),0),0)</f>
        <v>0</v>
      </c>
      <c r="T61" s="405"/>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16" t="s">
        <v>1201</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66">
        <f>IFERROR(
VLOOKUP(Table_Main[[#This Row],[Mã SKU]],Table_SKU[[Mã SKU]:[Tỷ suất VAT]],COUNTA(Table_SKU[[#Headers],[Mã SKU]:[Tỷ suất VAT]]),0),0)</f>
        <v>0</v>
      </c>
      <c r="AG61" s="48">
        <f xml:space="preserve">
IF(Table_Main[[#This Row],[Đơn bán]]="", 0,Table_Main[[#This Row],[Tỷ suất VAT]]*Table_Main[[#This Row],[Giá trị bán trước VAT]])</f>
        <v>0</v>
      </c>
      <c r="AH61" s="51">
        <f>IFERROR(VLOOKUP(Table_Main[[#This Row],[Đơn bán]],Table_DonBan[[Mã Đơn bán]:[Add]],COUNTA(Table_DonBan[[#Headers],[Mã Đơn bán]:[Mã NV]]),0),0)</f>
        <v>0</v>
      </c>
      <c r="AI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1" s="48">
        <f>IFERROR(Table_Main[[#This Row],[Giá trị bán trước VAT]]*Table_Main[[#This Row],[Tỷ lệ hoa hồng]],"")</f>
        <v>0</v>
      </c>
      <c r="AK61" s="48">
        <f>IFERROR(VLOOKUP(Table_Main[[#This Row],[Đơn bán]],Table_DonBan[[Mã Đơn bán]:[Add]],COUNTA(Table_DonBan[[#Headers],[Mã Đơn bán]:[Kênh]]),0),0)</f>
        <v>0</v>
      </c>
      <c r="AL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1" s="48">
        <f>IFERROR(Table_Main[[#This Row],[Giá trị bán trước VAT]]*Table_Main[[#This Row],[Tỷ lệ CK kênh]],"")</f>
        <v>0</v>
      </c>
      <c r="AN61" s="230"/>
      <c r="AO61" s="232"/>
      <c r="AP61" s="226">
        <f>Table_Main[[#This Row],[ĐK - Phân loại]]*Table_Main[[#This Row],[ĐK - Thời gian]]*Table_Main[[#This Row],[ĐK - Giá trị]]*Table_Main[[#This Row],[ĐK - Số lượng]]*Table_Main[[#This Row],[ĐK - Sinh nhật]]*Table_Main[[#This Row],[ĐK - Ngày mua cuối]]</f>
        <v>1</v>
      </c>
      <c r="AQ61" s="226">
        <f xml:space="preserve">
IF(ISBLANK(Table_Main[[#This Row],[Chương trình]]),1,
IF(VLOOKUP(Table_Main[[#This Row],[Chương trình]],Table_ChuongTrinh[[Mã Chương trình]:[Đối tượng CK]],Sheet_ChuongTrinh!$C$1,0) = "Sản phẩm",1,0))</f>
        <v>1</v>
      </c>
      <c r="AR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8" ht="18" customHeight="1" x14ac:dyDescent="0.3">
      <c r="B62" s="236"/>
      <c r="C62" s="238" t="s">
        <v>1152</v>
      </c>
      <c r="D62" s="531" t="str">
        <f>IF(ISBLANK(Table_Main[[#This Row],[Mã SKU]]),Table_Main[[#This Row],[Mã Nguyên liệu]],Table_Main[[#This Row],[Mã SKU]])</f>
        <v>NL2</v>
      </c>
      <c r="E62" s="416"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16"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16"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16"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16">
        <f>IFERROR(Table_Main[[#This Row],[Giá trị tồn đầu ngày]]/Table_Main[[#This Row],[Tồn kho đầu ngày]],0)</f>
        <v>142586.86153846153</v>
      </c>
      <c r="J62" s="416">
        <f>IFERROR(Table_Main[[#This Row],[Giá trị tồn cuối ngày]]/Table_Main[[#This Row],[Tồn kho cuối ngày]],0)</f>
        <v>140047.5652173913</v>
      </c>
      <c r="K62" s="411">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1154</v>
      </c>
      <c r="P62" s="230" t="s">
        <v>1155</v>
      </c>
      <c r="Q62" s="404">
        <v>8</v>
      </c>
      <c r="R62" s="516" t="s">
        <v>1166</v>
      </c>
      <c r="S62" s="530" t="str">
        <f>IFERROR(VLOOKUP(Table_Main[[#This Row],[Đơn Mua]],Table_DonMua[[Mã Đơn mua]:[Add]],COUNTA(Table_DonMua[[#Headers],[Mã Đơn mua]:[Mã Đối tác]]),0),0)</f>
        <v>NCC1</v>
      </c>
      <c r="T62" s="405">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16"/>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66">
        <f>IFERROR(
VLOOKUP(Table_Main[[#This Row],[Mã SKU]],Table_SKU[[Mã SKU]:[Tỷ suất VAT]],COUNTA(Table_SKU[[#Headers],[Mã SKU]:[Tỷ suất VAT]]),0),0)</f>
        <v>0</v>
      </c>
      <c r="AG62" s="48">
        <f xml:space="preserve">
IF(Table_Main[[#This Row],[Đơn bán]]="", 0,Table_Main[[#This Row],[Tỷ suất VAT]]*Table_Main[[#This Row],[Giá trị bán trước VAT]])</f>
        <v>0</v>
      </c>
      <c r="AH62" s="51">
        <f>IFERROR(VLOOKUP(Table_Main[[#This Row],[Đơn bán]],Table_DonBan[[Mã Đơn bán]:[Add]],COUNTA(Table_DonBan[[#Headers],[Mã Đơn bán]:[Mã NV]]),0),0)</f>
        <v>0</v>
      </c>
      <c r="AI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2" s="48">
        <f>IFERROR(Table_Main[[#This Row],[Giá trị bán trước VAT]]*Table_Main[[#This Row],[Tỷ lệ hoa hồng]],"")</f>
        <v>0</v>
      </c>
      <c r="AK62" s="48">
        <f>IFERROR(VLOOKUP(Table_Main[[#This Row],[Đơn bán]],Table_DonBan[[Mã Đơn bán]:[Add]],COUNTA(Table_DonBan[[#Headers],[Mã Đơn bán]:[Kênh]]),0),0)</f>
        <v>0</v>
      </c>
      <c r="AL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2" s="48">
        <f>IFERROR(Table_Main[[#This Row],[Giá trị bán trước VAT]]*Table_Main[[#This Row],[Tỷ lệ CK kênh]],"")</f>
        <v>0</v>
      </c>
      <c r="AN62" s="230"/>
      <c r="AO62" s="232"/>
      <c r="AP62" s="226">
        <f>Table_Main[[#This Row],[ĐK - Phân loại]]*Table_Main[[#This Row],[ĐK - Thời gian]]*Table_Main[[#This Row],[ĐK - Giá trị]]*Table_Main[[#This Row],[ĐK - Số lượng]]*Table_Main[[#This Row],[ĐK - Sinh nhật]]*Table_Main[[#This Row],[ĐK - Ngày mua cuối]]</f>
        <v>1</v>
      </c>
      <c r="AQ62" s="226">
        <f xml:space="preserve">
IF(ISBLANK(Table_Main[[#This Row],[Chương trình]]),1,
IF(VLOOKUP(Table_Main[[#This Row],[Chương trình]],Table_ChuongTrinh[[Mã Chương trình]:[Đối tượng CK]],Sheet_ChuongTrinh!$C$1,0) = "Sản phẩm",1,0))</f>
        <v>1</v>
      </c>
      <c r="AR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8" ht="18" customHeight="1" x14ac:dyDescent="0.3">
      <c r="B63" s="524" t="s">
        <v>1149</v>
      </c>
      <c r="C63" s="516"/>
      <c r="D63" s="530" t="str">
        <f>IF(ISBLANK(Table_Main[[#This Row],[Mã SKU]]),Table_Main[[#This Row],[Mã Nguyên liệu]],Table_Main[[#This Row],[Mã SKU]])</f>
        <v>HH1</v>
      </c>
      <c r="E63" s="416"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16"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16"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16"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16">
        <f>IFERROR(Table_Main[[#This Row],[Giá trị tồn đầu ngày]]/Table_Main[[#This Row],[Tồn kho đầu ngày]],0)</f>
        <v>90132.701492537308</v>
      </c>
      <c r="J63" s="416">
        <f>IFERROR(Table_Main[[#This Row],[Giá trị tồn cuối ngày]]/Table_Main[[#This Row],[Tồn kho cuối ngày]],0)</f>
        <v>90132.701492537322</v>
      </c>
      <c r="K63" s="411">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1155</v>
      </c>
      <c r="Q63" s="404">
        <v>1</v>
      </c>
      <c r="R63" s="516"/>
      <c r="S63" s="530">
        <f>IFERROR(VLOOKUP(Table_Main[[#This Row],[Đơn Mua]],Table_DonMua[[Mã Đơn mua]:[Add]],COUNTA(Table_DonMua[[#Headers],[Mã Đơn mua]:[Mã Đối tác]]),0),0)</f>
        <v>0</v>
      </c>
      <c r="T63" s="405"/>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16" t="s">
        <v>1200</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66">
        <f>IFERROR(
VLOOKUP(Table_Main[[#This Row],[Mã SKU]],Table_SKU[[Mã SKU]:[Tỷ suất VAT]],COUNTA(Table_SKU[[#Headers],[Mã SKU]:[Tỷ suất VAT]]),0),0)</f>
        <v>0</v>
      </c>
      <c r="AG63" s="48">
        <f xml:space="preserve">
IF(Table_Main[[#This Row],[Đơn bán]]="", 0,Table_Main[[#This Row],[Tỷ suất VAT]]*Table_Main[[#This Row],[Giá trị bán trước VAT]])</f>
        <v>0</v>
      </c>
      <c r="AH63" s="51">
        <f>IFERROR(VLOOKUP(Table_Main[[#This Row],[Đơn bán]],Table_DonBan[[Mã Đơn bán]:[Add]],COUNTA(Table_DonBan[[#Headers],[Mã Đơn bán]:[Mã NV]]),0),0)</f>
        <v>0</v>
      </c>
      <c r="AI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3" s="48">
        <f>IFERROR(Table_Main[[#This Row],[Giá trị bán trước VAT]]*Table_Main[[#This Row],[Tỷ lệ hoa hồng]],"")</f>
        <v>0</v>
      </c>
      <c r="AK63" s="48">
        <f>IFERROR(VLOOKUP(Table_Main[[#This Row],[Đơn bán]],Table_DonBan[[Mã Đơn bán]:[Add]],COUNTA(Table_DonBan[[#Headers],[Mã Đơn bán]:[Kênh]]),0),0)</f>
        <v>0</v>
      </c>
      <c r="AL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3" s="48">
        <f>IFERROR(Table_Main[[#This Row],[Giá trị bán trước VAT]]*Table_Main[[#This Row],[Tỷ lệ CK kênh]],"")</f>
        <v>0</v>
      </c>
      <c r="AN63" s="230"/>
      <c r="AO63" s="232"/>
      <c r="AP63" s="226">
        <f>Table_Main[[#This Row],[ĐK - Phân loại]]*Table_Main[[#This Row],[ĐK - Thời gian]]*Table_Main[[#This Row],[ĐK - Giá trị]]*Table_Main[[#This Row],[ĐK - Số lượng]]*Table_Main[[#This Row],[ĐK - Sinh nhật]]*Table_Main[[#This Row],[ĐK - Ngày mua cuối]]</f>
        <v>1</v>
      </c>
      <c r="AQ63" s="226">
        <f xml:space="preserve">
IF(ISBLANK(Table_Main[[#This Row],[Chương trình]]),1,
IF(VLOOKUP(Table_Main[[#This Row],[Chương trình]],Table_ChuongTrinh[[Mã Chương trình]:[Đối tượng CK]],Sheet_ChuongTrinh!$C$1,0) = "Sản phẩm",1,0))</f>
        <v>1</v>
      </c>
      <c r="AR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8" ht="18" customHeight="1" x14ac:dyDescent="0.3">
      <c r="B64" s="524" t="s">
        <v>1151</v>
      </c>
      <c r="C64" s="516"/>
      <c r="D64" s="530" t="str">
        <f>IF(ISBLANK(Table_Main[[#This Row],[Mã SKU]]),Table_Main[[#This Row],[Mã Nguyên liệu]],Table_Main[[#This Row],[Mã SKU]])</f>
        <v>TP2</v>
      </c>
      <c r="E64" s="416"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16"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16"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16"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16">
        <f>IFERROR(Table_Main[[#This Row],[Giá trị tồn đầu ngày]]/Table_Main[[#This Row],[Tồn kho đầu ngày]],0)</f>
        <v>0</v>
      </c>
      <c r="J64" s="416">
        <f>IFERROR(Table_Main[[#This Row],[Giá trị tồn cuối ngày]]/Table_Main[[#This Row],[Tồn kho cuối ngày]],0)</f>
        <v>0</v>
      </c>
      <c r="K64" s="411">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1155</v>
      </c>
      <c r="Q64" s="404">
        <v>48</v>
      </c>
      <c r="R64" s="516"/>
      <c r="S64" s="530">
        <f>IFERROR(VLOOKUP(Table_Main[[#This Row],[Đơn Mua]],Table_DonMua[[Mã Đơn mua]:[Add]],COUNTA(Table_DonMua[[#Headers],[Mã Đơn mua]:[Mã Đối tác]]),0),0)</f>
        <v>0</v>
      </c>
      <c r="T64" s="405"/>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16" t="s">
        <v>1199</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66">
        <f>IFERROR(
VLOOKUP(Table_Main[[#This Row],[Mã SKU]],Table_SKU[[Mã SKU]:[Tỷ suất VAT]],COUNTA(Table_SKU[[#Headers],[Mã SKU]:[Tỷ suất VAT]]),0),0)</f>
        <v>0</v>
      </c>
      <c r="AG64" s="48">
        <f xml:space="preserve">
IF(Table_Main[[#This Row],[Đơn bán]]="", 0,Table_Main[[#This Row],[Tỷ suất VAT]]*Table_Main[[#This Row],[Giá trị bán trước VAT]])</f>
        <v>0</v>
      </c>
      <c r="AH64" s="51">
        <f>IFERROR(VLOOKUP(Table_Main[[#This Row],[Đơn bán]],Table_DonBan[[Mã Đơn bán]:[Add]],COUNTA(Table_DonBan[[#Headers],[Mã Đơn bán]:[Mã NV]]),0),0)</f>
        <v>0</v>
      </c>
      <c r="AI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4" s="48">
        <f>IFERROR(Table_Main[[#This Row],[Giá trị bán trước VAT]]*Table_Main[[#This Row],[Tỷ lệ hoa hồng]],"")</f>
        <v>0</v>
      </c>
      <c r="AK64" s="48">
        <f>IFERROR(VLOOKUP(Table_Main[[#This Row],[Đơn bán]],Table_DonBan[[Mã Đơn bán]:[Add]],COUNTA(Table_DonBan[[#Headers],[Mã Đơn bán]:[Kênh]]),0),0)</f>
        <v>0</v>
      </c>
      <c r="AL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4" s="48">
        <f>IFERROR(Table_Main[[#This Row],[Giá trị bán trước VAT]]*Table_Main[[#This Row],[Tỷ lệ CK kênh]],"")</f>
        <v>0</v>
      </c>
      <c r="AN64" s="230"/>
      <c r="AO64" s="232"/>
      <c r="AP64" s="226">
        <f>Table_Main[[#This Row],[ĐK - Phân loại]]*Table_Main[[#This Row],[ĐK - Thời gian]]*Table_Main[[#This Row],[ĐK - Giá trị]]*Table_Main[[#This Row],[ĐK - Số lượng]]*Table_Main[[#This Row],[ĐK - Sinh nhật]]*Table_Main[[#This Row],[ĐK - Ngày mua cuối]]</f>
        <v>1</v>
      </c>
      <c r="AQ64" s="226">
        <f xml:space="preserve">
IF(ISBLANK(Table_Main[[#This Row],[Chương trình]]),1,
IF(VLOOKUP(Table_Main[[#This Row],[Chương trình]],Table_ChuongTrinh[[Mã Chương trình]:[Đối tượng CK]],Sheet_ChuongTrinh!$C$1,0) = "Sản phẩm",1,0))</f>
        <v>1</v>
      </c>
      <c r="AR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8" ht="18" customHeight="1" x14ac:dyDescent="0.3">
      <c r="B65" s="524" t="s">
        <v>1150</v>
      </c>
      <c r="C65" s="516"/>
      <c r="D65" s="530" t="str">
        <f>IF(ISBLANK(Table_Main[[#This Row],[Mã SKU]]),Table_Main[[#This Row],[Mã Nguyên liệu]],Table_Main[[#This Row],[Mã SKU]])</f>
        <v>TP1</v>
      </c>
      <c r="E65" s="416"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16"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16"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16"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16">
        <f>IFERROR(Table_Main[[#This Row],[Giá trị tồn đầu ngày]]/Table_Main[[#This Row],[Tồn kho đầu ngày]],0)</f>
        <v>0</v>
      </c>
      <c r="J65" s="416">
        <f>IFERROR(Table_Main[[#This Row],[Giá trị tồn cuối ngày]]/Table_Main[[#This Row],[Tồn kho cuối ngày]],0)</f>
        <v>0</v>
      </c>
      <c r="K65" s="411">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1154</v>
      </c>
      <c r="P65" s="230" t="s">
        <v>1155</v>
      </c>
      <c r="Q65" s="404">
        <v>23</v>
      </c>
      <c r="R65" s="516"/>
      <c r="S65" s="530">
        <f>IFERROR(VLOOKUP(Table_Main[[#This Row],[Đơn Mua]],Table_DonMua[[Mã Đơn mua]:[Add]],COUNTA(Table_DonMua[[#Headers],[Mã Đơn mua]:[Mã Đối tác]]),0),0)</f>
        <v>0</v>
      </c>
      <c r="T65" s="405"/>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16"/>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66">
        <f>IFERROR(
VLOOKUP(Table_Main[[#This Row],[Mã SKU]],Table_SKU[[Mã SKU]:[Tỷ suất VAT]],COUNTA(Table_SKU[[#Headers],[Mã SKU]:[Tỷ suất VAT]]),0),0)</f>
        <v>0</v>
      </c>
      <c r="AG65" s="48">
        <f xml:space="preserve">
IF(Table_Main[[#This Row],[Đơn bán]]="", 0,Table_Main[[#This Row],[Tỷ suất VAT]]*Table_Main[[#This Row],[Giá trị bán trước VAT]])</f>
        <v>0</v>
      </c>
      <c r="AH65" s="51">
        <f>IFERROR(VLOOKUP(Table_Main[[#This Row],[Đơn bán]],Table_DonBan[[Mã Đơn bán]:[Add]],COUNTA(Table_DonBan[[#Headers],[Mã Đơn bán]:[Mã NV]]),0),0)</f>
        <v>0</v>
      </c>
      <c r="AI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5" s="48">
        <f>IFERROR(Table_Main[[#This Row],[Giá trị bán trước VAT]]*Table_Main[[#This Row],[Tỷ lệ hoa hồng]],"")</f>
        <v>0</v>
      </c>
      <c r="AK65" s="48">
        <f>IFERROR(VLOOKUP(Table_Main[[#This Row],[Đơn bán]],Table_DonBan[[Mã Đơn bán]:[Add]],COUNTA(Table_DonBan[[#Headers],[Mã Đơn bán]:[Kênh]]),0),0)</f>
        <v>0</v>
      </c>
      <c r="AL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5" s="48">
        <f>IFERROR(Table_Main[[#This Row],[Giá trị bán trước VAT]]*Table_Main[[#This Row],[Tỷ lệ CK kênh]],"")</f>
        <v>0</v>
      </c>
      <c r="AN65" s="230"/>
      <c r="AO65" s="232"/>
      <c r="AP65" s="226">
        <f>Table_Main[[#This Row],[ĐK - Phân loại]]*Table_Main[[#This Row],[ĐK - Thời gian]]*Table_Main[[#This Row],[ĐK - Giá trị]]*Table_Main[[#This Row],[ĐK - Số lượng]]*Table_Main[[#This Row],[ĐK - Sinh nhật]]*Table_Main[[#This Row],[ĐK - Ngày mua cuối]]</f>
        <v>1</v>
      </c>
      <c r="AQ65" s="226">
        <f xml:space="preserve">
IF(ISBLANK(Table_Main[[#This Row],[Chương trình]]),1,
IF(VLOOKUP(Table_Main[[#This Row],[Chương trình]],Table_ChuongTrinh[[Mã Chương trình]:[Đối tượng CK]],Sheet_ChuongTrinh!$C$1,0) = "Sản phẩm",1,0))</f>
        <v>1</v>
      </c>
      <c r="AR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8" ht="18" customHeight="1" x14ac:dyDescent="0.3">
      <c r="B66" s="524" t="s">
        <v>1150</v>
      </c>
      <c r="C66" s="516"/>
      <c r="D66" s="530" t="str">
        <f>IF(ISBLANK(Table_Main[[#This Row],[Mã SKU]]),Table_Main[[#This Row],[Mã Nguyên liệu]],Table_Main[[#This Row],[Mã SKU]])</f>
        <v>TP1</v>
      </c>
      <c r="E66" s="416"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16"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16"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16"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16">
        <f>IFERROR(Table_Main[[#This Row],[Giá trị tồn đầu ngày]]/Table_Main[[#This Row],[Tồn kho đầu ngày]],0)</f>
        <v>0</v>
      </c>
      <c r="J66" s="416">
        <f>IFERROR(Table_Main[[#This Row],[Giá trị tồn cuối ngày]]/Table_Main[[#This Row],[Tồn kho cuối ngày]],0)</f>
        <v>0</v>
      </c>
      <c r="K66" s="411">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1154</v>
      </c>
      <c r="P66" s="230" t="s">
        <v>1155</v>
      </c>
      <c r="Q66" s="404">
        <v>33</v>
      </c>
      <c r="R66" s="516"/>
      <c r="S66" s="530">
        <f>IFERROR(VLOOKUP(Table_Main[[#This Row],[Đơn Mua]],Table_DonMua[[Mã Đơn mua]:[Add]],COUNTA(Table_DonMua[[#Headers],[Mã Đơn mua]:[Mã Đối tác]]),0),0)</f>
        <v>0</v>
      </c>
      <c r="T66" s="405"/>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16"/>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66">
        <f>IFERROR(
VLOOKUP(Table_Main[[#This Row],[Mã SKU]],Table_SKU[[Mã SKU]:[Tỷ suất VAT]],COUNTA(Table_SKU[[#Headers],[Mã SKU]:[Tỷ suất VAT]]),0),0)</f>
        <v>0</v>
      </c>
      <c r="AG66" s="48">
        <f xml:space="preserve">
IF(Table_Main[[#This Row],[Đơn bán]]="", 0,Table_Main[[#This Row],[Tỷ suất VAT]]*Table_Main[[#This Row],[Giá trị bán trước VAT]])</f>
        <v>0</v>
      </c>
      <c r="AH66" s="51">
        <f>IFERROR(VLOOKUP(Table_Main[[#This Row],[Đơn bán]],Table_DonBan[[Mã Đơn bán]:[Add]],COUNTA(Table_DonBan[[#Headers],[Mã Đơn bán]:[Mã NV]]),0),0)</f>
        <v>0</v>
      </c>
      <c r="AI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6" s="48">
        <f>IFERROR(Table_Main[[#This Row],[Giá trị bán trước VAT]]*Table_Main[[#This Row],[Tỷ lệ hoa hồng]],"")</f>
        <v>0</v>
      </c>
      <c r="AK66" s="48">
        <f>IFERROR(VLOOKUP(Table_Main[[#This Row],[Đơn bán]],Table_DonBan[[Mã Đơn bán]:[Add]],COUNTA(Table_DonBan[[#Headers],[Mã Đơn bán]:[Kênh]]),0),0)</f>
        <v>0</v>
      </c>
      <c r="AL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6" s="48">
        <f>IFERROR(Table_Main[[#This Row],[Giá trị bán trước VAT]]*Table_Main[[#This Row],[Tỷ lệ CK kênh]],"")</f>
        <v>0</v>
      </c>
      <c r="AN66" s="230"/>
      <c r="AO66" s="232"/>
      <c r="AP66" s="226">
        <f>Table_Main[[#This Row],[ĐK - Phân loại]]*Table_Main[[#This Row],[ĐK - Thời gian]]*Table_Main[[#This Row],[ĐK - Giá trị]]*Table_Main[[#This Row],[ĐK - Số lượng]]*Table_Main[[#This Row],[ĐK - Sinh nhật]]*Table_Main[[#This Row],[ĐK - Ngày mua cuối]]</f>
        <v>1</v>
      </c>
      <c r="AQ66" s="226">
        <f xml:space="preserve">
IF(ISBLANK(Table_Main[[#This Row],[Chương trình]]),1,
IF(VLOOKUP(Table_Main[[#This Row],[Chương trình]],Table_ChuongTrinh[[Mã Chương trình]:[Đối tượng CK]],Sheet_ChuongTrinh!$C$1,0) = "Sản phẩm",1,0))</f>
        <v>1</v>
      </c>
      <c r="AR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8" ht="18" customHeight="1" x14ac:dyDescent="0.3">
      <c r="B67" s="524" t="s">
        <v>1149</v>
      </c>
      <c r="C67" s="516"/>
      <c r="D67" s="530" t="str">
        <f>IF(ISBLANK(Table_Main[[#This Row],[Mã SKU]]),Table_Main[[#This Row],[Mã Nguyên liệu]],Table_Main[[#This Row],[Mã SKU]])</f>
        <v>HH1</v>
      </c>
      <c r="E67" s="416"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16"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16"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16"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16">
        <f>IFERROR(Table_Main[[#This Row],[Giá trị tồn đầu ngày]]/Table_Main[[#This Row],[Tồn kho đầu ngày]],0)</f>
        <v>80000</v>
      </c>
      <c r="J67" s="416">
        <f>IFERROR(Table_Main[[#This Row],[Giá trị tồn cuối ngày]]/Table_Main[[#This Row],[Tồn kho cuối ngày]],0)</f>
        <v>90132.701492537308</v>
      </c>
      <c r="K67" s="411">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1154</v>
      </c>
      <c r="P67" s="230" t="s">
        <v>1155</v>
      </c>
      <c r="Q67" s="404">
        <v>23</v>
      </c>
      <c r="R67" s="516" t="s">
        <v>1165</v>
      </c>
      <c r="S67" s="530" t="str">
        <f>IFERROR(VLOOKUP(Table_Main[[#This Row],[Đơn Mua]],Table_DonMua[[Mã Đơn mua]:[Add]],COUNTA(Table_DonMua[[#Headers],[Mã Đơn mua]:[Mã Đối tác]]),0),0)</f>
        <v>NCC1</v>
      </c>
      <c r="T67" s="405">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16"/>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66">
        <f>IFERROR(
VLOOKUP(Table_Main[[#This Row],[Mã SKU]],Table_SKU[[Mã SKU]:[Tỷ suất VAT]],COUNTA(Table_SKU[[#Headers],[Mã SKU]:[Tỷ suất VAT]]),0),0)</f>
        <v>0</v>
      </c>
      <c r="AG67" s="48">
        <f xml:space="preserve">
IF(Table_Main[[#This Row],[Đơn bán]]="", 0,Table_Main[[#This Row],[Tỷ suất VAT]]*Table_Main[[#This Row],[Giá trị bán trước VAT]])</f>
        <v>0</v>
      </c>
      <c r="AH67" s="51">
        <f>IFERROR(VLOOKUP(Table_Main[[#This Row],[Đơn bán]],Table_DonBan[[Mã Đơn bán]:[Add]],COUNTA(Table_DonBan[[#Headers],[Mã Đơn bán]:[Mã NV]]),0),0)</f>
        <v>0</v>
      </c>
      <c r="AI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7" s="48">
        <f>IFERROR(Table_Main[[#This Row],[Giá trị bán trước VAT]]*Table_Main[[#This Row],[Tỷ lệ hoa hồng]],"")</f>
        <v>0</v>
      </c>
      <c r="AK67" s="48">
        <f>IFERROR(VLOOKUP(Table_Main[[#This Row],[Đơn bán]],Table_DonBan[[Mã Đơn bán]:[Add]],COUNTA(Table_DonBan[[#Headers],[Mã Đơn bán]:[Kênh]]),0),0)</f>
        <v>0</v>
      </c>
      <c r="AL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7" s="48">
        <f>IFERROR(Table_Main[[#This Row],[Giá trị bán trước VAT]]*Table_Main[[#This Row],[Tỷ lệ CK kênh]],"")</f>
        <v>0</v>
      </c>
      <c r="AN67" s="230"/>
      <c r="AO67" s="232"/>
      <c r="AP67" s="226">
        <f>Table_Main[[#This Row],[ĐK - Phân loại]]*Table_Main[[#This Row],[ĐK - Thời gian]]*Table_Main[[#This Row],[ĐK - Giá trị]]*Table_Main[[#This Row],[ĐK - Số lượng]]*Table_Main[[#This Row],[ĐK - Sinh nhật]]*Table_Main[[#This Row],[ĐK - Ngày mua cuối]]</f>
        <v>1</v>
      </c>
      <c r="AQ67" s="226">
        <f xml:space="preserve">
IF(ISBLANK(Table_Main[[#This Row],[Chương trình]]),1,
IF(VLOOKUP(Table_Main[[#This Row],[Chương trình]],Table_ChuongTrinh[[Mã Chương trình]:[Đối tượng CK]],Sheet_ChuongTrinh!$C$1,0) = "Sản phẩm",1,0))</f>
        <v>1</v>
      </c>
      <c r="AR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8" ht="18" customHeight="1" x14ac:dyDescent="0.15">
      <c r="B68" s="236"/>
      <c r="C68" s="517" t="s">
        <v>1152</v>
      </c>
      <c r="D68" s="532" t="str">
        <f>IF(ISBLANK(Table_Main[[#This Row],[Mã SKU]]),Table_Main[[#This Row],[Mã Nguyên liệu]],Table_Main[[#This Row],[Mã SKU]])</f>
        <v>NL2</v>
      </c>
      <c r="E68" s="416"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16"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16"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16"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16">
        <f>IFERROR(Table_Main[[#This Row],[Giá trị tồn đầu ngày]]/Table_Main[[#This Row],[Tồn kho đầu ngày]],0)</f>
        <v>150000</v>
      </c>
      <c r="J68" s="416">
        <f>IFERROR(Table_Main[[#This Row],[Giá trị tồn cuối ngày]]/Table_Main[[#This Row],[Tồn kho cuối ngày]],0)</f>
        <v>150000</v>
      </c>
      <c r="K68" s="411">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44" t="str">
        <f>IF(Table_Main[[#This Row],[Ngày lên đơn]]=0,"",Table_Main[[#This Row],[Ngày xuất nhập]]-Table_Main[[#This Row],[Ngày lên đơn]])</f>
        <v/>
      </c>
      <c r="O68" s="7" t="s">
        <v>53</v>
      </c>
      <c r="P68" s="230" t="s">
        <v>1155</v>
      </c>
      <c r="Q68" s="518">
        <v>32</v>
      </c>
      <c r="R68" s="516"/>
      <c r="S68" s="543">
        <f>IFERROR(VLOOKUP(Table_Main[[#This Row],[Đơn Mua]],Table_DonMua[[Mã Đơn mua]:[Add]],COUNTA(Table_DonMua[[#Headers],[Mã Đơn mua]:[Mã Đối tác]]),0),0)</f>
        <v>0</v>
      </c>
      <c r="T68" s="427"/>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16"/>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66">
        <f>IFERROR(
VLOOKUP(Table_Main[[#This Row],[Mã SKU]],Table_SKU[[Mã SKU]:[Tỷ suất VAT]],COUNTA(Table_SKU[[#Headers],[Mã SKU]:[Tỷ suất VAT]]),0),0)</f>
        <v>0</v>
      </c>
      <c r="AG68" s="48">
        <f xml:space="preserve">
IF(Table_Main[[#This Row],[Đơn bán]]="", 0,Table_Main[[#This Row],[Tỷ suất VAT]]*Table_Main[[#This Row],[Giá trị bán trước VAT]])</f>
        <v>0</v>
      </c>
      <c r="AH68" s="51">
        <f>IFERROR(VLOOKUP(Table_Main[[#This Row],[Đơn bán]],Table_DonBan[[Mã Đơn bán]:[Add]],COUNTA(Table_DonBan[[#Headers],[Mã Đơn bán]:[Mã NV]]),0),0)</f>
        <v>0</v>
      </c>
      <c r="AI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8" s="48">
        <f>IFERROR(Table_Main[[#This Row],[Giá trị bán trước VAT]]*Table_Main[[#This Row],[Tỷ lệ hoa hồng]],"")</f>
        <v>0</v>
      </c>
      <c r="AK68" s="48">
        <f>IFERROR(VLOOKUP(Table_Main[[#This Row],[Đơn bán]],Table_DonBan[[Mã Đơn bán]:[Add]],COUNTA(Table_DonBan[[#Headers],[Mã Đơn bán]:[Kênh]]),0),0)</f>
        <v>0</v>
      </c>
      <c r="AL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8" s="48">
        <f>IFERROR(Table_Main[[#This Row],[Giá trị bán trước VAT]]*Table_Main[[#This Row],[Tỷ lệ CK kênh]],"")</f>
        <v>0</v>
      </c>
      <c r="AN68" s="230"/>
      <c r="AO68" s="232"/>
      <c r="AP68" s="226">
        <f>Table_Main[[#This Row],[ĐK - Phân loại]]*Table_Main[[#This Row],[ĐK - Thời gian]]*Table_Main[[#This Row],[ĐK - Giá trị]]*Table_Main[[#This Row],[ĐK - Số lượng]]*Table_Main[[#This Row],[ĐK - Sinh nhật]]*Table_Main[[#This Row],[ĐK - Ngày mua cuối]]</f>
        <v>1</v>
      </c>
      <c r="AQ68" s="226">
        <f xml:space="preserve">
IF(ISBLANK(Table_Main[[#This Row],[Chương trình]]),1,
IF(VLOOKUP(Table_Main[[#This Row],[Chương trình]],Table_ChuongTrinh[[Mã Chương trình]:[Đối tượng CK]],Sheet_ChuongTrinh!$C$1,0) = "Sản phẩm",1,0))</f>
        <v>1</v>
      </c>
      <c r="AR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8" ht="18" customHeight="1" x14ac:dyDescent="0.3">
      <c r="B69" s="236"/>
      <c r="C69" s="238" t="s">
        <v>1153</v>
      </c>
      <c r="D69" s="531" t="str">
        <f>IF(ISBLANK(Table_Main[[#This Row],[Mã SKU]]),Table_Main[[#This Row],[Mã Nguyên liệu]],Table_Main[[#This Row],[Mã SKU]])</f>
        <v>NL1</v>
      </c>
      <c r="E69" s="416"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16"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16"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16"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16">
        <f>IFERROR(Table_Main[[#This Row],[Giá trị tồn đầu ngày]]/Table_Main[[#This Row],[Tồn kho đầu ngày]],0)</f>
        <v>100000</v>
      </c>
      <c r="J69" s="416">
        <f>IFERROR(Table_Main[[#This Row],[Giá trị tồn cuối ngày]]/Table_Main[[#This Row],[Tồn kho cuối ngày]],0)</f>
        <v>100718.58181818182</v>
      </c>
      <c r="K69" s="411">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1154</v>
      </c>
      <c r="P69" s="230" t="s">
        <v>1155</v>
      </c>
      <c r="Q69" s="404">
        <v>14</v>
      </c>
      <c r="R69" s="516" t="s">
        <v>1164</v>
      </c>
      <c r="S69" s="530" t="str">
        <f>IFERROR(VLOOKUP(Table_Main[[#This Row],[Đơn Mua]],Table_DonMua[[Mã Đơn mua]:[Add]],COUNTA(Table_DonMua[[#Headers],[Mã Đơn mua]:[Mã Đối tác]]),0),0)</f>
        <v>NCC2</v>
      </c>
      <c r="T69" s="405">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16"/>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66">
        <f>IFERROR(
VLOOKUP(Table_Main[[#This Row],[Mã SKU]],Table_SKU[[Mã SKU]:[Tỷ suất VAT]],COUNTA(Table_SKU[[#Headers],[Mã SKU]:[Tỷ suất VAT]]),0),0)</f>
        <v>0</v>
      </c>
      <c r="AG69" s="48">
        <f xml:space="preserve">
IF(Table_Main[[#This Row],[Đơn bán]]="", 0,Table_Main[[#This Row],[Tỷ suất VAT]]*Table_Main[[#This Row],[Giá trị bán trước VAT]])</f>
        <v>0</v>
      </c>
      <c r="AH69" s="51">
        <f>IFERROR(VLOOKUP(Table_Main[[#This Row],[Đơn bán]],Table_DonBan[[Mã Đơn bán]:[Add]],COUNTA(Table_DonBan[[#Headers],[Mã Đơn bán]:[Mã NV]]),0),0)</f>
        <v>0</v>
      </c>
      <c r="AI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69" s="48">
        <f>IFERROR(Table_Main[[#This Row],[Giá trị bán trước VAT]]*Table_Main[[#This Row],[Tỷ lệ hoa hồng]],"")</f>
        <v>0</v>
      </c>
      <c r="AK69" s="48">
        <f>IFERROR(VLOOKUP(Table_Main[[#This Row],[Đơn bán]],Table_DonBan[[Mã Đơn bán]:[Add]],COUNTA(Table_DonBan[[#Headers],[Mã Đơn bán]:[Kênh]]),0),0)</f>
        <v>0</v>
      </c>
      <c r="AL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69" s="48">
        <f>IFERROR(Table_Main[[#This Row],[Giá trị bán trước VAT]]*Table_Main[[#This Row],[Tỷ lệ CK kênh]],"")</f>
        <v>0</v>
      </c>
      <c r="AN69" s="230"/>
      <c r="AO69" s="232"/>
      <c r="AP69" s="226">
        <f>Table_Main[[#This Row],[ĐK - Phân loại]]*Table_Main[[#This Row],[ĐK - Thời gian]]*Table_Main[[#This Row],[ĐK - Giá trị]]*Table_Main[[#This Row],[ĐK - Số lượng]]*Table_Main[[#This Row],[ĐK - Sinh nhật]]*Table_Main[[#This Row],[ĐK - Ngày mua cuối]]</f>
        <v>1</v>
      </c>
      <c r="AQ69" s="226">
        <f xml:space="preserve">
IF(ISBLANK(Table_Main[[#This Row],[Chương trình]]),1,
IF(VLOOKUP(Table_Main[[#This Row],[Chương trình]],Table_ChuongTrinh[[Mã Chương trình]:[Đối tượng CK]],Sheet_ChuongTrinh!$C$1,0) = "Sản phẩm",1,0))</f>
        <v>1</v>
      </c>
      <c r="AR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8" ht="18" customHeight="1" x14ac:dyDescent="0.3">
      <c r="B70" s="524" t="s">
        <v>1149</v>
      </c>
      <c r="C70" s="516"/>
      <c r="D70" s="530" t="str">
        <f>IF(ISBLANK(Table_Main[[#This Row],[Mã SKU]]),Table_Main[[#This Row],[Mã Nguyên liệu]],Table_Main[[#This Row],[Mã SKU]])</f>
        <v>HH1</v>
      </c>
      <c r="E70" s="416"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16"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16"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16"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16">
        <f>IFERROR(Table_Main[[#This Row],[Giá trị tồn đầu ngày]]/Table_Main[[#This Row],[Tồn kho đầu ngày]],0)</f>
        <v>80000</v>
      </c>
      <c r="J70" s="416">
        <f>IFERROR(Table_Main[[#This Row],[Giá trị tồn cuối ngày]]/Table_Main[[#This Row],[Tồn kho cuối ngày]],0)</f>
        <v>80000</v>
      </c>
      <c r="K70" s="411">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1155</v>
      </c>
      <c r="Q70" s="404">
        <v>39</v>
      </c>
      <c r="R70" s="516"/>
      <c r="S70" s="530">
        <f>IFERROR(VLOOKUP(Table_Main[[#This Row],[Đơn Mua]],Table_DonMua[[Mã Đơn mua]:[Add]],COUNTA(Table_DonMua[[#Headers],[Mã Đơn mua]:[Mã Đối tác]]),0),0)</f>
        <v>0</v>
      </c>
      <c r="T70" s="405"/>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16" t="s">
        <v>1198</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66">
        <f>IFERROR(
VLOOKUP(Table_Main[[#This Row],[Mã SKU]],Table_SKU[[Mã SKU]:[Tỷ suất VAT]],COUNTA(Table_SKU[[#Headers],[Mã SKU]:[Tỷ suất VAT]]),0),0)</f>
        <v>0</v>
      </c>
      <c r="AG70" s="48">
        <f xml:space="preserve">
IF(Table_Main[[#This Row],[Đơn bán]]="", 0,Table_Main[[#This Row],[Tỷ suất VAT]]*Table_Main[[#This Row],[Giá trị bán trước VAT]])</f>
        <v>0</v>
      </c>
      <c r="AH70" s="51">
        <f>IFERROR(VLOOKUP(Table_Main[[#This Row],[Đơn bán]],Table_DonBan[[Mã Đơn bán]:[Add]],COUNTA(Table_DonBan[[#Headers],[Mã Đơn bán]:[Mã NV]]),0),0)</f>
        <v>0</v>
      </c>
      <c r="AI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0" s="48">
        <f>IFERROR(Table_Main[[#This Row],[Giá trị bán trước VAT]]*Table_Main[[#This Row],[Tỷ lệ hoa hồng]],"")</f>
        <v>0</v>
      </c>
      <c r="AK70" s="48">
        <f>IFERROR(VLOOKUP(Table_Main[[#This Row],[Đơn bán]],Table_DonBan[[Mã Đơn bán]:[Add]],COUNTA(Table_DonBan[[#Headers],[Mã Đơn bán]:[Kênh]]),0),0)</f>
        <v>0</v>
      </c>
      <c r="AL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0" s="48">
        <f>IFERROR(Table_Main[[#This Row],[Giá trị bán trước VAT]]*Table_Main[[#This Row],[Tỷ lệ CK kênh]],"")</f>
        <v>0</v>
      </c>
      <c r="AN70" s="230"/>
      <c r="AO70" s="232"/>
      <c r="AP70" s="226">
        <f>Table_Main[[#This Row],[ĐK - Phân loại]]*Table_Main[[#This Row],[ĐK - Thời gian]]*Table_Main[[#This Row],[ĐK - Giá trị]]*Table_Main[[#This Row],[ĐK - Số lượng]]*Table_Main[[#This Row],[ĐK - Sinh nhật]]*Table_Main[[#This Row],[ĐK - Ngày mua cuối]]</f>
        <v>1</v>
      </c>
      <c r="AQ70" s="226">
        <f xml:space="preserve">
IF(ISBLANK(Table_Main[[#This Row],[Chương trình]]),1,
IF(VLOOKUP(Table_Main[[#This Row],[Chương trình]],Table_ChuongTrinh[[Mã Chương trình]:[Đối tượng CK]],Sheet_ChuongTrinh!$C$1,0) = "Sản phẩm",1,0))</f>
        <v>1</v>
      </c>
      <c r="AR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8" ht="18" customHeight="1" x14ac:dyDescent="0.3">
      <c r="B71" s="524" t="s">
        <v>1151</v>
      </c>
      <c r="C71" s="516"/>
      <c r="D71" s="530" t="str">
        <f>IF(ISBLANK(Table_Main[[#This Row],[Mã SKU]]),Table_Main[[#This Row],[Mã Nguyên liệu]],Table_Main[[#This Row],[Mã SKU]])</f>
        <v>TP2</v>
      </c>
      <c r="E71" s="416"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16"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16"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16"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16">
        <f>IFERROR(Table_Main[[#This Row],[Giá trị tồn đầu ngày]]/Table_Main[[#This Row],[Tồn kho đầu ngày]],0)</f>
        <v>0</v>
      </c>
      <c r="J71" s="416">
        <f>IFERROR(Table_Main[[#This Row],[Giá trị tồn cuối ngày]]/Table_Main[[#This Row],[Tồn kho cuối ngày]],0)</f>
        <v>0</v>
      </c>
      <c r="K71" s="411">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1154</v>
      </c>
      <c r="P71" s="230" t="s">
        <v>1155</v>
      </c>
      <c r="Q71" s="404">
        <v>31</v>
      </c>
      <c r="R71" s="516"/>
      <c r="S71" s="530">
        <f>IFERROR(VLOOKUP(Table_Main[[#This Row],[Đơn Mua]],Table_DonMua[[Mã Đơn mua]:[Add]],COUNTA(Table_DonMua[[#Headers],[Mã Đơn mua]:[Mã Đối tác]]),0),0)</f>
        <v>0</v>
      </c>
      <c r="T71" s="405"/>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16"/>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66">
        <f>IFERROR(
VLOOKUP(Table_Main[[#This Row],[Mã SKU]],Table_SKU[[Mã SKU]:[Tỷ suất VAT]],COUNTA(Table_SKU[[#Headers],[Mã SKU]:[Tỷ suất VAT]]),0),0)</f>
        <v>0</v>
      </c>
      <c r="AG71" s="48">
        <f xml:space="preserve">
IF(Table_Main[[#This Row],[Đơn bán]]="", 0,Table_Main[[#This Row],[Tỷ suất VAT]]*Table_Main[[#This Row],[Giá trị bán trước VAT]])</f>
        <v>0</v>
      </c>
      <c r="AH71" s="51">
        <f>IFERROR(VLOOKUP(Table_Main[[#This Row],[Đơn bán]],Table_DonBan[[Mã Đơn bán]:[Add]],COUNTA(Table_DonBan[[#Headers],[Mã Đơn bán]:[Mã NV]]),0),0)</f>
        <v>0</v>
      </c>
      <c r="AI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1" s="48">
        <f>IFERROR(Table_Main[[#This Row],[Giá trị bán trước VAT]]*Table_Main[[#This Row],[Tỷ lệ hoa hồng]],"")</f>
        <v>0</v>
      </c>
      <c r="AK71" s="48">
        <f>IFERROR(VLOOKUP(Table_Main[[#This Row],[Đơn bán]],Table_DonBan[[Mã Đơn bán]:[Add]],COUNTA(Table_DonBan[[#Headers],[Mã Đơn bán]:[Kênh]]),0),0)</f>
        <v>0</v>
      </c>
      <c r="AL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1" s="48">
        <f>IFERROR(Table_Main[[#This Row],[Giá trị bán trước VAT]]*Table_Main[[#This Row],[Tỷ lệ CK kênh]],"")</f>
        <v>0</v>
      </c>
      <c r="AN71" s="230"/>
      <c r="AO71" s="232"/>
      <c r="AP71" s="226">
        <f>Table_Main[[#This Row],[ĐK - Phân loại]]*Table_Main[[#This Row],[ĐK - Thời gian]]*Table_Main[[#This Row],[ĐK - Giá trị]]*Table_Main[[#This Row],[ĐK - Số lượng]]*Table_Main[[#This Row],[ĐK - Sinh nhật]]*Table_Main[[#This Row],[ĐK - Ngày mua cuối]]</f>
        <v>1</v>
      </c>
      <c r="AQ71" s="226">
        <f xml:space="preserve">
IF(ISBLANK(Table_Main[[#This Row],[Chương trình]]),1,
IF(VLOOKUP(Table_Main[[#This Row],[Chương trình]],Table_ChuongTrinh[[Mã Chương trình]:[Đối tượng CK]],Sheet_ChuongTrinh!$C$1,0) = "Sản phẩm",1,0))</f>
        <v>1</v>
      </c>
      <c r="AR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8" ht="18" customHeight="1" x14ac:dyDescent="0.3">
      <c r="B72" s="236"/>
      <c r="C72" s="238" t="s">
        <v>1153</v>
      </c>
      <c r="D72" s="531" t="str">
        <f>IF(ISBLANK(Table_Main[[#This Row],[Mã SKU]]),Table_Main[[#This Row],[Mã Nguyên liệu]],Table_Main[[#This Row],[Mã SKU]])</f>
        <v>NL1</v>
      </c>
      <c r="E72" s="416"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16"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16"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16"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16">
        <f>IFERROR(Table_Main[[#This Row],[Giá trị tồn đầu ngày]]/Table_Main[[#This Row],[Tồn kho đầu ngày]],0)</f>
        <v>100000</v>
      </c>
      <c r="J72" s="416">
        <f>IFERROR(Table_Main[[#This Row],[Giá trị tồn cuối ngày]]/Table_Main[[#This Row],[Tồn kho cuối ngày]],0)</f>
        <v>100000</v>
      </c>
      <c r="K72" s="411">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1155</v>
      </c>
      <c r="Q72" s="404">
        <v>49</v>
      </c>
      <c r="R72" s="516"/>
      <c r="S72" s="530">
        <f>IFERROR(VLOOKUP(Table_Main[[#This Row],[Đơn Mua]],Table_DonMua[[Mã Đơn mua]:[Add]],COUNTA(Table_DonMua[[#Headers],[Mã Đơn mua]:[Mã Đối tác]]),0),0)</f>
        <v>0</v>
      </c>
      <c r="T72" s="405"/>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16"/>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66">
        <f>IFERROR(
VLOOKUP(Table_Main[[#This Row],[Mã SKU]],Table_SKU[[Mã SKU]:[Tỷ suất VAT]],COUNTA(Table_SKU[[#Headers],[Mã SKU]:[Tỷ suất VAT]]),0),0)</f>
        <v>0</v>
      </c>
      <c r="AG72" s="48">
        <f xml:space="preserve">
IF(Table_Main[[#This Row],[Đơn bán]]="", 0,Table_Main[[#This Row],[Tỷ suất VAT]]*Table_Main[[#This Row],[Giá trị bán trước VAT]])</f>
        <v>0</v>
      </c>
      <c r="AH72" s="51">
        <f>IFERROR(VLOOKUP(Table_Main[[#This Row],[Đơn bán]],Table_DonBan[[Mã Đơn bán]:[Add]],COUNTA(Table_DonBan[[#Headers],[Mã Đơn bán]:[Mã NV]]),0),0)</f>
        <v>0</v>
      </c>
      <c r="AI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2" s="48">
        <f>IFERROR(Table_Main[[#This Row],[Giá trị bán trước VAT]]*Table_Main[[#This Row],[Tỷ lệ hoa hồng]],"")</f>
        <v>0</v>
      </c>
      <c r="AK72" s="48">
        <f>IFERROR(VLOOKUP(Table_Main[[#This Row],[Đơn bán]],Table_DonBan[[Mã Đơn bán]:[Add]],COUNTA(Table_DonBan[[#Headers],[Mã Đơn bán]:[Kênh]]),0),0)</f>
        <v>0</v>
      </c>
      <c r="AL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2" s="48">
        <f>IFERROR(Table_Main[[#This Row],[Giá trị bán trước VAT]]*Table_Main[[#This Row],[Tỷ lệ CK kênh]],"")</f>
        <v>0</v>
      </c>
      <c r="AN72" s="230"/>
      <c r="AO72" s="232"/>
      <c r="AP72" s="226">
        <f>Table_Main[[#This Row],[ĐK - Phân loại]]*Table_Main[[#This Row],[ĐK - Thời gian]]*Table_Main[[#This Row],[ĐK - Giá trị]]*Table_Main[[#This Row],[ĐK - Số lượng]]*Table_Main[[#This Row],[ĐK - Sinh nhật]]*Table_Main[[#This Row],[ĐK - Ngày mua cuối]]</f>
        <v>1</v>
      </c>
      <c r="AQ72" s="226">
        <f xml:space="preserve">
IF(ISBLANK(Table_Main[[#This Row],[Chương trình]]),1,
IF(VLOOKUP(Table_Main[[#This Row],[Chương trình]],Table_ChuongTrinh[[Mã Chương trình]:[Đối tượng CK]],Sheet_ChuongTrinh!$C$1,0) = "Sản phẩm",1,0))</f>
        <v>1</v>
      </c>
      <c r="AR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8" ht="18" customHeight="1" x14ac:dyDescent="0.3">
      <c r="B73" s="236"/>
      <c r="C73" s="238" t="s">
        <v>1152</v>
      </c>
      <c r="D73" s="531" t="str">
        <f>IF(ISBLANK(Table_Main[[#This Row],[Mã SKU]]),Table_Main[[#This Row],[Mã Nguyên liệu]],Table_Main[[#This Row],[Mã SKU]])</f>
        <v>NL2</v>
      </c>
      <c r="E73" s="416"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16"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16"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16"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16">
        <f>IFERROR(Table_Main[[#This Row],[Giá trị tồn đầu ngày]]/Table_Main[[#This Row],[Tồn kho đầu ngày]],0)</f>
        <v>150000</v>
      </c>
      <c r="J73" s="416">
        <f>IFERROR(Table_Main[[#This Row],[Giá trị tồn cuối ngày]]/Table_Main[[#This Row],[Tồn kho cuối ngày]],0)</f>
        <v>142586.86153846153</v>
      </c>
      <c r="K73" s="411">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1154</v>
      </c>
      <c r="P73" s="230" t="s">
        <v>1155</v>
      </c>
      <c r="Q73" s="404">
        <v>12</v>
      </c>
      <c r="R73" s="516" t="s">
        <v>1163</v>
      </c>
      <c r="S73" s="530" t="str">
        <f>IFERROR(VLOOKUP(Table_Main[[#This Row],[Đơn Mua]],Table_DonMua[[Mã Đơn mua]:[Add]],COUNTA(Table_DonMua[[#Headers],[Mã Đơn mua]:[Mã Đối tác]]),0),0)</f>
        <v>NCC3</v>
      </c>
      <c r="T73" s="405">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16"/>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66">
        <f>IFERROR(
VLOOKUP(Table_Main[[#This Row],[Mã SKU]],Table_SKU[[Mã SKU]:[Tỷ suất VAT]],COUNTA(Table_SKU[[#Headers],[Mã SKU]:[Tỷ suất VAT]]),0),0)</f>
        <v>0</v>
      </c>
      <c r="AG73" s="48">
        <f xml:space="preserve">
IF(Table_Main[[#This Row],[Đơn bán]]="", 0,Table_Main[[#This Row],[Tỷ suất VAT]]*Table_Main[[#This Row],[Giá trị bán trước VAT]])</f>
        <v>0</v>
      </c>
      <c r="AH73" s="51">
        <f>IFERROR(VLOOKUP(Table_Main[[#This Row],[Đơn bán]],Table_DonBan[[Mã Đơn bán]:[Add]],COUNTA(Table_DonBan[[#Headers],[Mã Đơn bán]:[Mã NV]]),0),0)</f>
        <v>0</v>
      </c>
      <c r="AI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3" s="48">
        <f>IFERROR(Table_Main[[#This Row],[Giá trị bán trước VAT]]*Table_Main[[#This Row],[Tỷ lệ hoa hồng]],"")</f>
        <v>0</v>
      </c>
      <c r="AK73" s="48">
        <f>IFERROR(VLOOKUP(Table_Main[[#This Row],[Đơn bán]],Table_DonBan[[Mã Đơn bán]:[Add]],COUNTA(Table_DonBan[[#Headers],[Mã Đơn bán]:[Kênh]]),0),0)</f>
        <v>0</v>
      </c>
      <c r="AL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3" s="48">
        <f>IFERROR(Table_Main[[#This Row],[Giá trị bán trước VAT]]*Table_Main[[#This Row],[Tỷ lệ CK kênh]],"")</f>
        <v>0</v>
      </c>
      <c r="AN73" s="230"/>
      <c r="AO73" s="232"/>
      <c r="AP73" s="226">
        <f>Table_Main[[#This Row],[ĐK - Phân loại]]*Table_Main[[#This Row],[ĐK - Thời gian]]*Table_Main[[#This Row],[ĐK - Giá trị]]*Table_Main[[#This Row],[ĐK - Số lượng]]*Table_Main[[#This Row],[ĐK - Sinh nhật]]*Table_Main[[#This Row],[ĐK - Ngày mua cuối]]</f>
        <v>1</v>
      </c>
      <c r="AQ73" s="226">
        <f xml:space="preserve">
IF(ISBLANK(Table_Main[[#This Row],[Chương trình]]),1,
IF(VLOOKUP(Table_Main[[#This Row],[Chương trình]],Table_ChuongTrinh[[Mã Chương trình]:[Đối tượng CK]],Sheet_ChuongTrinh!$C$1,0) = "Sản phẩm",1,0))</f>
        <v>1</v>
      </c>
      <c r="AR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8" ht="18" customHeight="1" x14ac:dyDescent="0.3">
      <c r="B74" s="525" t="s">
        <v>1150</v>
      </c>
      <c r="C74" s="516"/>
      <c r="D74" s="530" t="str">
        <f>IF(ISBLANK(Table_Main[[#This Row],[Mã SKU]]),Table_Main[[#This Row],[Mã Nguyên liệu]],Table_Main[[#This Row],[Mã SKU]])</f>
        <v>TP1</v>
      </c>
      <c r="E74" s="416"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16"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16"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16"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16">
        <f>IFERROR(Table_Main[[#This Row],[Giá trị tồn đầu ngày]]/Table_Main[[#This Row],[Tồn kho đầu ngày]],0)</f>
        <v>0</v>
      </c>
      <c r="J74" s="416">
        <f>IFERROR(Table_Main[[#This Row],[Giá trị tồn cuối ngày]]/Table_Main[[#This Row],[Tồn kho cuối ngày]],0)</f>
        <v>0</v>
      </c>
      <c r="K74" s="411">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1154</v>
      </c>
      <c r="P74" s="230" t="s">
        <v>1155</v>
      </c>
      <c r="Q74" s="404">
        <v>35</v>
      </c>
      <c r="R74" s="516"/>
      <c r="S74" s="530">
        <f>IFERROR(VLOOKUP(Table_Main[[#This Row],[Đơn Mua]],Table_DonMua[[Mã Đơn mua]:[Add]],COUNTA(Table_DonMua[[#Headers],[Mã Đơn mua]:[Mã Đối tác]]),0),0)</f>
        <v>0</v>
      </c>
      <c r="T74" s="405"/>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16"/>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66">
        <f>IFERROR(
VLOOKUP(Table_Main[[#This Row],[Mã SKU]],Table_SKU[[Mã SKU]:[Tỷ suất VAT]],COUNTA(Table_SKU[[#Headers],[Mã SKU]:[Tỷ suất VAT]]),0),0)</f>
        <v>0</v>
      </c>
      <c r="AG74" s="48">
        <f xml:space="preserve">
IF(Table_Main[[#This Row],[Đơn bán]]="", 0,Table_Main[[#This Row],[Tỷ suất VAT]]*Table_Main[[#This Row],[Giá trị bán trước VAT]])</f>
        <v>0</v>
      </c>
      <c r="AH74" s="51">
        <f>IFERROR(VLOOKUP(Table_Main[[#This Row],[Đơn bán]],Table_DonBan[[Mã Đơn bán]:[Add]],COUNTA(Table_DonBan[[#Headers],[Mã Đơn bán]:[Mã NV]]),0),0)</f>
        <v>0</v>
      </c>
      <c r="AI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4" s="48">
        <f>IFERROR(Table_Main[[#This Row],[Giá trị bán trước VAT]]*Table_Main[[#This Row],[Tỷ lệ hoa hồng]],"")</f>
        <v>0</v>
      </c>
      <c r="AK74" s="48">
        <f>IFERROR(VLOOKUP(Table_Main[[#This Row],[Đơn bán]],Table_DonBan[[Mã Đơn bán]:[Add]],COUNTA(Table_DonBan[[#Headers],[Mã Đơn bán]:[Kênh]]),0),0)</f>
        <v>0</v>
      </c>
      <c r="AL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4" s="48">
        <f>IFERROR(Table_Main[[#This Row],[Giá trị bán trước VAT]]*Table_Main[[#This Row],[Tỷ lệ CK kênh]],"")</f>
        <v>0</v>
      </c>
      <c r="AN74" s="230"/>
      <c r="AO74" s="232"/>
      <c r="AP74" s="226">
        <f>Table_Main[[#This Row],[ĐK - Phân loại]]*Table_Main[[#This Row],[ĐK - Thời gian]]*Table_Main[[#This Row],[ĐK - Giá trị]]*Table_Main[[#This Row],[ĐK - Số lượng]]*Table_Main[[#This Row],[ĐK - Sinh nhật]]*Table_Main[[#This Row],[ĐK - Ngày mua cuối]]</f>
        <v>1</v>
      </c>
      <c r="AQ74" s="226">
        <f xml:space="preserve">
IF(ISBLANK(Table_Main[[#This Row],[Chương trình]]),1,
IF(VLOOKUP(Table_Main[[#This Row],[Chương trình]],Table_ChuongTrinh[[Mã Chương trình]:[Đối tượng CK]],Sheet_ChuongTrinh!$C$1,0) = "Sản phẩm",1,0))</f>
        <v>1</v>
      </c>
      <c r="AR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8" ht="18" customHeight="1" x14ac:dyDescent="0.3">
      <c r="B75" s="525" t="s">
        <v>1151</v>
      </c>
      <c r="C75" s="516"/>
      <c r="D75" s="530" t="str">
        <f>IF(ISBLANK(Table_Main[[#This Row],[Mã SKU]]),Table_Main[[#This Row],[Mã Nguyên liệu]],Table_Main[[#This Row],[Mã SKU]])</f>
        <v>TP2</v>
      </c>
      <c r="E75" s="416"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16"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16"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16"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16">
        <f>IFERROR(Table_Main[[#This Row],[Giá trị tồn đầu ngày]]/Table_Main[[#This Row],[Tồn kho đầu ngày]],0)</f>
        <v>0</v>
      </c>
      <c r="J75" s="416">
        <f>IFERROR(Table_Main[[#This Row],[Giá trị tồn cuối ngày]]/Table_Main[[#This Row],[Tồn kho cuối ngày]],0)</f>
        <v>0</v>
      </c>
      <c r="K75" s="411">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1154</v>
      </c>
      <c r="P75" s="230" t="s">
        <v>1155</v>
      </c>
      <c r="Q75" s="404">
        <v>45</v>
      </c>
      <c r="R75" s="516"/>
      <c r="S75" s="530">
        <f>IFERROR(VLOOKUP(Table_Main[[#This Row],[Đơn Mua]],Table_DonMua[[Mã Đơn mua]:[Add]],COUNTA(Table_DonMua[[#Headers],[Mã Đơn mua]:[Mã Đối tác]]),0),0)</f>
        <v>0</v>
      </c>
      <c r="T75" s="405"/>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16"/>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66">
        <f>IFERROR(
VLOOKUP(Table_Main[[#This Row],[Mã SKU]],Table_SKU[[Mã SKU]:[Tỷ suất VAT]],COUNTA(Table_SKU[[#Headers],[Mã SKU]:[Tỷ suất VAT]]),0),0)</f>
        <v>0</v>
      </c>
      <c r="AG75" s="48">
        <f xml:space="preserve">
IF(Table_Main[[#This Row],[Đơn bán]]="", 0,Table_Main[[#This Row],[Tỷ suất VAT]]*Table_Main[[#This Row],[Giá trị bán trước VAT]])</f>
        <v>0</v>
      </c>
      <c r="AH75" s="51">
        <f>IFERROR(VLOOKUP(Table_Main[[#This Row],[Đơn bán]],Table_DonBan[[Mã Đơn bán]:[Add]],COUNTA(Table_DonBan[[#Headers],[Mã Đơn bán]:[Mã NV]]),0),0)</f>
        <v>0</v>
      </c>
      <c r="AI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5" s="48">
        <f>IFERROR(Table_Main[[#This Row],[Giá trị bán trước VAT]]*Table_Main[[#This Row],[Tỷ lệ hoa hồng]],"")</f>
        <v>0</v>
      </c>
      <c r="AK75" s="48">
        <f>IFERROR(VLOOKUP(Table_Main[[#This Row],[Đơn bán]],Table_DonBan[[Mã Đơn bán]:[Add]],COUNTA(Table_DonBan[[#Headers],[Mã Đơn bán]:[Kênh]]),0),0)</f>
        <v>0</v>
      </c>
      <c r="AL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5" s="48">
        <f>IFERROR(Table_Main[[#This Row],[Giá trị bán trước VAT]]*Table_Main[[#This Row],[Tỷ lệ CK kênh]],"")</f>
        <v>0</v>
      </c>
      <c r="AN75" s="230"/>
      <c r="AO75" s="232"/>
      <c r="AP75" s="226">
        <f>Table_Main[[#This Row],[ĐK - Phân loại]]*Table_Main[[#This Row],[ĐK - Thời gian]]*Table_Main[[#This Row],[ĐK - Giá trị]]*Table_Main[[#This Row],[ĐK - Số lượng]]*Table_Main[[#This Row],[ĐK - Sinh nhật]]*Table_Main[[#This Row],[ĐK - Ngày mua cuối]]</f>
        <v>1</v>
      </c>
      <c r="AQ75" s="226">
        <f xml:space="preserve">
IF(ISBLANK(Table_Main[[#This Row],[Chương trình]]),1,
IF(VLOOKUP(Table_Main[[#This Row],[Chương trình]],Table_ChuongTrinh[[Mã Chương trình]:[Đối tượng CK]],Sheet_ChuongTrinh!$C$1,0) = "Sản phẩm",1,0))</f>
        <v>1</v>
      </c>
      <c r="AR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8" ht="18" customHeight="1" x14ac:dyDescent="0.3">
      <c r="B76" s="236"/>
      <c r="C76" s="238" t="s">
        <v>1153</v>
      </c>
      <c r="D76" s="531" t="str">
        <f>IF(ISBLANK(Table_Main[[#This Row],[Mã SKU]]),Table_Main[[#This Row],[Mã Nguyên liệu]],Table_Main[[#This Row],[Mã SKU]])</f>
        <v>NL1</v>
      </c>
      <c r="E76" s="416"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16"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16"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16"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16">
        <f>IFERROR(Table_Main[[#This Row],[Giá trị tồn đầu ngày]]/Table_Main[[#This Row],[Tồn kho đầu ngày]],0)</f>
        <v>100000</v>
      </c>
      <c r="J76" s="416">
        <f>IFERROR(Table_Main[[#This Row],[Giá trị tồn cuối ngày]]/Table_Main[[#This Row],[Tồn kho cuối ngày]],0)</f>
        <v>100000</v>
      </c>
      <c r="K76" s="411">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1155</v>
      </c>
      <c r="Q76" s="404">
        <v>100</v>
      </c>
      <c r="R76" s="516"/>
      <c r="S76" s="530">
        <f>IFERROR(VLOOKUP(Table_Main[[#This Row],[Đơn Mua]],Table_DonMua[[Mã Đơn mua]:[Add]],COUNTA(Table_DonMua[[#Headers],[Mã Đơn mua]:[Mã Đối tác]]),0),0)</f>
        <v>0</v>
      </c>
      <c r="T76" s="405"/>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16"/>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66">
        <f>IFERROR(
VLOOKUP(Table_Main[[#This Row],[Mã SKU]],Table_SKU[[Mã SKU]:[Tỷ suất VAT]],COUNTA(Table_SKU[[#Headers],[Mã SKU]:[Tỷ suất VAT]]),0),0)</f>
        <v>0</v>
      </c>
      <c r="AG76" s="48">
        <f xml:space="preserve">
IF(Table_Main[[#This Row],[Đơn bán]]="", 0,Table_Main[[#This Row],[Tỷ suất VAT]]*Table_Main[[#This Row],[Giá trị bán trước VAT]])</f>
        <v>0</v>
      </c>
      <c r="AH76" s="51">
        <f>IFERROR(VLOOKUP(Table_Main[[#This Row],[Đơn bán]],Table_DonBan[[Mã Đơn bán]:[Add]],COUNTA(Table_DonBan[[#Headers],[Mã Đơn bán]:[Mã NV]]),0),0)</f>
        <v>0</v>
      </c>
      <c r="AI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6" s="48">
        <f>IFERROR(Table_Main[[#This Row],[Giá trị bán trước VAT]]*Table_Main[[#This Row],[Tỷ lệ hoa hồng]],"")</f>
        <v>0</v>
      </c>
      <c r="AK76" s="48">
        <f>IFERROR(VLOOKUP(Table_Main[[#This Row],[Đơn bán]],Table_DonBan[[Mã Đơn bán]:[Add]],COUNTA(Table_DonBan[[#Headers],[Mã Đơn bán]:[Kênh]]),0),0)</f>
        <v>0</v>
      </c>
      <c r="AL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6" s="48">
        <f>IFERROR(Table_Main[[#This Row],[Giá trị bán trước VAT]]*Table_Main[[#This Row],[Tỷ lệ CK kênh]],"")</f>
        <v>0</v>
      </c>
      <c r="AN76" s="230"/>
      <c r="AO76" s="232"/>
      <c r="AP76" s="226">
        <f>Table_Main[[#This Row],[ĐK - Phân loại]]*Table_Main[[#This Row],[ĐK - Thời gian]]*Table_Main[[#This Row],[ĐK - Giá trị]]*Table_Main[[#This Row],[ĐK - Số lượng]]*Table_Main[[#This Row],[ĐK - Sinh nhật]]*Table_Main[[#This Row],[ĐK - Ngày mua cuối]]</f>
        <v>1</v>
      </c>
      <c r="AQ76" s="226">
        <f xml:space="preserve">
IF(ISBLANK(Table_Main[[#This Row],[Chương trình]]),1,
IF(VLOOKUP(Table_Main[[#This Row],[Chương trình]],Table_ChuongTrinh[[Mã Chương trình]:[Đối tượng CK]],Sheet_ChuongTrinh!$C$1,0) = "Sản phẩm",1,0))</f>
        <v>1</v>
      </c>
      <c r="AR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8" ht="18" customHeight="1" x14ac:dyDescent="0.15">
      <c r="B77" s="236"/>
      <c r="C77" s="238" t="s">
        <v>1152</v>
      </c>
      <c r="D77" s="531" t="str">
        <f>IF(ISBLANK(Table_Main[[#This Row],[Mã SKU]]),Table_Main[[#This Row],[Mã Nguyên liệu]],Table_Main[[#This Row],[Mã SKU]])</f>
        <v>NL2</v>
      </c>
      <c r="E77" s="416"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16"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16"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16"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16">
        <f>IFERROR(Table_Main[[#This Row],[Giá trị tồn đầu ngày]]/Table_Main[[#This Row],[Tồn kho đầu ngày]],0)</f>
        <v>150000</v>
      </c>
      <c r="J77" s="416">
        <f>IFERROR(Table_Main[[#This Row],[Giá trị tồn cuối ngày]]/Table_Main[[#This Row],[Tồn kho cuối ngày]],0)</f>
        <v>150000</v>
      </c>
      <c r="K77" s="411">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44" t="str">
        <f>IF(Table_Main[[#This Row],[Ngày lên đơn]]=0,"",Table_Main[[#This Row],[Ngày xuất nhập]]-Table_Main[[#This Row],[Ngày lên đơn]])</f>
        <v/>
      </c>
      <c r="O77" s="7" t="s">
        <v>53</v>
      </c>
      <c r="P77" s="230" t="s">
        <v>1155</v>
      </c>
      <c r="Q77" s="404">
        <v>50</v>
      </c>
      <c r="R77" s="516"/>
      <c r="S77" s="530">
        <f>IFERROR(VLOOKUP(Table_Main[[#This Row],[Đơn Mua]],Table_DonMua[[Mã Đơn mua]:[Add]],COUNTA(Table_DonMua[[#Headers],[Mã Đơn mua]:[Mã Đối tác]]),0),0)</f>
        <v>0</v>
      </c>
      <c r="T77" s="405"/>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16"/>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66">
        <f>IFERROR(
VLOOKUP(Table_Main[[#This Row],[Mã SKU]],Table_SKU[[Mã SKU]:[Tỷ suất VAT]],COUNTA(Table_SKU[[#Headers],[Mã SKU]:[Tỷ suất VAT]]),0),0)</f>
        <v>0</v>
      </c>
      <c r="AG77" s="48">
        <f xml:space="preserve">
IF(Table_Main[[#This Row],[Đơn bán]]="", 0,Table_Main[[#This Row],[Tỷ suất VAT]]*Table_Main[[#This Row],[Giá trị bán trước VAT]])</f>
        <v>0</v>
      </c>
      <c r="AH77" s="51">
        <f>IFERROR(VLOOKUP(Table_Main[[#This Row],[Đơn bán]],Table_DonBan[[Mã Đơn bán]:[Add]],COUNTA(Table_DonBan[[#Headers],[Mã Đơn bán]:[Mã NV]]),0),0)</f>
        <v>0</v>
      </c>
      <c r="AI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7" s="48">
        <f>IFERROR(Table_Main[[#This Row],[Giá trị bán trước VAT]]*Table_Main[[#This Row],[Tỷ lệ hoa hồng]],"")</f>
        <v>0</v>
      </c>
      <c r="AK77" s="48">
        <f>IFERROR(VLOOKUP(Table_Main[[#This Row],[Đơn bán]],Table_DonBan[[Mã Đơn bán]:[Add]],COUNTA(Table_DonBan[[#Headers],[Mã Đơn bán]:[Kênh]]),0),0)</f>
        <v>0</v>
      </c>
      <c r="AL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7" s="48">
        <f>IFERROR(Table_Main[[#This Row],[Giá trị bán trước VAT]]*Table_Main[[#This Row],[Tỷ lệ CK kênh]],"")</f>
        <v>0</v>
      </c>
      <c r="AN77" s="230"/>
      <c r="AO77" s="232"/>
      <c r="AP77" s="226">
        <f>Table_Main[[#This Row],[ĐK - Phân loại]]*Table_Main[[#This Row],[ĐK - Thời gian]]*Table_Main[[#This Row],[ĐK - Giá trị]]*Table_Main[[#This Row],[ĐK - Số lượng]]*Table_Main[[#This Row],[ĐK - Sinh nhật]]*Table_Main[[#This Row],[ĐK - Ngày mua cuối]]</f>
        <v>1</v>
      </c>
      <c r="AQ77" s="226">
        <f xml:space="preserve">
IF(ISBLANK(Table_Main[[#This Row],[Chương trình]]),1,
IF(VLOOKUP(Table_Main[[#This Row],[Chương trình]],Table_ChuongTrinh[[Mã Chương trình]:[Đối tượng CK]],Sheet_ChuongTrinh!$C$1,0) = "Sản phẩm",1,0))</f>
        <v>1</v>
      </c>
      <c r="AR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8" ht="18" customHeight="1" x14ac:dyDescent="0.3">
      <c r="B78" s="525" t="s">
        <v>1149</v>
      </c>
      <c r="C78" s="516"/>
      <c r="D78" s="530" t="str">
        <f>IF(ISBLANK(Table_Main[[#This Row],[Mã SKU]]),Table_Main[[#This Row],[Mã Nguyên liệu]],Table_Main[[#This Row],[Mã SKU]])</f>
        <v>HH1</v>
      </c>
      <c r="E78" s="416"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16"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16"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16"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16">
        <f>IFERROR(Table_Main[[#This Row],[Giá trị tồn đầu ngày]]/Table_Main[[#This Row],[Tồn kho đầu ngày]],0)</f>
        <v>0</v>
      </c>
      <c r="J78" s="416">
        <f>IFERROR(Table_Main[[#This Row],[Giá trị tồn cuối ngày]]/Table_Main[[#This Row],[Tồn kho cuối ngày]],0)</f>
        <v>80000</v>
      </c>
      <c r="K78" s="411">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1154</v>
      </c>
      <c r="P78" s="230" t="s">
        <v>1155</v>
      </c>
      <c r="Q78" s="404">
        <v>150</v>
      </c>
      <c r="R78" s="516" t="s">
        <v>1162</v>
      </c>
      <c r="S78" s="530" t="str">
        <f>IFERROR(VLOOKUP(Table_Main[[#This Row],[Đơn Mua]],Table_DonMua[[Mã Đơn mua]:[Add]],COUNTA(Table_DonMua[[#Headers],[Mã Đơn mua]:[Mã Đối tác]]),0),0)</f>
        <v>NCC1</v>
      </c>
      <c r="T78" s="405">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16"/>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66">
        <f>IFERROR(
VLOOKUP(Table_Main[[#This Row],[Mã SKU]],Table_SKU[[Mã SKU]:[Tỷ suất VAT]],COUNTA(Table_SKU[[#Headers],[Mã SKU]:[Tỷ suất VAT]]),0),0)</f>
        <v>0</v>
      </c>
      <c r="AG78" s="48">
        <f xml:space="preserve">
IF(Table_Main[[#This Row],[Đơn bán]]="", 0,Table_Main[[#This Row],[Tỷ suất VAT]]*Table_Main[[#This Row],[Giá trị bán trước VAT]])</f>
        <v>0</v>
      </c>
      <c r="AH78" s="51">
        <f>IFERROR(VLOOKUP(Table_Main[[#This Row],[Đơn bán]],Table_DonBan[[Mã Đơn bán]:[Add]],COUNTA(Table_DonBan[[#Headers],[Mã Đơn bán]:[Mã NV]]),0),0)</f>
        <v>0</v>
      </c>
      <c r="AI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8" s="48">
        <f>IFERROR(Table_Main[[#This Row],[Giá trị bán trước VAT]]*Table_Main[[#This Row],[Tỷ lệ hoa hồng]],"")</f>
        <v>0</v>
      </c>
      <c r="AK78" s="48">
        <f>IFERROR(VLOOKUP(Table_Main[[#This Row],[Đơn bán]],Table_DonBan[[Mã Đơn bán]:[Add]],COUNTA(Table_DonBan[[#Headers],[Mã Đơn bán]:[Kênh]]),0),0)</f>
        <v>0</v>
      </c>
      <c r="AL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8" s="48">
        <f>IFERROR(Table_Main[[#This Row],[Giá trị bán trước VAT]]*Table_Main[[#This Row],[Tỷ lệ CK kênh]],"")</f>
        <v>0</v>
      </c>
      <c r="AN78" s="230"/>
      <c r="AO78" s="232"/>
      <c r="AP78" s="226">
        <f>Table_Main[[#This Row],[ĐK - Phân loại]]*Table_Main[[#This Row],[ĐK - Thời gian]]*Table_Main[[#This Row],[ĐK - Giá trị]]*Table_Main[[#This Row],[ĐK - Số lượng]]*Table_Main[[#This Row],[ĐK - Sinh nhật]]*Table_Main[[#This Row],[ĐK - Ngày mua cuối]]</f>
        <v>1</v>
      </c>
      <c r="AQ78" s="226">
        <f xml:space="preserve">
IF(ISBLANK(Table_Main[[#This Row],[Chương trình]]),1,
IF(VLOOKUP(Table_Main[[#This Row],[Chương trình]],Table_ChuongTrinh[[Mã Chương trình]:[Đối tượng CK]],Sheet_ChuongTrinh!$C$1,0) = "Sản phẩm",1,0))</f>
        <v>1</v>
      </c>
      <c r="AR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8" ht="18" customHeight="1" x14ac:dyDescent="0.3">
      <c r="B79" s="236"/>
      <c r="C79" s="238" t="s">
        <v>1152</v>
      </c>
      <c r="D79" s="531" t="str">
        <f>IF(ISBLANK(Table_Main[[#This Row],[Mã SKU]]),Table_Main[[#This Row],[Mã Nguyên liệu]],Table_Main[[#This Row],[Mã SKU]])</f>
        <v>NL2</v>
      </c>
      <c r="E79" s="416"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16"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16"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16"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16">
        <f>IFERROR(Table_Main[[#This Row],[Giá trị tồn đầu ngày]]/Table_Main[[#This Row],[Tồn kho đầu ngày]],0)</f>
        <v>0</v>
      </c>
      <c r="J79" s="416">
        <f>IFERROR(Table_Main[[#This Row],[Giá trị tồn cuối ngày]]/Table_Main[[#This Row],[Tồn kho cuối ngày]],0)</f>
        <v>150000</v>
      </c>
      <c r="K79" s="411">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1154</v>
      </c>
      <c r="P79" s="230" t="s">
        <v>1155</v>
      </c>
      <c r="Q79" s="404">
        <v>200</v>
      </c>
      <c r="R79" s="516" t="s">
        <v>1162</v>
      </c>
      <c r="S79" s="530" t="str">
        <f>IFERROR(VLOOKUP(Table_Main[[#This Row],[Đơn Mua]],Table_DonMua[[Mã Đơn mua]:[Add]],COUNTA(Table_DonMua[[#Headers],[Mã Đơn mua]:[Mã Đối tác]]),0),0)</f>
        <v>NCC1</v>
      </c>
      <c r="T79" s="405">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16"/>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66">
        <f>IFERROR(
VLOOKUP(Table_Main[[#This Row],[Mã SKU]],Table_SKU[[Mã SKU]:[Tỷ suất VAT]],COUNTA(Table_SKU[[#Headers],[Mã SKU]:[Tỷ suất VAT]]),0),0)</f>
        <v>0</v>
      </c>
      <c r="AG79" s="48">
        <f xml:space="preserve">
IF(Table_Main[[#This Row],[Đơn bán]]="", 0,Table_Main[[#This Row],[Tỷ suất VAT]]*Table_Main[[#This Row],[Giá trị bán trước VAT]])</f>
        <v>0</v>
      </c>
      <c r="AH79" s="51">
        <f>IFERROR(VLOOKUP(Table_Main[[#This Row],[Đơn bán]],Table_DonBan[[Mã Đơn bán]:[Add]],COUNTA(Table_DonBan[[#Headers],[Mã Đơn bán]:[Mã NV]]),0),0)</f>
        <v>0</v>
      </c>
      <c r="AI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79" s="48">
        <f>IFERROR(Table_Main[[#This Row],[Giá trị bán trước VAT]]*Table_Main[[#This Row],[Tỷ lệ hoa hồng]],"")</f>
        <v>0</v>
      </c>
      <c r="AK79" s="48">
        <f>IFERROR(VLOOKUP(Table_Main[[#This Row],[Đơn bán]],Table_DonBan[[Mã Đơn bán]:[Add]],COUNTA(Table_DonBan[[#Headers],[Mã Đơn bán]:[Kênh]]),0),0)</f>
        <v>0</v>
      </c>
      <c r="AL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79" s="48">
        <f>IFERROR(Table_Main[[#This Row],[Giá trị bán trước VAT]]*Table_Main[[#This Row],[Tỷ lệ CK kênh]],"")</f>
        <v>0</v>
      </c>
      <c r="AN79" s="230"/>
      <c r="AO79" s="232"/>
      <c r="AP79" s="226">
        <f>Table_Main[[#This Row],[ĐK - Phân loại]]*Table_Main[[#This Row],[ĐK - Thời gian]]*Table_Main[[#This Row],[ĐK - Giá trị]]*Table_Main[[#This Row],[ĐK - Số lượng]]*Table_Main[[#This Row],[ĐK - Sinh nhật]]*Table_Main[[#This Row],[ĐK - Ngày mua cuối]]</f>
        <v>1</v>
      </c>
      <c r="AQ79" s="226">
        <f xml:space="preserve">
IF(ISBLANK(Table_Main[[#This Row],[Chương trình]]),1,
IF(VLOOKUP(Table_Main[[#This Row],[Chương trình]],Table_ChuongTrinh[[Mã Chương trình]:[Đối tượng CK]],Sheet_ChuongTrinh!$C$1,0) = "Sản phẩm",1,0))</f>
        <v>1</v>
      </c>
      <c r="AR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8" ht="18" customHeight="1" x14ac:dyDescent="0.15">
      <c r="B80" s="236"/>
      <c r="C80" s="238" t="s">
        <v>1153</v>
      </c>
      <c r="D80" s="531" t="str">
        <f>IF(ISBLANK(Table_Main[[#This Row],[Mã SKU]]),Table_Main[[#This Row],[Mã Nguyên liệu]],Table_Main[[#This Row],[Mã SKU]])</f>
        <v>NL1</v>
      </c>
      <c r="E80" s="416"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16"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16"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16"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16">
        <f>IFERROR(Table_Main[[#This Row],[Giá trị tồn đầu ngày]]/Table_Main[[#This Row],[Tồn kho đầu ngày]],0)</f>
        <v>0</v>
      </c>
      <c r="J80" s="416">
        <f>IFERROR(Table_Main[[#This Row],[Giá trị tồn cuối ngày]]/Table_Main[[#This Row],[Tồn kho cuối ngày]],0)</f>
        <v>100000</v>
      </c>
      <c r="K80" s="411">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44">
        <f>IF(Table_Main[[#This Row],[Ngày lên đơn]]=0,"",Table_Main[[#This Row],[Ngày xuất nhập]]-Table_Main[[#This Row],[Ngày lên đơn]])</f>
        <v>2</v>
      </c>
      <c r="O80" s="7" t="s">
        <v>1154</v>
      </c>
      <c r="P80" s="230" t="s">
        <v>1155</v>
      </c>
      <c r="Q80" s="404">
        <v>300</v>
      </c>
      <c r="R80" s="516" t="s">
        <v>1161</v>
      </c>
      <c r="S80" s="530" t="str">
        <f>IFERROR(VLOOKUP(Table_Main[[#This Row],[Đơn Mua]],Table_DonMua[[Mã Đơn mua]:[Add]],COUNTA(Table_DonMua[[#Headers],[Mã Đơn mua]:[Mã Đối tác]]),0),0)</f>
        <v>NCC2</v>
      </c>
      <c r="T80" s="405">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16"/>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66">
        <f>IFERROR(
VLOOKUP(Table_Main[[#This Row],[Mã SKU]],Table_SKU[[Mã SKU]:[Tỷ suất VAT]],COUNTA(Table_SKU[[#Headers],[Mã SKU]:[Tỷ suất VAT]]),0),0)</f>
        <v>0</v>
      </c>
      <c r="AG80" s="48">
        <f xml:space="preserve">
IF(Table_Main[[#This Row],[Đơn bán]]="", 0,Table_Main[[#This Row],[Tỷ suất VAT]]*Table_Main[[#This Row],[Giá trị bán trước VAT]])</f>
        <v>0</v>
      </c>
      <c r="AH80" s="51">
        <f>IFERROR(VLOOKUP(Table_Main[[#This Row],[Đơn bán]],Table_DonBan[[Mã Đơn bán]:[Add]],COUNTA(Table_DonBan[[#Headers],[Mã Đơn bán]:[Mã NV]]),0),0)</f>
        <v>0</v>
      </c>
      <c r="AI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0" s="48">
        <f>IFERROR(Table_Main[[#This Row],[Giá trị bán trước VAT]]*Table_Main[[#This Row],[Tỷ lệ hoa hồng]],"")</f>
        <v>0</v>
      </c>
      <c r="AK80" s="48">
        <f>IFERROR(VLOOKUP(Table_Main[[#This Row],[Đơn bán]],Table_DonBan[[Mã Đơn bán]:[Add]],COUNTA(Table_DonBan[[#Headers],[Mã Đơn bán]:[Kênh]]),0),0)</f>
        <v>0</v>
      </c>
      <c r="AL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0" s="48">
        <f>IFERROR(Table_Main[[#This Row],[Giá trị bán trước VAT]]*Table_Main[[#This Row],[Tỷ lệ CK kênh]],"")</f>
        <v>0</v>
      </c>
      <c r="AN80" s="230"/>
      <c r="AO80" s="232"/>
      <c r="AP80" s="226">
        <f>Table_Main[[#This Row],[ĐK - Phân loại]]*Table_Main[[#This Row],[ĐK - Thời gian]]*Table_Main[[#This Row],[ĐK - Giá trị]]*Table_Main[[#This Row],[ĐK - Số lượng]]*Table_Main[[#This Row],[ĐK - Sinh nhật]]*Table_Main[[#This Row],[ĐK - Ngày mua cuối]]</f>
        <v>1</v>
      </c>
      <c r="AQ80" s="226">
        <f xml:space="preserve">
IF(ISBLANK(Table_Main[[#This Row],[Chương trình]]),1,
IF(VLOOKUP(Table_Main[[#This Row],[Chương trình]],Table_ChuongTrinh[[Mã Chương trình]:[Đối tượng CK]],Sheet_ChuongTrinh!$C$1,0) = "Sản phẩm",1,0))</f>
        <v>1</v>
      </c>
      <c r="AR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8" ht="18" customHeight="1" x14ac:dyDescent="0.15">
      <c r="B81" s="21"/>
      <c r="C81" s="239"/>
      <c r="D81" s="533">
        <f>IF(ISBLANK(Table_Main[[#This Row],[Mã SKU]]),Table_Main[[#This Row],[Mã Nguyên liệu]],Table_Main[[#This Row],[Mã SKU]])</f>
        <v>0</v>
      </c>
      <c r="E81" s="416"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16"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16"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16"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16">
        <f>IFERROR(Table_Main[[#This Row],[Giá trị tồn đầu ngày]]/Table_Main[[#This Row],[Tồn kho đầu ngày]],0)</f>
        <v>0</v>
      </c>
      <c r="J81" s="416">
        <f>IFERROR(Table_Main[[#This Row],[Giá trị tồn cuối ngày]]/Table_Main[[#This Row],[Tồn kho cuối ngày]],0)</f>
        <v>0</v>
      </c>
      <c r="K81" s="411"/>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44" t="str">
        <f>IF(Table_Main[[#This Row],[Ngày lên đơn]]=0,"",Table_Main[[#This Row],[Ngày xuất nhập]]-Table_Main[[#This Row],[Ngày lên đơn]])</f>
        <v/>
      </c>
      <c r="O81" s="7"/>
      <c r="P81" s="230"/>
      <c r="Q81" s="417"/>
      <c r="R81" s="7"/>
      <c r="S81" s="28">
        <f>IFERROR(VLOOKUP(Table_Main[[#This Row],[Đơn Mua]],Table_DonMua[[Mã Đơn mua]:[Add]],COUNTA(Table_DonMua[[#Headers],[Mã Đơn mua]:[Mã Đối tác]]),0),0)</f>
        <v>0</v>
      </c>
      <c r="T81" s="418"/>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64">
        <f>IFERROR(
VLOOKUP(Table_Main[[#This Row],[Mã SKU]],Table_SKU[[Mã SKU]:[Tỷ suất VAT]],COUNTA(Table_SKU[[#Headers],[Mã SKU]:[Tỷ suất VAT]]),0),0)</f>
        <v>0</v>
      </c>
      <c r="AG81" s="48">
        <f xml:space="preserve">
IF(Table_Main[[#This Row],[Đơn bán]]="", 0,Table_Main[[#This Row],[Tỷ suất VAT]]*Table_Main[[#This Row],[Giá trị bán trước VAT]])</f>
        <v>0</v>
      </c>
      <c r="AH81" s="226">
        <f>IFERROR(VLOOKUP(Table_Main[[#This Row],[Đơn bán]],Table_DonBan[[Mã Đơn bán]:[Add]],COUNTA(Table_DonBan[[#Headers],[Mã Đơn bán]:[Mã NV]]),0),0)</f>
        <v>0</v>
      </c>
      <c r="AI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J81" s="48">
        <f>IFERROR(Table_Main[[#This Row],[Giá trị bán trước VAT]]*Table_Main[[#This Row],[Tỷ lệ hoa hồng]],"")</f>
        <v>0</v>
      </c>
      <c r="AK81" s="48">
        <f>IFERROR(VLOOKUP(Table_Main[[#This Row],[Đơn bán]],Table_DonBan[[Mã Đơn bán]:[Add]],COUNTA(Table_DonBan[[#Headers],[Mã Đơn bán]:[Kênh]]),0),0)</f>
        <v>0</v>
      </c>
      <c r="AL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M81" s="48">
        <f>IFERROR(Table_Main[[#This Row],[Giá trị bán trước VAT]]*Table_Main[[#This Row],[Tỷ lệ CK kênh]],"")</f>
        <v>0</v>
      </c>
      <c r="AN81" s="218"/>
      <c r="AO81" s="232"/>
      <c r="AP81" s="377">
        <f>Table_Main[[#This Row],[ĐK - Phân loại]]*Table_Main[[#This Row],[ĐK - Thời gian]]*Table_Main[[#This Row],[ĐK - Giá trị]]*Table_Main[[#This Row],[ĐK - Số lượng]]*Table_Main[[#This Row],[ĐK - Sinh nhật]]*Table_Main[[#This Row],[ĐK - Ngày mua cuối]]</f>
        <v>1</v>
      </c>
      <c r="AQ81" s="377">
        <f xml:space="preserve">
IF(ISBLANK(Table_Main[[#This Row],[Chương trình]]),1,
IF(VLOOKUP(Table_Main[[#This Row],[Chương trình]],Table_ChuongTrinh[[Mã Chương trình]:[Đối tượng CK]],Sheet_ChuongTrinh!$C$1,0) = "Sản phẩm",1,0))</f>
        <v>1</v>
      </c>
      <c r="AR81" s="377">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S81" s="377">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T81" s="377">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U81" s="377">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V81" s="377">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zoLfQOz3/ifaMrX5URWrHvJ2x1+xTHvlaEUHHOAOWstJYDaxxzLAYqxcwHplUPxLhUYJeI3F+mU+3f6hvo5FJg==" saltValue="QlusTE4iDMQu4dmA0G7YHw==" spinCount="100000" sheet="1" scenarios="1" formatCells="0" formatColumns="0" formatRows="0" insertColumns="0" insertRows="0" deleteColumns="0" deleteRows="0" sort="0" autoFilter="0" pivotTables="0"/>
  <protectedRanges>
    <protectedRange sqref="A1:A2 E82:E1047769 AP82:AP1048576 B82:B1047769 A4:A1048490 AE82:AG1047769 BU6:XFD1048490 BM6:BN1048490 AU82:AU1048576 BF6:BK1048490 I82:J1047769 G82:G1047769 C81:J81 R81:S81 C3:XFD3 AJ82:AO1047769 U81:AV81 P82:Q1047769 AU4:XFD5 AU6:AV80 W4:AJ80 AN4:AO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K4:AM80" name="Range1_6"/>
    <protectedRange sqref="AP4:AT80" name="Range1_9"/>
    <protectedRange sqref="E4:J80" name="Range1_10"/>
  </protectedRanges>
  <phoneticPr fontId="14" type="noConversion"/>
  <conditionalFormatting sqref="AB3">
    <cfRule type="expression" dxfId="512" priority="3">
      <formula>$AP$3=0</formula>
    </cfRule>
  </conditionalFormatting>
  <conditionalFormatting sqref="AB5:AB81">
    <cfRule type="expression" dxfId="511" priority="593">
      <formula>$AP$81=0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N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N5:AN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40</xdr:col>
                    <xdr:colOff>28575</xdr:colOff>
                    <xdr:row>1</xdr:row>
                    <xdr:rowOff>200025</xdr:rowOff>
                  </from>
                  <to>
                    <xdr:col>48</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39</xdr:col>
                    <xdr:colOff>38100</xdr:colOff>
                    <xdr:row>0</xdr:row>
                    <xdr:rowOff>104775</xdr:rowOff>
                  </from>
                  <to>
                    <xdr:col>39</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39</xdr:col>
                    <xdr:colOff>590550</xdr:colOff>
                    <xdr:row>0</xdr:row>
                    <xdr:rowOff>104775</xdr:rowOff>
                  </from>
                  <to>
                    <xdr:col>39</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AU4:XFD4 A4:C4 A5:A1048576 C5:D53 L5:N80 R5:S80 U5:AE80 Q81:AE81 P5:P81 K4:AE4 A1:AE3 B82:AE1048576 B81:O81 AG1:XFD3 AG4:AO4 AG5:XFD1048576 AF1:AF1048576</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AP4:AT4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topLeftCell="K42" workbookViewId="0">
      <selection activeCell="P75" sqref="P75"/>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7"/>
      <c r="B1" s="56" t="str">
        <f>EULA!$B11</f>
        <v>Công ty ABC XYZ</v>
      </c>
      <c r="C1" s="280"/>
      <c r="D1" s="280"/>
      <c r="E1" s="280"/>
      <c r="F1" s="280"/>
      <c r="G1" s="280"/>
      <c r="H1" s="57" t="s">
        <v>692</v>
      </c>
      <c r="I1" s="247"/>
      <c r="J1" s="247"/>
      <c r="K1" s="273"/>
      <c r="L1" s="247"/>
      <c r="M1" s="247"/>
      <c r="N1" s="247"/>
      <c r="O1" s="247"/>
      <c r="P1" s="247"/>
      <c r="Q1" s="247"/>
      <c r="R1" s="247"/>
      <c r="S1" s="247"/>
      <c r="T1" s="247"/>
      <c r="U1" s="247"/>
      <c r="V1" s="247"/>
      <c r="W1" s="247"/>
      <c r="X1" s="247"/>
      <c r="Y1" s="247"/>
      <c r="Z1" s="247"/>
      <c r="AA1" s="247"/>
    </row>
    <row r="2" spans="1:27" ht="18" hidden="1" customHeight="1" outlineLevel="2" x14ac:dyDescent="0.3">
      <c r="A2" s="240"/>
      <c r="B2" s="274"/>
      <c r="C2" s="1" t="s">
        <v>693</v>
      </c>
      <c r="D2" s="274"/>
      <c r="E2" s="274"/>
      <c r="F2" s="274"/>
      <c r="G2" s="274"/>
      <c r="H2" s="274"/>
      <c r="I2" s="240"/>
      <c r="J2" s="240"/>
      <c r="K2" s="273"/>
      <c r="L2" s="240"/>
      <c r="M2" s="240"/>
      <c r="N2" s="240"/>
      <c r="O2" s="240"/>
      <c r="P2" s="240"/>
      <c r="Q2" s="240"/>
      <c r="R2" s="240"/>
      <c r="S2" s="240"/>
      <c r="T2" s="240"/>
      <c r="U2" s="240"/>
      <c r="V2" s="240"/>
      <c r="W2" s="240"/>
      <c r="X2" s="240"/>
      <c r="Y2" s="241"/>
      <c r="Z2" s="241"/>
      <c r="AA2" s="240"/>
    </row>
    <row r="3" spans="1:27" ht="18" hidden="1" customHeight="1" outlineLevel="2" x14ac:dyDescent="0.3">
      <c r="A3" s="240"/>
      <c r="B3" s="274"/>
      <c r="C3" s="281"/>
      <c r="D3" s="274"/>
      <c r="E3" s="274"/>
      <c r="F3" s="274"/>
      <c r="G3" s="274"/>
      <c r="H3" s="274"/>
      <c r="I3" s="240"/>
      <c r="J3" s="240"/>
      <c r="K3" s="273"/>
      <c r="L3" s="240"/>
      <c r="M3" s="240"/>
      <c r="N3" s="240"/>
      <c r="O3" s="240"/>
      <c r="P3" s="240"/>
      <c r="Q3" s="240"/>
      <c r="R3" s="240"/>
      <c r="S3" s="240"/>
      <c r="T3" s="240"/>
      <c r="U3" s="240"/>
      <c r="V3" s="240"/>
      <c r="W3" s="240"/>
      <c r="X3" s="240"/>
      <c r="Y3" s="241"/>
      <c r="Z3" s="241"/>
      <c r="AA3" s="240"/>
    </row>
    <row r="4" spans="1:27" ht="18" hidden="1" customHeight="1" outlineLevel="1" collapsed="1" x14ac:dyDescent="0.3">
      <c r="A4" s="240"/>
      <c r="B4" s="564" t="str">
        <f>EULA!$B14</f>
        <v>[Địa chỉ]</v>
      </c>
      <c r="C4" s="564" t="str">
        <f>EULA!$B14</f>
        <v>[Địa chỉ]</v>
      </c>
      <c r="D4" s="565"/>
      <c r="E4" s="564" t="str">
        <f>EULA!$B14</f>
        <v>[Địa chỉ]</v>
      </c>
      <c r="F4" s="185" t="s">
        <v>694</v>
      </c>
      <c r="G4" s="566" t="str">
        <f>CONCATENATE("NHAP-",C3,"-",MOD(YEAR(G5),100)*10000+MONTH(G5)*100+DAY(G5),"-",I4)</f>
        <v>NHAP--100-1</v>
      </c>
      <c r="H4" s="567"/>
      <c r="I4" s="282">
        <v>1</v>
      </c>
      <c r="K4" s="273"/>
      <c r="L4" s="240"/>
      <c r="M4" s="240"/>
      <c r="N4" s="240"/>
      <c r="O4" s="240"/>
      <c r="P4" s="240"/>
      <c r="Q4" s="240"/>
      <c r="R4" s="240"/>
      <c r="S4" s="240"/>
      <c r="T4" s="240"/>
      <c r="U4" s="240"/>
      <c r="V4" s="240"/>
      <c r="W4" s="240"/>
      <c r="X4" s="240"/>
      <c r="Y4" s="241"/>
      <c r="Z4" s="240"/>
      <c r="AA4" s="240"/>
    </row>
    <row r="5" spans="1:27" ht="18" hidden="1" customHeight="1" outlineLevel="1" x14ac:dyDescent="0.3">
      <c r="A5" s="240"/>
      <c r="B5" s="564" t="str">
        <f>EULA!$B15</f>
        <v>[Mã số thuế]</v>
      </c>
      <c r="C5" s="564" t="str">
        <f>EULA!$B15</f>
        <v>[Mã số thuế]</v>
      </c>
      <c r="D5" s="565"/>
      <c r="E5" s="564" t="str">
        <f>EULA!$B15</f>
        <v>[Mã số thuế]</v>
      </c>
      <c r="F5" s="1" t="s">
        <v>695</v>
      </c>
      <c r="G5" s="568"/>
      <c r="H5" s="569"/>
      <c r="I5" s="240"/>
      <c r="J5" s="240"/>
      <c r="K5" s="273"/>
      <c r="L5" s="240"/>
      <c r="M5" s="240"/>
      <c r="N5" s="240"/>
      <c r="O5" s="240"/>
      <c r="P5" s="240"/>
      <c r="Q5" s="240"/>
      <c r="R5" s="240"/>
      <c r="S5" s="240"/>
      <c r="T5" s="240"/>
      <c r="U5" s="240"/>
      <c r="V5" s="240"/>
      <c r="W5" s="240"/>
      <c r="X5" s="240"/>
      <c r="Y5" s="241"/>
      <c r="Z5" s="240"/>
      <c r="AA5" s="240"/>
    </row>
    <row r="6" spans="1:27" ht="18" hidden="1" customHeight="1" outlineLevel="1" x14ac:dyDescent="0.3">
      <c r="A6" s="240"/>
      <c r="B6" s="564" t="str">
        <f>EULA!$B16</f>
        <v>[SĐT - Fax]</v>
      </c>
      <c r="C6" s="564" t="str">
        <f>EULA!$B16</f>
        <v>[SĐT - Fax]</v>
      </c>
      <c r="D6" s="565"/>
      <c r="E6" s="564" t="str">
        <f>EULA!$B16</f>
        <v>[SĐT - Fax]</v>
      </c>
      <c r="F6" s="185" t="s">
        <v>551</v>
      </c>
      <c r="G6" s="570" t="str">
        <f>IFERROR(VLOOKUP($C$3,Table_NhaCungCap[[Mã Đối tác]:[Tên Đối tác]],Sheet_DoiTac!$C$1,0),"")</f>
        <v/>
      </c>
      <c r="H6" s="571"/>
      <c r="I6" s="240"/>
      <c r="J6" s="240"/>
      <c r="K6" s="273"/>
      <c r="L6" s="240"/>
      <c r="M6" s="240"/>
      <c r="N6" s="240"/>
      <c r="O6" s="240"/>
      <c r="P6" s="240"/>
      <c r="Q6" s="240"/>
      <c r="R6" s="240"/>
      <c r="S6" s="240"/>
      <c r="T6" s="240"/>
      <c r="U6" s="240"/>
      <c r="V6" s="240"/>
      <c r="W6" s="240"/>
      <c r="X6" s="240"/>
      <c r="Y6" s="241"/>
      <c r="Z6" s="240"/>
      <c r="AA6" s="240"/>
    </row>
    <row r="7" spans="1:27" ht="18" hidden="1" customHeight="1" outlineLevel="1" x14ac:dyDescent="0.3">
      <c r="A7" s="240"/>
      <c r="B7" s="185" t="str">
        <f>EULA!$B18</f>
        <v>[STK - Ngân hàng]</v>
      </c>
      <c r="C7" s="274"/>
      <c r="D7" s="274"/>
      <c r="E7" s="274"/>
      <c r="F7" s="185" t="s">
        <v>696</v>
      </c>
      <c r="G7" s="572"/>
      <c r="H7" s="571"/>
      <c r="I7" s="240"/>
      <c r="J7" s="240"/>
      <c r="K7" s="273"/>
      <c r="L7" s="240"/>
      <c r="M7" s="240"/>
      <c r="N7" s="240"/>
      <c r="O7" s="240"/>
      <c r="P7" s="240"/>
      <c r="Q7" s="240"/>
      <c r="R7" s="240"/>
      <c r="S7" s="240"/>
      <c r="T7" s="240"/>
      <c r="U7" s="240"/>
      <c r="V7" s="240"/>
      <c r="W7" s="240"/>
      <c r="X7" s="240"/>
      <c r="Y7" s="241"/>
      <c r="Z7" s="241"/>
      <c r="AA7" s="240"/>
    </row>
    <row r="8" spans="1:27" ht="18" hidden="1" customHeight="1" outlineLevel="1" x14ac:dyDescent="0.3">
      <c r="A8" s="240"/>
      <c r="B8" s="274"/>
      <c r="C8" s="274"/>
      <c r="D8" s="274"/>
      <c r="E8" s="274"/>
      <c r="F8" s="185" t="s">
        <v>697</v>
      </c>
      <c r="G8" s="572"/>
      <c r="H8" s="571"/>
      <c r="I8" s="240"/>
      <c r="J8" s="240"/>
      <c r="K8" s="273"/>
      <c r="L8" s="240"/>
      <c r="M8" s="240"/>
      <c r="N8" s="240"/>
      <c r="O8" s="240"/>
      <c r="P8" s="240"/>
      <c r="Q8" s="240"/>
      <c r="R8" s="240"/>
      <c r="S8" s="240"/>
      <c r="T8" s="240"/>
      <c r="U8" s="240"/>
      <c r="V8" s="240"/>
      <c r="W8" s="240"/>
      <c r="X8" s="240"/>
      <c r="Y8" s="241"/>
      <c r="Z8" s="241"/>
      <c r="AA8" s="240"/>
    </row>
    <row r="9" spans="1:27" ht="18" hidden="1" customHeight="1" outlineLevel="1" x14ac:dyDescent="0.3">
      <c r="A9" s="240"/>
      <c r="B9" s="274"/>
      <c r="C9" s="274"/>
      <c r="D9" s="274"/>
      <c r="E9" s="274"/>
      <c r="F9" s="274"/>
      <c r="G9" s="274"/>
      <c r="H9" s="274"/>
      <c r="I9" s="240"/>
      <c r="J9" s="240"/>
      <c r="K9" s="273"/>
      <c r="L9" s="240"/>
      <c r="M9" s="240"/>
      <c r="N9" s="240"/>
      <c r="O9" s="240"/>
      <c r="P9" s="240"/>
      <c r="Q9" s="240"/>
      <c r="R9" s="240"/>
      <c r="S9" s="240"/>
      <c r="T9" s="240"/>
      <c r="U9" s="240"/>
      <c r="V9" s="240"/>
      <c r="W9" s="240"/>
      <c r="X9" s="240"/>
      <c r="Y9" s="241"/>
      <c r="Z9" s="241"/>
      <c r="AA9" s="240"/>
    </row>
    <row r="10" spans="1:27" ht="18" hidden="1" customHeight="1" outlineLevel="1" x14ac:dyDescent="0.3">
      <c r="A10" s="240"/>
      <c r="B10" s="274"/>
      <c r="C10" s="274"/>
      <c r="D10" s="274"/>
      <c r="E10" s="274"/>
      <c r="F10" s="274"/>
      <c r="G10" s="274"/>
      <c r="H10" s="274"/>
      <c r="I10" s="240"/>
      <c r="J10" s="240"/>
      <c r="K10" s="273"/>
      <c r="L10" s="240"/>
      <c r="M10" s="240"/>
      <c r="N10" s="240"/>
      <c r="O10" s="240"/>
      <c r="P10" s="240"/>
      <c r="Q10" s="240"/>
      <c r="R10" s="240"/>
      <c r="S10" s="240"/>
      <c r="T10" s="240"/>
      <c r="U10" s="240"/>
      <c r="V10" s="240"/>
      <c r="W10" s="240"/>
      <c r="X10" s="240"/>
      <c r="Y10" s="241"/>
      <c r="Z10" s="241"/>
      <c r="AA10" s="240"/>
    </row>
    <row r="11" spans="1:27" ht="18" hidden="1" customHeight="1" outlineLevel="1" x14ac:dyDescent="0.3">
      <c r="A11" s="240"/>
      <c r="B11" s="58" t="s">
        <v>698</v>
      </c>
      <c r="C11" s="283"/>
      <c r="D11" s="283"/>
      <c r="E11" s="283"/>
      <c r="F11" s="274"/>
      <c r="G11" s="274"/>
      <c r="H11" s="274"/>
      <c r="I11" s="240"/>
      <c r="J11" s="240"/>
      <c r="K11" s="273"/>
      <c r="L11" s="240"/>
      <c r="M11" s="240"/>
      <c r="N11" s="240"/>
      <c r="O11" s="240"/>
      <c r="P11" s="240"/>
      <c r="Q11" s="240"/>
      <c r="R11" s="240"/>
      <c r="S11" s="240"/>
      <c r="T11" s="240"/>
      <c r="U11" s="240"/>
      <c r="V11" s="240"/>
      <c r="W11" s="240"/>
      <c r="X11" s="240"/>
      <c r="Y11" s="241"/>
      <c r="Z11" s="241"/>
      <c r="AA11" s="240"/>
    </row>
    <row r="12" spans="1:27" ht="18" hidden="1" customHeight="1" outlineLevel="2" x14ac:dyDescent="0.3">
      <c r="A12" s="240"/>
      <c r="B12" s="1" t="s">
        <v>699</v>
      </c>
      <c r="C12" s="274"/>
      <c r="D12" s="274"/>
      <c r="E12" s="274"/>
      <c r="F12" s="564" t="str">
        <f>IFERROR(VLOOKUP($G$7,Table_Kho[[#All],[Mã Kho]:[Tên Kho]],Sheet_Kho!$C$2,0),"")</f>
        <v/>
      </c>
      <c r="G12" s="565"/>
      <c r="H12" s="565"/>
      <c r="I12" s="565"/>
      <c r="J12" s="565"/>
      <c r="K12" s="273"/>
      <c r="L12" s="240"/>
      <c r="M12" s="240"/>
      <c r="N12" s="240"/>
      <c r="O12" s="240"/>
      <c r="P12" s="240"/>
      <c r="Q12" s="240"/>
      <c r="R12" s="240"/>
      <c r="S12" s="240"/>
      <c r="T12" s="240"/>
      <c r="U12" s="240"/>
      <c r="V12" s="240"/>
      <c r="W12" s="240"/>
      <c r="X12" s="240"/>
      <c r="Y12" s="241"/>
      <c r="Z12" s="241"/>
      <c r="AA12" s="240"/>
    </row>
    <row r="13" spans="1:27" ht="18" hidden="1" customHeight="1" outlineLevel="2" x14ac:dyDescent="0.3">
      <c r="A13" s="240"/>
      <c r="B13" s="1" t="s">
        <v>700</v>
      </c>
      <c r="C13" s="274"/>
      <c r="D13" s="274"/>
      <c r="E13" s="274"/>
      <c r="F13" s="564" t="str">
        <f>IFERROR(VLOOKUP($G$7,Table_Kho[[#All],[Mã Kho]:[Địa điểm]],Sheet_Kho!$E$2,0),"")</f>
        <v/>
      </c>
      <c r="G13" s="565"/>
      <c r="H13" s="565"/>
      <c r="I13" s="565"/>
      <c r="J13" s="565"/>
      <c r="K13" s="273"/>
      <c r="L13" s="240"/>
      <c r="M13" s="240"/>
      <c r="N13" s="240"/>
      <c r="O13" s="240"/>
      <c r="P13" s="240"/>
      <c r="Q13" s="240"/>
      <c r="R13" s="240"/>
      <c r="S13" s="240"/>
      <c r="T13" s="240"/>
      <c r="U13" s="240"/>
      <c r="V13" s="240"/>
      <c r="W13" s="240"/>
      <c r="X13" s="240"/>
      <c r="Y13" s="241"/>
      <c r="Z13" s="241"/>
      <c r="AA13" s="240"/>
    </row>
    <row r="14" spans="1:27" ht="18" hidden="1" customHeight="1" outlineLevel="2" x14ac:dyDescent="0.3">
      <c r="A14" s="240"/>
      <c r="B14" s="1" t="s">
        <v>537</v>
      </c>
      <c r="C14" s="274"/>
      <c r="D14" s="274"/>
      <c r="E14" s="274"/>
      <c r="F14" s="564" t="str">
        <f>IFERROR(VLOOKUP(G7,Table_Kho[[#All],[Mã Kho]:[SĐT]],Sheet_Kho!$D$2,0),"")</f>
        <v/>
      </c>
      <c r="G14" s="565"/>
      <c r="H14" s="565"/>
      <c r="I14" s="565"/>
      <c r="J14" s="565"/>
      <c r="K14" s="273"/>
      <c r="L14" s="240"/>
      <c r="M14" s="240"/>
      <c r="N14" s="240"/>
      <c r="O14" s="240"/>
      <c r="P14" s="240"/>
      <c r="Q14" s="240"/>
      <c r="R14" s="240"/>
      <c r="S14" s="240"/>
      <c r="T14" s="240"/>
      <c r="U14" s="240"/>
      <c r="V14" s="240"/>
      <c r="W14" s="240"/>
      <c r="X14" s="240"/>
      <c r="Y14" s="241"/>
      <c r="Z14" s="241"/>
      <c r="AA14" s="240"/>
    </row>
    <row r="15" spans="1:27" ht="18" hidden="1" customHeight="1" outlineLevel="2" collapsed="1" x14ac:dyDescent="0.3">
      <c r="A15" s="240"/>
      <c r="B15" s="274"/>
      <c r="C15" s="274"/>
      <c r="D15" s="274"/>
      <c r="E15" s="274"/>
      <c r="F15" s="274"/>
      <c r="G15" s="274"/>
      <c r="H15" s="274"/>
      <c r="I15" s="240"/>
      <c r="J15" s="240"/>
      <c r="K15" s="273"/>
      <c r="L15" s="240"/>
      <c r="M15" s="240"/>
      <c r="N15" s="240"/>
      <c r="O15" s="240"/>
      <c r="P15" s="240"/>
      <c r="Q15" s="240"/>
      <c r="R15" s="240"/>
      <c r="S15" s="240"/>
      <c r="T15" s="240"/>
      <c r="U15" s="240"/>
      <c r="V15" s="240"/>
      <c r="W15" s="240"/>
      <c r="X15" s="240"/>
      <c r="Y15" s="241"/>
      <c r="Z15" s="241"/>
      <c r="AA15" s="240"/>
    </row>
    <row r="16" spans="1:27" ht="18" hidden="1" customHeight="1" outlineLevel="2" x14ac:dyDescent="0.3">
      <c r="A16" s="240"/>
      <c r="B16" s="274"/>
      <c r="C16" s="274"/>
      <c r="D16" s="274"/>
      <c r="E16" s="274"/>
      <c r="F16" s="274"/>
      <c r="G16" s="92" t="s">
        <v>321</v>
      </c>
      <c r="H16" s="93" t="s">
        <v>327</v>
      </c>
      <c r="I16" s="240"/>
      <c r="J16" s="240"/>
      <c r="K16" s="273"/>
      <c r="L16" s="240"/>
      <c r="M16" s="240"/>
      <c r="N16" s="240"/>
      <c r="O16" s="240"/>
      <c r="P16" s="240"/>
      <c r="Q16" s="240"/>
      <c r="R16" s="240"/>
      <c r="S16" s="240"/>
      <c r="T16" s="240"/>
      <c r="U16" s="240"/>
      <c r="V16" s="240"/>
      <c r="W16" s="240"/>
      <c r="X16" s="240"/>
      <c r="Y16" s="241"/>
      <c r="Z16" s="241"/>
      <c r="AA16" s="240"/>
    </row>
    <row r="17" spans="1:27" ht="18" hidden="1" customHeight="1" outlineLevel="1" x14ac:dyDescent="0.3">
      <c r="A17" s="240"/>
      <c r="B17" s="59" t="s">
        <v>638</v>
      </c>
      <c r="C17" s="59" t="s">
        <v>559</v>
      </c>
      <c r="D17" s="59" t="s">
        <v>701</v>
      </c>
      <c r="E17" s="59" t="s">
        <v>702</v>
      </c>
      <c r="F17" s="60" t="s">
        <v>30</v>
      </c>
      <c r="G17" s="59" t="s">
        <v>703</v>
      </c>
      <c r="H17" s="60" t="s">
        <v>704</v>
      </c>
      <c r="I17" s="59" t="s">
        <v>705</v>
      </c>
      <c r="J17" s="59" t="s">
        <v>681</v>
      </c>
      <c r="K17" s="273"/>
      <c r="L17" s="240"/>
      <c r="M17" s="240"/>
      <c r="N17" s="240"/>
      <c r="O17" s="240"/>
      <c r="P17" s="240"/>
      <c r="Q17" s="240"/>
      <c r="R17" s="240"/>
      <c r="S17" s="240"/>
      <c r="T17" s="240"/>
      <c r="U17" s="240"/>
      <c r="V17" s="240"/>
      <c r="W17" s="240"/>
      <c r="X17" s="240"/>
      <c r="Y17" s="241"/>
      <c r="Z17" s="241"/>
      <c r="AA17" s="240"/>
    </row>
    <row r="18" spans="1:27" ht="18" hidden="1" customHeight="1" outlineLevel="2" x14ac:dyDescent="0.3">
      <c r="A18" s="240"/>
      <c r="B18" s="40" t="str">
        <f>IF(Table_FormDonMua_SKU[[#This Row],[Mã hàng]]&lt;&gt;"",COUNTIF($C$18:C28,"&lt;&gt;"""),"")</f>
        <v/>
      </c>
      <c r="C18" s="284"/>
      <c r="D18" s="284"/>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3"/>
      <c r="L18" s="240"/>
      <c r="M18" s="240"/>
      <c r="N18" s="240"/>
      <c r="O18" s="240"/>
      <c r="P18" s="240"/>
      <c r="Q18" s="240"/>
      <c r="R18" s="240"/>
      <c r="S18" s="240"/>
      <c r="T18" s="240"/>
      <c r="U18" s="240"/>
      <c r="V18" s="240"/>
      <c r="W18" s="240"/>
      <c r="X18" s="240"/>
      <c r="Y18" s="241"/>
      <c r="Z18" s="241"/>
      <c r="AA18" s="240"/>
    </row>
    <row r="19" spans="1:27" ht="18" hidden="1" customHeight="1" outlineLevel="2" x14ac:dyDescent="0.3">
      <c r="A19" s="240"/>
      <c r="B19" s="7"/>
      <c r="C19" s="284"/>
      <c r="D19" s="284"/>
      <c r="E19" s="7"/>
      <c r="F19" s="15"/>
      <c r="G19" s="15"/>
      <c r="H19" s="15"/>
      <c r="I19" s="119"/>
      <c r="J19" s="50"/>
      <c r="K19" s="273"/>
      <c r="L19" s="240"/>
      <c r="M19" s="240"/>
      <c r="N19" s="240"/>
      <c r="O19" s="240"/>
      <c r="P19" s="240"/>
      <c r="Q19" s="240"/>
      <c r="R19" s="240"/>
      <c r="S19" s="240"/>
      <c r="T19" s="240"/>
      <c r="U19" s="240"/>
      <c r="V19" s="240"/>
      <c r="W19" s="240"/>
      <c r="X19" s="240"/>
      <c r="Y19" s="241"/>
      <c r="Z19" s="241"/>
      <c r="AA19" s="240"/>
    </row>
    <row r="20" spans="1:27" ht="18" hidden="1" customHeight="1" outlineLevel="2" x14ac:dyDescent="0.3">
      <c r="A20" s="240"/>
      <c r="B20" s="7"/>
      <c r="C20" s="284"/>
      <c r="D20" s="284"/>
      <c r="E20" s="7"/>
      <c r="F20" s="15"/>
      <c r="G20" s="15"/>
      <c r="H20" s="15"/>
      <c r="I20" s="119"/>
      <c r="J20" s="50"/>
      <c r="K20" s="273"/>
      <c r="L20" s="240"/>
      <c r="M20" s="240"/>
      <c r="N20" s="240"/>
      <c r="O20" s="240"/>
      <c r="P20" s="240"/>
      <c r="Q20" s="240"/>
      <c r="R20" s="240"/>
      <c r="S20" s="240"/>
      <c r="T20" s="240"/>
      <c r="U20" s="240"/>
      <c r="V20" s="240"/>
      <c r="W20" s="240"/>
      <c r="X20" s="240"/>
      <c r="Y20" s="241"/>
      <c r="Z20" s="241"/>
      <c r="AA20" s="240"/>
    </row>
    <row r="21" spans="1:27" ht="18" hidden="1" customHeight="1" outlineLevel="2" x14ac:dyDescent="0.3">
      <c r="A21" s="240"/>
      <c r="B21" s="7"/>
      <c r="C21" s="284"/>
      <c r="D21" s="284"/>
      <c r="E21" s="7"/>
      <c r="F21" s="15"/>
      <c r="G21" s="15"/>
      <c r="H21" s="15"/>
      <c r="I21" s="119"/>
      <c r="J21" s="50"/>
      <c r="K21" s="273"/>
      <c r="L21" s="240"/>
      <c r="M21" s="240"/>
      <c r="N21" s="240"/>
      <c r="O21" s="240"/>
      <c r="P21" s="240"/>
      <c r="Q21" s="240"/>
      <c r="R21" s="240"/>
      <c r="S21" s="240"/>
      <c r="T21" s="240"/>
      <c r="U21" s="240"/>
      <c r="V21" s="240"/>
      <c r="W21" s="240"/>
      <c r="X21" s="240"/>
      <c r="Y21" s="241"/>
      <c r="Z21" s="241"/>
      <c r="AA21" s="240"/>
    </row>
    <row r="22" spans="1:27" ht="18" hidden="1" customHeight="1" outlineLevel="2" x14ac:dyDescent="0.3">
      <c r="A22" s="240"/>
      <c r="B22" s="7"/>
      <c r="C22" s="284"/>
      <c r="D22" s="284"/>
      <c r="E22" s="7"/>
      <c r="F22" s="15"/>
      <c r="G22" s="15"/>
      <c r="H22" s="15"/>
      <c r="I22" s="119"/>
      <c r="J22" s="50"/>
      <c r="K22" s="273"/>
      <c r="L22" s="240"/>
      <c r="M22" s="240"/>
      <c r="N22" s="240"/>
      <c r="O22" s="240"/>
      <c r="P22" s="240"/>
      <c r="Q22" s="240"/>
      <c r="R22" s="240"/>
      <c r="S22" s="240"/>
      <c r="T22" s="240"/>
      <c r="U22" s="240"/>
      <c r="V22" s="240"/>
      <c r="W22" s="240"/>
      <c r="X22" s="240"/>
      <c r="Y22" s="241"/>
      <c r="Z22" s="241"/>
      <c r="AA22" s="240"/>
    </row>
    <row r="23" spans="1:27" ht="18" hidden="1" customHeight="1" outlineLevel="2" x14ac:dyDescent="0.3">
      <c r="A23" s="240"/>
      <c r="B23" s="7"/>
      <c r="C23" s="284"/>
      <c r="D23" s="284"/>
      <c r="E23" s="7"/>
      <c r="F23" s="15"/>
      <c r="G23" s="15"/>
      <c r="H23" s="15"/>
      <c r="I23" s="119"/>
      <c r="J23" s="50"/>
      <c r="K23" s="273"/>
      <c r="L23" s="240"/>
      <c r="M23" s="240"/>
      <c r="N23" s="240"/>
      <c r="O23" s="240"/>
      <c r="P23" s="240"/>
      <c r="Q23" s="240"/>
      <c r="R23" s="240"/>
      <c r="S23" s="240"/>
      <c r="T23" s="240"/>
      <c r="U23" s="240"/>
      <c r="V23" s="240"/>
      <c r="W23" s="240"/>
      <c r="X23" s="240"/>
      <c r="Y23" s="241"/>
      <c r="Z23" s="241"/>
      <c r="AA23" s="240"/>
    </row>
    <row r="24" spans="1:27" ht="18" hidden="1" customHeight="1" outlineLevel="2" x14ac:dyDescent="0.3">
      <c r="A24" s="240"/>
      <c r="B24" s="7"/>
      <c r="C24" s="284"/>
      <c r="D24" s="284"/>
      <c r="E24" s="7"/>
      <c r="F24" s="15"/>
      <c r="G24" s="15"/>
      <c r="H24" s="15"/>
      <c r="I24" s="119"/>
      <c r="J24" s="50"/>
      <c r="K24" s="273"/>
      <c r="L24" s="240"/>
      <c r="M24" s="240"/>
      <c r="N24" s="240"/>
      <c r="O24" s="240"/>
      <c r="P24" s="240"/>
      <c r="Q24" s="240"/>
      <c r="R24" s="240"/>
      <c r="S24" s="240"/>
      <c r="T24" s="240"/>
      <c r="U24" s="240"/>
      <c r="V24" s="240"/>
      <c r="W24" s="240"/>
      <c r="X24" s="240"/>
      <c r="Y24" s="241"/>
      <c r="Z24" s="241"/>
      <c r="AA24" s="240"/>
    </row>
    <row r="25" spans="1:27" ht="18" hidden="1" customHeight="1" outlineLevel="2" x14ac:dyDescent="0.3">
      <c r="A25" s="240"/>
      <c r="B25" s="7"/>
      <c r="C25" s="284"/>
      <c r="D25" s="284"/>
      <c r="E25" s="7"/>
      <c r="F25" s="15"/>
      <c r="G25" s="15"/>
      <c r="H25" s="15"/>
      <c r="I25" s="119"/>
      <c r="J25" s="50"/>
      <c r="K25" s="273"/>
      <c r="L25" s="240"/>
      <c r="M25" s="240"/>
      <c r="N25" s="240"/>
      <c r="O25" s="240"/>
      <c r="P25" s="240"/>
      <c r="Q25" s="240"/>
      <c r="R25" s="240"/>
      <c r="S25" s="240"/>
      <c r="T25" s="240"/>
      <c r="U25" s="240"/>
      <c r="V25" s="240"/>
      <c r="W25" s="240"/>
      <c r="X25" s="240"/>
      <c r="Y25" s="241"/>
      <c r="Z25" s="241"/>
      <c r="AA25" s="240"/>
    </row>
    <row r="26" spans="1:27" ht="18" hidden="1" customHeight="1" outlineLevel="2" x14ac:dyDescent="0.3">
      <c r="A26" s="240"/>
      <c r="B26" s="7"/>
      <c r="C26" s="284"/>
      <c r="D26" s="284"/>
      <c r="E26" s="7"/>
      <c r="F26" s="15"/>
      <c r="G26" s="15"/>
      <c r="H26" s="15"/>
      <c r="I26" s="119"/>
      <c r="J26" s="50"/>
      <c r="K26" s="273"/>
      <c r="L26" s="240"/>
      <c r="M26" s="240"/>
      <c r="N26" s="240"/>
      <c r="O26" s="240"/>
      <c r="P26" s="240"/>
      <c r="Q26" s="240"/>
      <c r="R26" s="240"/>
      <c r="S26" s="240"/>
      <c r="T26" s="240"/>
      <c r="U26" s="240"/>
      <c r="V26" s="240"/>
      <c r="W26" s="240"/>
      <c r="X26" s="240"/>
      <c r="Y26" s="241"/>
      <c r="Z26" s="241"/>
      <c r="AA26" s="240"/>
    </row>
    <row r="27" spans="1:27" ht="18" hidden="1" customHeight="1" outlineLevel="2" x14ac:dyDescent="0.3">
      <c r="A27" s="240"/>
      <c r="B27" s="7"/>
      <c r="C27" s="284"/>
      <c r="D27" s="284"/>
      <c r="E27" s="7"/>
      <c r="F27" s="15"/>
      <c r="G27" s="15"/>
      <c r="H27" s="15"/>
      <c r="I27" s="119"/>
      <c r="J27" s="50"/>
      <c r="K27" s="273"/>
      <c r="L27" s="240"/>
      <c r="M27" s="240"/>
      <c r="N27" s="240"/>
      <c r="O27" s="240"/>
      <c r="P27" s="240"/>
      <c r="Q27" s="240"/>
      <c r="R27" s="240"/>
      <c r="S27" s="240"/>
      <c r="T27" s="240"/>
      <c r="U27" s="240"/>
      <c r="V27" s="240"/>
      <c r="W27" s="240"/>
      <c r="X27" s="240"/>
      <c r="Y27" s="241"/>
      <c r="Z27" s="241"/>
      <c r="AA27" s="240"/>
    </row>
    <row r="28" spans="1:27" ht="18" hidden="1" customHeight="1" outlineLevel="1" x14ac:dyDescent="0.3">
      <c r="A28" s="240"/>
      <c r="B28" s="7"/>
      <c r="C28" s="284"/>
      <c r="D28" s="284"/>
      <c r="E28" s="7"/>
      <c r="F28" s="15"/>
      <c r="G28" s="15"/>
      <c r="H28" s="15"/>
      <c r="I28" s="119"/>
      <c r="J28" s="50"/>
      <c r="K28" s="273"/>
      <c r="L28" s="240"/>
      <c r="M28" s="240"/>
      <c r="N28" s="240"/>
      <c r="O28" s="240"/>
      <c r="P28" s="240"/>
      <c r="Q28" s="240"/>
      <c r="R28" s="240"/>
      <c r="S28" s="240"/>
      <c r="T28" s="240"/>
      <c r="U28" s="240"/>
      <c r="V28" s="240"/>
      <c r="W28" s="240"/>
      <c r="X28" s="240"/>
      <c r="Y28" s="241"/>
      <c r="Z28" s="241"/>
      <c r="AA28" s="240"/>
    </row>
    <row r="29" spans="1:27" ht="18" hidden="1" customHeight="1" outlineLevel="1" x14ac:dyDescent="0.3">
      <c r="A29" s="240"/>
      <c r="B29" s="240"/>
      <c r="C29" s="240"/>
      <c r="D29" s="240"/>
      <c r="E29" s="240"/>
      <c r="F29" s="242"/>
      <c r="G29" s="242"/>
      <c r="H29" s="242"/>
      <c r="I29" s="240"/>
      <c r="J29" s="240"/>
      <c r="K29" s="273"/>
      <c r="L29" s="240"/>
      <c r="M29" s="240"/>
      <c r="N29" s="240"/>
      <c r="O29" s="240"/>
      <c r="P29" s="240"/>
      <c r="Q29" s="240"/>
      <c r="R29" s="240"/>
      <c r="S29" s="240"/>
      <c r="T29" s="240"/>
      <c r="U29" s="240"/>
      <c r="V29" s="240"/>
      <c r="W29" s="240"/>
      <c r="X29" s="240"/>
      <c r="Y29" s="241"/>
      <c r="Z29" s="241"/>
      <c r="AA29" s="240"/>
    </row>
    <row r="30" spans="1:27" ht="18" hidden="1" customHeight="1" outlineLevel="1" x14ac:dyDescent="0.3">
      <c r="A30" s="240"/>
      <c r="B30" s="61" t="s">
        <v>539</v>
      </c>
      <c r="C30" s="285"/>
      <c r="D30" s="285"/>
      <c r="E30" s="286"/>
      <c r="F30" s="185" t="s">
        <v>706</v>
      </c>
      <c r="G30" s="287"/>
      <c r="H30" s="410">
        <f>SUM(Table_FormDonMua_SKU[Thành tiền])</f>
        <v>0</v>
      </c>
      <c r="I30" s="240"/>
      <c r="J30" s="240"/>
      <c r="K30" s="273"/>
      <c r="L30" s="240"/>
      <c r="M30" s="240"/>
      <c r="N30" s="240"/>
      <c r="O30" s="240"/>
      <c r="P30" s="240"/>
      <c r="Q30" s="240"/>
      <c r="R30" s="240"/>
      <c r="S30" s="240"/>
      <c r="T30" s="240"/>
      <c r="U30" s="240"/>
      <c r="V30" s="240"/>
      <c r="W30" s="240"/>
      <c r="X30" s="240"/>
      <c r="Y30" s="241"/>
      <c r="Z30" s="241"/>
      <c r="AA30" s="240"/>
    </row>
    <row r="31" spans="1:27" ht="18" hidden="1" customHeight="1" outlineLevel="1" x14ac:dyDescent="0.3">
      <c r="A31" s="240"/>
      <c r="B31" s="288"/>
      <c r="C31" s="274"/>
      <c r="D31" s="274"/>
      <c r="E31" s="289"/>
      <c r="F31" s="185" t="s">
        <v>707</v>
      </c>
      <c r="G31" s="287"/>
      <c r="H31" s="407"/>
      <c r="I31" s="240"/>
      <c r="J31" s="240"/>
      <c r="K31" s="273"/>
      <c r="L31" s="240"/>
      <c r="M31" s="240"/>
      <c r="N31" s="240"/>
      <c r="O31" s="240"/>
      <c r="P31" s="240"/>
      <c r="Q31" s="240"/>
      <c r="R31" s="240"/>
      <c r="S31" s="240"/>
      <c r="T31" s="240"/>
      <c r="U31" s="240"/>
      <c r="V31" s="240"/>
      <c r="W31" s="240"/>
      <c r="X31" s="240"/>
      <c r="Y31" s="241"/>
      <c r="Z31" s="241"/>
      <c r="AA31" s="240"/>
    </row>
    <row r="32" spans="1:27" ht="18" hidden="1" customHeight="1" outlineLevel="1" x14ac:dyDescent="0.3">
      <c r="A32" s="240"/>
      <c r="B32" s="288"/>
      <c r="C32" s="274"/>
      <c r="D32" s="274"/>
      <c r="E32" s="289"/>
      <c r="F32" s="1" t="s">
        <v>708</v>
      </c>
      <c r="G32" s="287"/>
      <c r="H32" s="407"/>
      <c r="I32" s="240"/>
      <c r="J32" s="240"/>
      <c r="K32" s="273"/>
      <c r="L32" s="240"/>
      <c r="M32" s="240"/>
      <c r="N32" s="240"/>
      <c r="O32" s="240"/>
      <c r="P32" s="240"/>
      <c r="Q32" s="240"/>
      <c r="R32" s="240"/>
      <c r="S32" s="240"/>
      <c r="T32" s="240"/>
      <c r="U32" s="240"/>
      <c r="V32" s="240"/>
      <c r="W32" s="240"/>
      <c r="X32" s="240"/>
      <c r="Y32" s="241"/>
      <c r="Z32" s="241"/>
      <c r="AA32" s="240"/>
    </row>
    <row r="33" spans="1:27" ht="18" hidden="1" customHeight="1" outlineLevel="1" x14ac:dyDescent="0.3">
      <c r="A33" s="240"/>
      <c r="B33" s="288"/>
      <c r="C33" s="274"/>
      <c r="D33" s="274"/>
      <c r="E33" s="289"/>
      <c r="F33" s="1" t="s">
        <v>709</v>
      </c>
      <c r="G33" s="287"/>
      <c r="H33" s="407">
        <f>U43</f>
        <v>0</v>
      </c>
      <c r="I33" s="240"/>
      <c r="J33" s="240"/>
      <c r="K33" s="273"/>
      <c r="L33" s="240"/>
      <c r="M33" s="240"/>
      <c r="N33" s="240"/>
      <c r="O33" s="240"/>
      <c r="P33" s="240"/>
      <c r="Q33" s="240"/>
      <c r="R33" s="240"/>
      <c r="S33" s="240"/>
      <c r="T33" s="240"/>
      <c r="U33" s="240"/>
      <c r="V33" s="240"/>
      <c r="W33" s="240"/>
      <c r="X33" s="240"/>
      <c r="Y33" s="241"/>
      <c r="Z33" s="241"/>
      <c r="AA33" s="240"/>
    </row>
    <row r="34" spans="1:27" ht="18" hidden="1" customHeight="1" outlineLevel="1" x14ac:dyDescent="0.3">
      <c r="A34" s="240"/>
      <c r="B34" s="290"/>
      <c r="C34" s="291"/>
      <c r="D34" s="291"/>
      <c r="E34" s="292"/>
      <c r="F34" s="62" t="s">
        <v>710</v>
      </c>
      <c r="G34" s="293"/>
      <c r="H34" s="406">
        <f>+H30+H31-H32</f>
        <v>0</v>
      </c>
      <c r="I34" s="240"/>
      <c r="J34" s="240"/>
      <c r="K34" s="273"/>
      <c r="L34" s="240"/>
      <c r="M34" s="240"/>
      <c r="N34" s="240"/>
      <c r="O34" s="240"/>
      <c r="P34" s="240"/>
      <c r="Q34" s="240"/>
      <c r="R34" s="240"/>
      <c r="S34" s="240"/>
      <c r="T34" s="240"/>
      <c r="U34" s="240"/>
      <c r="V34" s="240"/>
      <c r="W34" s="240"/>
      <c r="X34" s="240"/>
      <c r="Y34" s="241"/>
      <c r="Z34" s="241"/>
      <c r="AA34" s="240"/>
    </row>
    <row r="35" spans="1:27" ht="18" hidden="1" customHeight="1" outlineLevel="1" x14ac:dyDescent="0.3">
      <c r="A35" s="240"/>
      <c r="B35" s="274"/>
      <c r="C35" s="274"/>
      <c r="D35" s="274"/>
      <c r="E35" s="274"/>
      <c r="F35" s="274"/>
      <c r="G35" s="274"/>
      <c r="H35" s="274"/>
      <c r="I35" s="240"/>
      <c r="J35" s="240"/>
      <c r="K35" s="273"/>
      <c r="L35" s="240"/>
      <c r="M35" s="240"/>
      <c r="N35" s="240"/>
      <c r="O35" s="240"/>
      <c r="P35" s="240"/>
      <c r="Q35" s="240"/>
      <c r="R35" s="240"/>
      <c r="S35" s="240"/>
      <c r="T35" s="240"/>
      <c r="U35" s="240"/>
      <c r="V35" s="240"/>
      <c r="W35" s="240"/>
      <c r="X35" s="240"/>
      <c r="Y35" s="241"/>
      <c r="Z35" s="241"/>
      <c r="AA35" s="240"/>
    </row>
    <row r="36" spans="1:27" ht="18" hidden="1" customHeight="1" outlineLevel="1" x14ac:dyDescent="0.3">
      <c r="A36" s="240"/>
      <c r="B36" s="274"/>
      <c r="C36" s="274"/>
      <c r="D36" s="274"/>
      <c r="E36" s="274"/>
      <c r="F36" s="274"/>
      <c r="G36" s="562" t="str">
        <f>B1</f>
        <v>Công ty ABC XYZ</v>
      </c>
      <c r="H36" s="563"/>
      <c r="I36" s="240"/>
      <c r="J36" s="240"/>
      <c r="K36" s="273"/>
      <c r="L36" s="240"/>
      <c r="M36" s="240"/>
      <c r="N36" s="240"/>
      <c r="O36" s="240"/>
      <c r="P36" s="240"/>
      <c r="Q36" s="240"/>
      <c r="R36" s="240"/>
      <c r="S36" s="240"/>
      <c r="T36" s="240"/>
      <c r="U36" s="240"/>
      <c r="V36" s="240"/>
      <c r="W36" s="240"/>
      <c r="X36" s="240"/>
      <c r="Y36" s="241"/>
      <c r="Z36" s="241"/>
      <c r="AA36" s="240"/>
    </row>
    <row r="37" spans="1:27" ht="18" hidden="1" customHeight="1" outlineLevel="1" x14ac:dyDescent="0.3">
      <c r="A37" s="240"/>
      <c r="B37" s="274"/>
      <c r="C37" s="274"/>
      <c r="D37" s="274"/>
      <c r="E37" s="274"/>
      <c r="F37" s="274"/>
      <c r="G37" s="562" t="s">
        <v>711</v>
      </c>
      <c r="H37" s="563"/>
      <c r="I37" s="240"/>
      <c r="J37" s="240"/>
      <c r="K37" s="273"/>
      <c r="L37" s="240"/>
      <c r="M37" s="240"/>
      <c r="N37" s="240"/>
      <c r="O37" s="240"/>
      <c r="P37" s="240"/>
      <c r="Q37" s="240"/>
      <c r="R37" s="240"/>
      <c r="S37" s="240"/>
      <c r="T37" s="240"/>
      <c r="U37" s="240"/>
      <c r="V37" s="240"/>
      <c r="W37" s="240"/>
      <c r="X37" s="240"/>
      <c r="Y37" s="241"/>
      <c r="Z37" s="241"/>
      <c r="AA37" s="240"/>
    </row>
    <row r="38" spans="1:27" ht="18" hidden="1" customHeight="1" outlineLevel="1" x14ac:dyDescent="0.3">
      <c r="A38" s="240"/>
      <c r="B38" s="274"/>
      <c r="C38" s="274"/>
      <c r="D38" s="274"/>
      <c r="E38" s="274"/>
      <c r="F38" s="274"/>
      <c r="G38" s="560" t="str">
        <f>IFERROR(VLOOKUP(G8,Table_NhanVien[#All],Sheet_CauTruc!$T$1,0),"")</f>
        <v/>
      </c>
      <c r="H38" s="561"/>
      <c r="I38" s="240"/>
      <c r="J38" s="240"/>
      <c r="K38" s="273"/>
      <c r="L38" s="240"/>
      <c r="M38" s="240"/>
      <c r="N38" s="240"/>
      <c r="O38" s="240"/>
      <c r="P38" s="240"/>
      <c r="Q38" s="240"/>
      <c r="R38" s="240"/>
      <c r="S38" s="240"/>
      <c r="T38" s="240"/>
      <c r="U38" s="240"/>
      <c r="V38" s="240"/>
      <c r="W38" s="240"/>
      <c r="X38" s="240"/>
      <c r="Y38" s="241"/>
      <c r="Z38" s="241"/>
      <c r="AA38" s="240"/>
    </row>
    <row r="39" spans="1:27" ht="18" hidden="1" customHeight="1" outlineLevel="1" x14ac:dyDescent="0.3">
      <c r="A39" s="240"/>
      <c r="B39" s="274"/>
      <c r="C39" s="274"/>
      <c r="D39" s="274"/>
      <c r="E39" s="274"/>
      <c r="F39" s="274"/>
      <c r="G39" s="294"/>
      <c r="H39" s="294"/>
      <c r="I39" s="240"/>
      <c r="J39" s="240"/>
      <c r="K39" s="273"/>
      <c r="L39" s="240"/>
      <c r="M39" s="240"/>
      <c r="N39" s="240"/>
      <c r="O39" s="240"/>
      <c r="P39" s="240"/>
      <c r="Q39" s="240"/>
      <c r="R39" s="240"/>
      <c r="S39" s="240"/>
      <c r="T39" s="240"/>
      <c r="U39" s="240"/>
      <c r="V39" s="240"/>
      <c r="W39" s="240"/>
      <c r="X39" s="240"/>
      <c r="Y39" s="241"/>
      <c r="Z39" s="241"/>
      <c r="AA39" s="240"/>
    </row>
    <row r="40" spans="1:27" ht="18" hidden="1" customHeight="1" outlineLevel="1" x14ac:dyDescent="0.3">
      <c r="A40" s="240"/>
      <c r="B40" s="274"/>
      <c r="C40" s="274"/>
      <c r="D40" s="274"/>
      <c r="E40" s="274"/>
      <c r="F40" s="274"/>
      <c r="G40" s="240"/>
      <c r="H40" s="240"/>
      <c r="I40" s="240"/>
      <c r="J40" s="240"/>
      <c r="K40" s="273"/>
      <c r="L40" s="240"/>
      <c r="M40" s="240"/>
      <c r="N40" s="240"/>
      <c r="O40" s="240"/>
      <c r="P40" s="240"/>
      <c r="Q40" s="240"/>
      <c r="R40" s="240"/>
      <c r="S40" s="240"/>
      <c r="T40" s="240"/>
      <c r="U40" s="240"/>
      <c r="V40" s="240"/>
      <c r="W40" s="240"/>
      <c r="X40" s="240"/>
      <c r="Y40" s="241"/>
      <c r="Z40" s="241"/>
      <c r="AA40" s="240"/>
    </row>
    <row r="41" spans="1:27" ht="18" hidden="1" customHeight="1" outlineLevel="1" x14ac:dyDescent="0.3">
      <c r="A41" s="240"/>
      <c r="B41" s="274"/>
      <c r="C41" s="274"/>
      <c r="D41" s="274"/>
      <c r="E41" s="274"/>
      <c r="F41" s="274"/>
      <c r="G41" s="240"/>
      <c r="H41" s="240"/>
      <c r="I41" s="240"/>
      <c r="J41" s="240"/>
      <c r="K41" s="273"/>
      <c r="L41" s="240"/>
      <c r="M41" s="240"/>
      <c r="N41" s="240"/>
      <c r="O41" s="240"/>
      <c r="P41" s="240"/>
      <c r="Q41" s="240"/>
      <c r="R41" s="240"/>
      <c r="S41" s="240"/>
      <c r="T41" s="240"/>
      <c r="U41" s="240"/>
      <c r="V41" s="240"/>
      <c r="W41" s="240"/>
      <c r="X41" s="240"/>
      <c r="Y41" s="241"/>
      <c r="Z41" s="241"/>
      <c r="AA41" s="240"/>
    </row>
    <row r="42" spans="1:27" ht="18" customHeight="1" collapsed="1" x14ac:dyDescent="0.3">
      <c r="A42" s="240"/>
      <c r="B42" s="274"/>
      <c r="C42" s="274"/>
      <c r="D42" s="274"/>
      <c r="E42" s="274"/>
      <c r="F42" s="274"/>
      <c r="G42" s="295"/>
      <c r="H42" s="295"/>
      <c r="I42" s="240"/>
      <c r="J42" s="240"/>
      <c r="K42" s="273"/>
      <c r="L42" s="299">
        <v>0</v>
      </c>
      <c r="M42" s="299">
        <f t="shared" ref="M42:W42" si="0">+L42+1</f>
        <v>1</v>
      </c>
      <c r="N42" s="299">
        <f t="shared" si="0"/>
        <v>2</v>
      </c>
      <c r="O42" s="299">
        <f t="shared" si="0"/>
        <v>3</v>
      </c>
      <c r="P42" s="299">
        <f t="shared" si="0"/>
        <v>4</v>
      </c>
      <c r="Q42" s="299">
        <f t="shared" si="0"/>
        <v>5</v>
      </c>
      <c r="R42" s="299">
        <f t="shared" si="0"/>
        <v>6</v>
      </c>
      <c r="S42" s="299">
        <f t="shared" si="0"/>
        <v>7</v>
      </c>
      <c r="T42" s="299">
        <f t="shared" si="0"/>
        <v>8</v>
      </c>
      <c r="U42" s="299">
        <f t="shared" si="0"/>
        <v>9</v>
      </c>
      <c r="V42" s="299">
        <f t="shared" si="0"/>
        <v>10</v>
      </c>
      <c r="W42" s="299">
        <f t="shared" si="0"/>
        <v>11</v>
      </c>
      <c r="X42" s="299"/>
      <c r="Y42" s="241"/>
      <c r="Z42" s="241"/>
      <c r="AA42" s="240"/>
    </row>
    <row r="43" spans="1:27" ht="18" customHeight="1" x14ac:dyDescent="0.3">
      <c r="A43" s="240"/>
      <c r="B43" s="274"/>
      <c r="C43" s="274"/>
      <c r="D43" s="274"/>
      <c r="E43" s="274"/>
      <c r="F43" s="274"/>
      <c r="G43" s="274"/>
      <c r="H43" s="274"/>
      <c r="I43" s="240"/>
      <c r="J43" s="240"/>
      <c r="K43" s="273"/>
      <c r="L43" s="296"/>
      <c r="M43" s="51" t="str">
        <f>G4</f>
        <v>NHAP--100-1</v>
      </c>
      <c r="N43" s="411">
        <f>G5</f>
        <v>0</v>
      </c>
      <c r="O43" s="244">
        <f>C3</f>
        <v>0</v>
      </c>
      <c r="P43" s="244">
        <f>G7</f>
        <v>0</v>
      </c>
      <c r="Q43" s="48">
        <f>H30</f>
        <v>0</v>
      </c>
      <c r="R43" s="48">
        <f xml:space="preserve">
SUM(Table_FormDonMua_SKU[VAT khấu trừ])</f>
        <v>0</v>
      </c>
      <c r="S43" s="48">
        <f>H31</f>
        <v>0</v>
      </c>
      <c r="T43" s="48">
        <f>H32</f>
        <v>0</v>
      </c>
      <c r="U43" s="390">
        <f xml:space="preserve">
IFERROR(
R43+R43/Q43*(S43-T43),0)</f>
        <v>0</v>
      </c>
      <c r="V43" s="390">
        <f>W43-U43</f>
        <v>0</v>
      </c>
      <c r="W43" s="412">
        <f>H34</f>
        <v>0</v>
      </c>
      <c r="X43" s="297"/>
      <c r="Y43" s="298"/>
      <c r="Z43" s="241"/>
      <c r="AA43" s="240"/>
    </row>
    <row r="44" spans="1:27" ht="18" customHeight="1" x14ac:dyDescent="0.3">
      <c r="A44" s="240"/>
      <c r="B44" s="274"/>
      <c r="C44" s="274"/>
      <c r="D44" s="274"/>
      <c r="E44" s="274"/>
      <c r="F44" s="274"/>
      <c r="G44" s="274"/>
      <c r="H44" s="274"/>
      <c r="I44" s="240"/>
      <c r="J44" s="240"/>
      <c r="K44" s="273"/>
      <c r="L44" s="296"/>
      <c r="M44" s="51" t="str">
        <f>CONCATENATE("NHAP-",O44,"-",MOD(YEAR(N44),100)*10000+MONTH(N44)*100+DAY(N44),"-",L44)</f>
        <v>NHAP--100-</v>
      </c>
      <c r="N44" s="411"/>
      <c r="O44" s="244"/>
      <c r="P44" s="244"/>
      <c r="Q44" s="48" cm="1">
        <f t="array" ref="Q44">IFERROR(
SUM(_xlfn._xlws.FILTER(Table_Main[Giá trị hàng nhập],
(Table_Main[Đơn Mua] = M44)
)),0)</f>
        <v>0</v>
      </c>
      <c r="R44" s="48" cm="1">
        <f t="array" ref="R44">IFERROR(
SUM(_xlfn._xlws.FILTER(Table_Main[VAT khấu trừ],
(Table_Main[Đơn Mua] = M44)
)),0)</f>
        <v>0</v>
      </c>
      <c r="S44" s="48"/>
      <c r="T44" s="48"/>
      <c r="U44" s="390">
        <f xml:space="preserve">
IFERROR(
R44+R44/Q44*(S44-T44),0)</f>
        <v>0</v>
      </c>
      <c r="V44" s="390">
        <f>W44-U44</f>
        <v>0</v>
      </c>
      <c r="W44" s="412">
        <f>IF(M44="TONKHODAU",0,Q44+S44-T44)</f>
        <v>0</v>
      </c>
      <c r="X44" s="297"/>
      <c r="Y44" s="298"/>
      <c r="Z44" s="241"/>
      <c r="AA44" s="240"/>
    </row>
    <row r="45" spans="1:27" ht="18" customHeight="1" x14ac:dyDescent="0.3">
      <c r="A45" s="240"/>
      <c r="B45" s="274"/>
      <c r="C45" s="274"/>
      <c r="D45" s="274"/>
      <c r="E45" s="274"/>
      <c r="F45" s="274"/>
      <c r="G45" s="274"/>
      <c r="H45" s="274"/>
      <c r="I45" s="240"/>
      <c r="J45" s="240"/>
      <c r="K45" s="273"/>
      <c r="L45" s="42" t="s">
        <v>60</v>
      </c>
      <c r="M45" s="42" t="s">
        <v>712</v>
      </c>
      <c r="N45" s="42" t="s">
        <v>695</v>
      </c>
      <c r="O45" s="42" t="s">
        <v>693</v>
      </c>
      <c r="P45" s="42" t="s">
        <v>713</v>
      </c>
      <c r="Q45" s="42" t="s">
        <v>714</v>
      </c>
      <c r="R45" s="42" t="s">
        <v>715</v>
      </c>
      <c r="S45" s="42" t="s">
        <v>707</v>
      </c>
      <c r="T45" s="42" t="s">
        <v>716</v>
      </c>
      <c r="U45" s="42" t="s">
        <v>709</v>
      </c>
      <c r="V45" s="42" t="s">
        <v>652</v>
      </c>
      <c r="W45" s="42" t="s">
        <v>717</v>
      </c>
      <c r="X45" s="7" t="s">
        <v>873</v>
      </c>
      <c r="Y45" s="7" t="s">
        <v>1243</v>
      </c>
      <c r="Z45" s="241"/>
      <c r="AA45" s="240"/>
    </row>
    <row r="46" spans="1:27" ht="18" customHeight="1" x14ac:dyDescent="0.3">
      <c r="A46" s="240"/>
      <c r="B46" s="274"/>
      <c r="C46" s="274"/>
      <c r="D46" s="274"/>
      <c r="E46" s="274"/>
      <c r="F46" s="274"/>
      <c r="G46" s="274"/>
      <c r="H46" s="274"/>
      <c r="I46" s="240"/>
      <c r="J46" s="240"/>
      <c r="K46" s="273"/>
      <c r="L46" s="248"/>
      <c r="M46" s="520" t="str">
        <f>CONCATENATE("NHAP-",Table_DonMua[[#This Row],[Mã Đối tác]],"-",MOD(YEAR(Table_DonMua[[#This Row],[Ngày lập]]),100)*10000+MONTH(Table_DonMua[[#This Row],[Ngày lập]])*100+DAY(Table_DonMua[[#This Row],[Ngày lập]]),"-",Table_DonMua[[#This Row],[TT]])</f>
        <v>NHAP-NCC1-250528-</v>
      </c>
      <c r="N46" s="411">
        <v>45805</v>
      </c>
      <c r="O46" s="527" t="s">
        <v>1158</v>
      </c>
      <c r="P46" s="527" t="s">
        <v>1155</v>
      </c>
      <c r="Q46" s="413">
        <f>IFERROR(
SUM(_xlfn._xlws.FILTER(Table_Main[Giá trị hàng nhập],
(Table_Main[Đơn Mua] = Table_DonMua[[#This Row],[Mã Đơn mua]])
)),0)</f>
        <v>4191908</v>
      </c>
      <c r="R46" s="413">
        <f>IFERROR(
SUM(_xlfn._xlws.FILTER(Table_Main[VAT khấu trừ],
(Table_Main[Đơn Mua] = Table_DonMua[[#This Row],[Mã Đơn mua]])
)),0)</f>
        <v>0</v>
      </c>
      <c r="S46" s="528"/>
      <c r="T46" s="528"/>
      <c r="U46" s="120">
        <f xml:space="preserve">
IFERROR(Table_DonMua[[#This Row],[VAT hàng]]+Table_DonMua[[#This Row],[VAT hàng]]/Table_DonMua[[#This Row],[Tiền hàng]]*(Table_DonMua[[#This Row],[Phụ phí]]-Table_DonMua[[#This Row],[Khuyến mãi]]),0)</f>
        <v>0</v>
      </c>
      <c r="V46" s="415">
        <f>Table_DonMua[[#This Row],[Phải trả]]-Table_DonMua[[#This Row],[Tổng VAT khấu trừ]]</f>
        <v>4191908</v>
      </c>
      <c r="W46" s="413">
        <f xml:space="preserve">
IF(Table_DonMua[[#This Row],[Mã Đơn mua]]="TONKHODAU",0,
+Table_DonMua[[#This Row],[Tiền hàng]]+Table_DonMua[[#This Row],[Phụ phí]]-Table_DonMua[[#This Row],[Khuyến mãi]])</f>
        <v>4191908</v>
      </c>
      <c r="X46" s="521"/>
      <c r="Y46"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1"/>
      <c r="AA46" s="240"/>
    </row>
    <row r="47" spans="1:27" ht="18" customHeight="1" x14ac:dyDescent="0.3">
      <c r="L47" s="248"/>
      <c r="M47" s="520" t="str">
        <f>CONCATENATE("NHAP-",Table_DonMua[[#This Row],[Mã Đối tác]],"-",MOD(YEAR(Table_DonMua[[#This Row],[Ngày lập]]),100)*10000+MONTH(Table_DonMua[[#This Row],[Ngày lập]])*100+DAY(Table_DonMua[[#This Row],[Ngày lập]]),"-",Table_DonMua[[#This Row],[TT]])</f>
        <v>NHAP-NCC2-250527-</v>
      </c>
      <c r="N47" s="411">
        <v>45804</v>
      </c>
      <c r="O47" s="527" t="s">
        <v>1159</v>
      </c>
      <c r="P47" s="527" t="s">
        <v>1155</v>
      </c>
      <c r="Q47" s="413">
        <f>IFERROR(
SUM(_xlfn._xlws.FILTER(Table_Main[Giá trị hàng nhập],
(Table_Main[Đơn Mua] = Table_DonMua[[#This Row],[Mã Đơn mua]])
)),0)</f>
        <v>3270208</v>
      </c>
      <c r="R47" s="413">
        <f>IFERROR(
SUM(_xlfn._xlws.FILTER(Table_Main[VAT khấu trừ],
(Table_Main[Đơn Mua] = Table_DonMua[[#This Row],[Mã Đơn mua]])
)),0)</f>
        <v>0</v>
      </c>
      <c r="S47" s="528"/>
      <c r="T47" s="528"/>
      <c r="U47" s="120">
        <f xml:space="preserve">
IFERROR(Table_DonMua[[#This Row],[VAT hàng]]+Table_DonMua[[#This Row],[VAT hàng]]/Table_DonMua[[#This Row],[Tiền hàng]]*(Table_DonMua[[#This Row],[Phụ phí]]-Table_DonMua[[#This Row],[Khuyến mãi]]),0)</f>
        <v>0</v>
      </c>
      <c r="V47" s="415">
        <f>Table_DonMua[[#This Row],[Phải trả]]-Table_DonMua[[#This Row],[Tổng VAT khấu trừ]]</f>
        <v>3270208</v>
      </c>
      <c r="W47" s="413">
        <f xml:space="preserve">
IF(Table_DonMua[[#This Row],[Mã Đơn mua]]="TONKHODAU",0,
+Table_DonMua[[#This Row],[Tiền hàng]]+Table_DonMua[[#This Row],[Phụ phí]]-Table_DonMua[[#This Row],[Khuyến mãi]])</f>
        <v>3270208</v>
      </c>
      <c r="X47" s="521"/>
      <c r="Y47"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48"/>
      <c r="M48" s="520" t="str">
        <f>CONCATENATE("NHAP-",Table_DonMua[[#This Row],[Mã Đối tác]],"-",MOD(YEAR(Table_DonMua[[#This Row],[Ngày lập]]),100)*10000+MONTH(Table_DonMua[[#This Row],[Ngày lập]])*100+DAY(Table_DonMua[[#This Row],[Ngày lập]]),"-",Table_DonMua[[#This Row],[TT]])</f>
        <v>NHAP-NCC3-250525-</v>
      </c>
      <c r="N48" s="411">
        <v>45802</v>
      </c>
      <c r="O48" s="527" t="s">
        <v>1160</v>
      </c>
      <c r="P48" s="527" t="s">
        <v>1155</v>
      </c>
      <c r="Q48" s="413">
        <f>IFERROR(
SUM(_xlfn._xlws.FILTER(Table_Main[Giá trị hàng nhập],
(Table_Main[Đơn Mua] = Table_DonMua[[#This Row],[Mã Đơn mua]])
)),0)</f>
        <v>1326520</v>
      </c>
      <c r="R48" s="413">
        <f>IFERROR(
SUM(_xlfn._xlws.FILTER(Table_Main[VAT khấu trừ],
(Table_Main[Đơn Mua] = Table_DonMua[[#This Row],[Mã Đơn mua]])
)),0)</f>
        <v>0</v>
      </c>
      <c r="S48" s="528"/>
      <c r="T48" s="528"/>
      <c r="U48" s="120">
        <f xml:space="preserve">
IFERROR(Table_DonMua[[#This Row],[VAT hàng]]+Table_DonMua[[#This Row],[VAT hàng]]/Table_DonMua[[#This Row],[Tiền hàng]]*(Table_DonMua[[#This Row],[Phụ phí]]-Table_DonMua[[#This Row],[Khuyến mãi]]),0)</f>
        <v>0</v>
      </c>
      <c r="V48" s="415">
        <f>Table_DonMua[[#This Row],[Phải trả]]-Table_DonMua[[#This Row],[Tổng VAT khấu trừ]]</f>
        <v>1326520</v>
      </c>
      <c r="W48" s="413">
        <f xml:space="preserve">
IF(Table_DonMua[[#This Row],[Mã Đơn mua]]="TONKHODAU",0,
+Table_DonMua[[#This Row],[Tiền hàng]]+Table_DonMua[[#This Row],[Phụ phí]]-Table_DonMua[[#This Row],[Khuyến mãi]])</f>
        <v>1326520</v>
      </c>
      <c r="X48" s="521"/>
      <c r="Y48"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48"/>
      <c r="M49" s="520" t="str">
        <f>CONCATENATE("NHAP-",Table_DonMua[[#This Row],[Mã Đối tác]],"-",MOD(YEAR(Table_DonMua[[#This Row],[Ngày lập]]),100)*10000+MONTH(Table_DonMua[[#This Row],[Ngày lập]])*100+DAY(Table_DonMua[[#This Row],[Ngày lập]]),"-",Table_DonMua[[#This Row],[TT]])</f>
        <v>NHAP-NCC2-250523-</v>
      </c>
      <c r="N49" s="411">
        <v>45800</v>
      </c>
      <c r="O49" s="527" t="s">
        <v>1159</v>
      </c>
      <c r="P49" s="527" t="s">
        <v>1155</v>
      </c>
      <c r="Q49" s="413">
        <f>IFERROR(
SUM(_xlfn._xlws.FILTER(Table_Main[Giá trị hàng nhập],
(Table_Main[Đơn Mua] = Table_DonMua[[#This Row],[Mã Đơn mua]])
)),0)</f>
        <v>2388672</v>
      </c>
      <c r="R49" s="413">
        <f>IFERROR(
SUM(_xlfn._xlws.FILTER(Table_Main[VAT khấu trừ],
(Table_Main[Đơn Mua] = Table_DonMua[[#This Row],[Mã Đơn mua]])
)),0)</f>
        <v>0</v>
      </c>
      <c r="S49" s="528"/>
      <c r="T49" s="528"/>
      <c r="U49" s="120">
        <f xml:space="preserve">
IFERROR(Table_DonMua[[#This Row],[VAT hàng]]+Table_DonMua[[#This Row],[VAT hàng]]/Table_DonMua[[#This Row],[Tiền hàng]]*(Table_DonMua[[#This Row],[Phụ phí]]-Table_DonMua[[#This Row],[Khuyến mãi]]),0)</f>
        <v>0</v>
      </c>
      <c r="V49" s="415">
        <f>Table_DonMua[[#This Row],[Phải trả]]-Table_DonMua[[#This Row],[Tổng VAT khấu trừ]]</f>
        <v>2388672</v>
      </c>
      <c r="W49" s="413">
        <f xml:space="preserve">
IF(Table_DonMua[[#This Row],[Mã Đơn mua]]="TONKHODAU",0,
+Table_DonMua[[#This Row],[Tiền hàng]]+Table_DonMua[[#This Row],[Phụ phí]]-Table_DonMua[[#This Row],[Khuyến mãi]])</f>
        <v>2388672</v>
      </c>
      <c r="X49" s="521"/>
      <c r="Y49"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48"/>
      <c r="M50" s="520" t="str">
        <f>CONCATENATE("NHAP-",Table_DonMua[[#This Row],[Mã Đối tác]],"-",MOD(YEAR(Table_DonMua[[#This Row],[Ngày lập]]),100)*10000+MONTH(Table_DonMua[[#This Row],[Ngày lập]])*100+DAY(Table_DonMua[[#This Row],[Ngày lập]]),"-",Table_DonMua[[#This Row],[TT]])</f>
        <v>NHAP-NCC2-250520-</v>
      </c>
      <c r="N50" s="411">
        <v>45797</v>
      </c>
      <c r="O50" s="527" t="s">
        <v>1159</v>
      </c>
      <c r="P50" s="527" t="s">
        <v>1155</v>
      </c>
      <c r="Q50" s="413">
        <f>IFERROR(
SUM(_xlfn._xlws.FILTER(Table_Main[Giá trị hàng nhập],
(Table_Main[Đơn Mua] = Table_DonMua[[#This Row],[Mã Đơn mua]])
)),0)</f>
        <v>4980430</v>
      </c>
      <c r="R50" s="413">
        <f>IFERROR(
SUM(_xlfn._xlws.FILTER(Table_Main[VAT khấu trừ],
(Table_Main[Đơn Mua] = Table_DonMua[[#This Row],[Mã Đơn mua]])
)),0)</f>
        <v>0</v>
      </c>
      <c r="S50" s="528"/>
      <c r="T50" s="528"/>
      <c r="U50" s="120">
        <f xml:space="preserve">
IFERROR(Table_DonMua[[#This Row],[VAT hàng]]+Table_DonMua[[#This Row],[VAT hàng]]/Table_DonMua[[#This Row],[Tiền hàng]]*(Table_DonMua[[#This Row],[Phụ phí]]-Table_DonMua[[#This Row],[Khuyến mãi]]),0)</f>
        <v>0</v>
      </c>
      <c r="V50" s="415">
        <f>Table_DonMua[[#This Row],[Phải trả]]-Table_DonMua[[#This Row],[Tổng VAT khấu trừ]]</f>
        <v>4980430</v>
      </c>
      <c r="W50" s="413">
        <f xml:space="preserve">
IF(Table_DonMua[[#This Row],[Mã Đơn mua]]="TONKHODAU",0,
+Table_DonMua[[#This Row],[Tiền hàng]]+Table_DonMua[[#This Row],[Phụ phí]]-Table_DonMua[[#This Row],[Khuyến mãi]])</f>
        <v>4980430</v>
      </c>
      <c r="X50" s="521"/>
      <c r="Y50"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48"/>
      <c r="M51" s="520" t="str">
        <f>CONCATENATE("NHAP-",Table_DonMua[[#This Row],[Mã Đối tác]],"-",MOD(YEAR(Table_DonMua[[#This Row],[Ngày lập]]),100)*10000+MONTH(Table_DonMua[[#This Row],[Ngày lập]])*100+DAY(Table_DonMua[[#This Row],[Ngày lập]]),"-",Table_DonMua[[#This Row],[TT]])</f>
        <v>NHAP-NCC2-250511-</v>
      </c>
      <c r="N51" s="411">
        <v>45788</v>
      </c>
      <c r="O51" s="527" t="s">
        <v>1159</v>
      </c>
      <c r="P51" s="527" t="s">
        <v>1155</v>
      </c>
      <c r="Q51" s="413">
        <f>IFERROR(
SUM(_xlfn._xlws.FILTER(Table_Main[Giá trị hàng nhập],
(Table_Main[Đơn Mua] = Table_DonMua[[#This Row],[Mã Đơn mua]])
)),0)</f>
        <v>540624</v>
      </c>
      <c r="R51" s="413">
        <f>IFERROR(
SUM(_xlfn._xlws.FILTER(Table_Main[VAT khấu trừ],
(Table_Main[Đơn Mua] = Table_DonMua[[#This Row],[Mã Đơn mua]])
)),0)</f>
        <v>0</v>
      </c>
      <c r="S51" s="528"/>
      <c r="T51" s="528"/>
      <c r="U51" s="120">
        <f xml:space="preserve">
IFERROR(Table_DonMua[[#This Row],[VAT hàng]]+Table_DonMua[[#This Row],[VAT hàng]]/Table_DonMua[[#This Row],[Tiền hàng]]*(Table_DonMua[[#This Row],[Phụ phí]]-Table_DonMua[[#This Row],[Khuyến mãi]]),0)</f>
        <v>0</v>
      </c>
      <c r="V51" s="415">
        <f>Table_DonMua[[#This Row],[Phải trả]]-Table_DonMua[[#This Row],[Tổng VAT khấu trừ]]</f>
        <v>540624</v>
      </c>
      <c r="W51" s="413">
        <f xml:space="preserve">
IF(Table_DonMua[[#This Row],[Mã Đơn mua]]="TONKHODAU",0,
+Table_DonMua[[#This Row],[Tiền hàng]]+Table_DonMua[[#This Row],[Phụ phí]]-Table_DonMua[[#This Row],[Khuyến mãi]])</f>
        <v>540624</v>
      </c>
      <c r="X51" s="521"/>
      <c r="Y51"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48"/>
      <c r="M52" s="520" t="str">
        <f>CONCATENATE("NHAP-",Table_DonMua[[#This Row],[Mã Đối tác]],"-",MOD(YEAR(Table_DonMua[[#This Row],[Ngày lập]]),100)*10000+MONTH(Table_DonMua[[#This Row],[Ngày lập]])*100+DAY(Table_DonMua[[#This Row],[Ngày lập]]),"-",Table_DonMua[[#This Row],[TT]])</f>
        <v>NHAP-NCC1-250505-</v>
      </c>
      <c r="N52" s="411">
        <v>45782</v>
      </c>
      <c r="O52" s="527" t="s">
        <v>1158</v>
      </c>
      <c r="P52" s="527" t="s">
        <v>1155</v>
      </c>
      <c r="Q52" s="413">
        <f>IFERROR(
SUM(_xlfn._xlws.FILTER(Table_Main[Giá trị hàng nhập],
(Table_Main[Đơn Mua] = Table_DonMua[[#This Row],[Mã Đơn mua]])
)),0)</f>
        <v>2571280</v>
      </c>
      <c r="R52" s="413">
        <f>IFERROR(
SUM(_xlfn._xlws.FILTER(Table_Main[VAT khấu trừ],
(Table_Main[Đơn Mua] = Table_DonMua[[#This Row],[Mã Đơn mua]])
)),0)</f>
        <v>0</v>
      </c>
      <c r="S52" s="528"/>
      <c r="T52" s="528"/>
      <c r="U52" s="120">
        <f xml:space="preserve">
IFERROR(Table_DonMua[[#This Row],[VAT hàng]]+Table_DonMua[[#This Row],[VAT hàng]]/Table_DonMua[[#This Row],[Tiền hàng]]*(Table_DonMua[[#This Row],[Phụ phí]]-Table_DonMua[[#This Row],[Khuyến mãi]]),0)</f>
        <v>0</v>
      </c>
      <c r="V52" s="415">
        <f>Table_DonMua[[#This Row],[Phải trả]]-Table_DonMua[[#This Row],[Tổng VAT khấu trừ]]</f>
        <v>2571280</v>
      </c>
      <c r="W52" s="413">
        <f xml:space="preserve">
IF(Table_DonMua[[#This Row],[Mã Đơn mua]]="TONKHODAU",0,
+Table_DonMua[[#This Row],[Tiền hàng]]+Table_DonMua[[#This Row],[Phụ phí]]-Table_DonMua[[#This Row],[Khuyến mãi]])</f>
        <v>2571280</v>
      </c>
      <c r="X52" s="521"/>
      <c r="Y52"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48"/>
      <c r="M53" s="520" t="str">
        <f>CONCATENATE("NHAP-",Table_DonMua[[#This Row],[Mã Đối tác]],"-",MOD(YEAR(Table_DonMua[[#This Row],[Ngày lập]]),100)*10000+MONTH(Table_DonMua[[#This Row],[Ngày lập]])*100+DAY(Table_DonMua[[#This Row],[Ngày lập]]),"-",Table_DonMua[[#This Row],[TT]])</f>
        <v>NHAP-NCC2-250501-</v>
      </c>
      <c r="N53" s="411">
        <v>45778</v>
      </c>
      <c r="O53" s="527" t="s">
        <v>1159</v>
      </c>
      <c r="P53" s="527" t="s">
        <v>1155</v>
      </c>
      <c r="Q53" s="413">
        <f>IFERROR(
SUM(_xlfn._xlws.FILTER(Table_Main[Giá trị hàng nhập],
(Table_Main[Đơn Mua] = Table_DonMua[[#This Row],[Mã Đơn mua]])
)),0)</f>
        <v>1367328</v>
      </c>
      <c r="R53" s="413">
        <f>IFERROR(
SUM(_xlfn._xlws.FILTER(Table_Main[VAT khấu trừ],
(Table_Main[Đơn Mua] = Table_DonMua[[#This Row],[Mã Đơn mua]])
)),0)</f>
        <v>0</v>
      </c>
      <c r="S53" s="528"/>
      <c r="T53" s="528"/>
      <c r="U53" s="120">
        <f xml:space="preserve">
IFERROR(Table_DonMua[[#This Row],[VAT hàng]]+Table_DonMua[[#This Row],[VAT hàng]]/Table_DonMua[[#This Row],[Tiền hàng]]*(Table_DonMua[[#This Row],[Phụ phí]]-Table_DonMua[[#This Row],[Khuyến mãi]]),0)</f>
        <v>0</v>
      </c>
      <c r="V53" s="415">
        <f>Table_DonMua[[#This Row],[Phải trả]]-Table_DonMua[[#This Row],[Tổng VAT khấu trừ]]</f>
        <v>1367328</v>
      </c>
      <c r="W53" s="413">
        <f xml:space="preserve">
IF(Table_DonMua[[#This Row],[Mã Đơn mua]]="TONKHODAU",0,
+Table_DonMua[[#This Row],[Tiền hàng]]+Table_DonMua[[#This Row],[Phụ phí]]-Table_DonMua[[#This Row],[Khuyến mãi]])</f>
        <v>1367328</v>
      </c>
      <c r="X53" s="521"/>
      <c r="Y53"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48"/>
      <c r="M54" s="520" t="str">
        <f>CONCATENATE("NHAP-",Table_DonMua[[#This Row],[Mã Đối tác]],"-",MOD(YEAR(Table_DonMua[[#This Row],[Ngày lập]]),100)*10000+MONTH(Table_DonMua[[#This Row],[Ngày lập]])*100+DAY(Table_DonMua[[#This Row],[Ngày lập]]),"-",Table_DonMua[[#This Row],[TT]])</f>
        <v>NHAP-NCC1-250428-</v>
      </c>
      <c r="N54" s="411">
        <v>45775</v>
      </c>
      <c r="O54" s="527" t="s">
        <v>1158</v>
      </c>
      <c r="P54" s="527" t="s">
        <v>1155</v>
      </c>
      <c r="Q54" s="413">
        <f>IFERROR(
SUM(_xlfn._xlws.FILTER(Table_Main[Giá trị hàng nhập],
(Table_Main[Đơn Mua] = Table_DonMua[[#This Row],[Mã Đơn mua]])
)),0)</f>
        <v>948135</v>
      </c>
      <c r="R54" s="413">
        <f>IFERROR(
SUM(_xlfn._xlws.FILTER(Table_Main[VAT khấu trừ],
(Table_Main[Đơn Mua] = Table_DonMua[[#This Row],[Mã Đơn mua]])
)),0)</f>
        <v>0</v>
      </c>
      <c r="S54" s="528"/>
      <c r="T54" s="528"/>
      <c r="U54" s="120">
        <f xml:space="preserve">
IFERROR(Table_DonMua[[#This Row],[VAT hàng]]+Table_DonMua[[#This Row],[VAT hàng]]/Table_DonMua[[#This Row],[Tiền hàng]]*(Table_DonMua[[#This Row],[Phụ phí]]-Table_DonMua[[#This Row],[Khuyến mãi]]),0)</f>
        <v>0</v>
      </c>
      <c r="V54" s="415">
        <f>Table_DonMua[[#This Row],[Phải trả]]-Table_DonMua[[#This Row],[Tổng VAT khấu trừ]]</f>
        <v>948135</v>
      </c>
      <c r="W54" s="413">
        <f xml:space="preserve">
IF(Table_DonMua[[#This Row],[Mã Đơn mua]]="TONKHODAU",0,
+Table_DonMua[[#This Row],[Tiền hàng]]+Table_DonMua[[#This Row],[Phụ phí]]-Table_DonMua[[#This Row],[Khuyến mãi]])</f>
        <v>948135</v>
      </c>
      <c r="X54" s="521"/>
      <c r="Y54"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48"/>
      <c r="M55" s="520" t="str">
        <f>CONCATENATE("NHAP-",Table_DonMua[[#This Row],[Mã Đối tác]],"-",MOD(YEAR(Table_DonMua[[#This Row],[Ngày lập]]),100)*10000+MONTH(Table_DonMua[[#This Row],[Ngày lập]])*100+DAY(Table_DonMua[[#This Row],[Ngày lập]]),"-",Table_DonMua[[#This Row],[TT]])</f>
        <v>NHAP-NCC2-250425-</v>
      </c>
      <c r="N55" s="411">
        <v>45772</v>
      </c>
      <c r="O55" s="527" t="s">
        <v>1159</v>
      </c>
      <c r="P55" s="527" t="s">
        <v>1155</v>
      </c>
      <c r="Q55" s="413">
        <f>IFERROR(
SUM(_xlfn._xlws.FILTER(Table_Main[Giá trị hàng nhập],
(Table_Main[Đơn Mua] = Table_DonMua[[#This Row],[Mã Đơn mua]])
)),0)</f>
        <v>3671875</v>
      </c>
      <c r="R55" s="413">
        <f>IFERROR(
SUM(_xlfn._xlws.FILTER(Table_Main[VAT khấu trừ],
(Table_Main[Đơn Mua] = Table_DonMua[[#This Row],[Mã Đơn mua]])
)),0)</f>
        <v>0</v>
      </c>
      <c r="S55" s="528"/>
      <c r="T55" s="528"/>
      <c r="U55" s="120">
        <f xml:space="preserve">
IFERROR(Table_DonMua[[#This Row],[VAT hàng]]+Table_DonMua[[#This Row],[VAT hàng]]/Table_DonMua[[#This Row],[Tiền hàng]]*(Table_DonMua[[#This Row],[Phụ phí]]-Table_DonMua[[#This Row],[Khuyến mãi]]),0)</f>
        <v>0</v>
      </c>
      <c r="V55" s="415">
        <f>Table_DonMua[[#This Row],[Phải trả]]-Table_DonMua[[#This Row],[Tổng VAT khấu trừ]]</f>
        <v>3671875</v>
      </c>
      <c r="W55" s="413">
        <f xml:space="preserve">
IF(Table_DonMua[[#This Row],[Mã Đơn mua]]="TONKHODAU",0,
+Table_DonMua[[#This Row],[Tiền hàng]]+Table_DonMua[[#This Row],[Phụ phí]]-Table_DonMua[[#This Row],[Khuyến mãi]])</f>
        <v>3671875</v>
      </c>
      <c r="X55" s="521"/>
      <c r="Y55"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48"/>
      <c r="M56" s="520" t="str">
        <f>CONCATENATE("NHAP-",Table_DonMua[[#This Row],[Mã Đối tác]],"-",MOD(YEAR(Table_DonMua[[#This Row],[Ngày lập]]),100)*10000+MONTH(Table_DonMua[[#This Row],[Ngày lập]])*100+DAY(Table_DonMua[[#This Row],[Ngày lập]]),"-",Table_DonMua[[#This Row],[TT]])</f>
        <v>NHAP-NCC3-250420-</v>
      </c>
      <c r="N56" s="411">
        <v>45767</v>
      </c>
      <c r="O56" s="527" t="s">
        <v>1160</v>
      </c>
      <c r="P56" s="527" t="s">
        <v>1155</v>
      </c>
      <c r="Q56" s="413">
        <f>IFERROR(
SUM(_xlfn._xlws.FILTER(Table_Main[Giá trị hàng nhập],
(Table_Main[Đơn Mua] = Table_DonMua[[#This Row],[Mã Đơn mua]])
)),0)</f>
        <v>1584286</v>
      </c>
      <c r="R56" s="413">
        <f>IFERROR(
SUM(_xlfn._xlws.FILTER(Table_Main[VAT khấu trừ],
(Table_Main[Đơn Mua] = Table_DonMua[[#This Row],[Mã Đơn mua]])
)),0)</f>
        <v>0</v>
      </c>
      <c r="S56" s="528"/>
      <c r="T56" s="528"/>
      <c r="U56" s="120">
        <f xml:space="preserve">
IFERROR(Table_DonMua[[#This Row],[VAT hàng]]+Table_DonMua[[#This Row],[VAT hàng]]/Table_DonMua[[#This Row],[Tiền hàng]]*(Table_DonMua[[#This Row],[Phụ phí]]-Table_DonMua[[#This Row],[Khuyến mãi]]),0)</f>
        <v>0</v>
      </c>
      <c r="V56" s="415">
        <f>Table_DonMua[[#This Row],[Phải trả]]-Table_DonMua[[#This Row],[Tổng VAT khấu trừ]]</f>
        <v>1584286</v>
      </c>
      <c r="W56" s="413">
        <f xml:space="preserve">
IF(Table_DonMua[[#This Row],[Mã Đơn mua]]="TONKHODAU",0,
+Table_DonMua[[#This Row],[Tiền hàng]]+Table_DonMua[[#This Row],[Phụ phí]]-Table_DonMua[[#This Row],[Khuyến mãi]])</f>
        <v>1584286</v>
      </c>
      <c r="X56" s="521"/>
      <c r="Y56"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48"/>
      <c r="M57" s="520" t="str">
        <f>CONCATENATE("NHAP-",Table_DonMua[[#This Row],[Mã Đối tác]],"-",MOD(YEAR(Table_DonMua[[#This Row],[Ngày lập]]),100)*10000+MONTH(Table_DonMua[[#This Row],[Ngày lập]])*100+DAY(Table_DonMua[[#This Row],[Ngày lập]]),"-",Table_DonMua[[#This Row],[TT]])</f>
        <v>NHAP-NCC1-250417-</v>
      </c>
      <c r="N57" s="411">
        <v>45764</v>
      </c>
      <c r="O57" s="527" t="s">
        <v>1158</v>
      </c>
      <c r="P57" s="527" t="s">
        <v>1155</v>
      </c>
      <c r="Q57" s="413">
        <f>IFERROR(
SUM(_xlfn._xlws.FILTER(Table_Main[Giá trị hàng nhập],
(Table_Main[Đơn Mua] = Table_DonMua[[#This Row],[Mã Đơn mua]])
)),0)</f>
        <v>730769</v>
      </c>
      <c r="R57" s="413">
        <f>IFERROR(
SUM(_xlfn._xlws.FILTER(Table_Main[VAT khấu trừ],
(Table_Main[Đơn Mua] = Table_DonMua[[#This Row],[Mã Đơn mua]])
)),0)</f>
        <v>0</v>
      </c>
      <c r="S57" s="528"/>
      <c r="T57" s="528"/>
      <c r="U57" s="120">
        <f xml:space="preserve">
IFERROR(Table_DonMua[[#This Row],[VAT hàng]]+Table_DonMua[[#This Row],[VAT hàng]]/Table_DonMua[[#This Row],[Tiền hàng]]*(Table_DonMua[[#This Row],[Phụ phí]]-Table_DonMua[[#This Row],[Khuyến mãi]]),0)</f>
        <v>0</v>
      </c>
      <c r="V57" s="415">
        <f>Table_DonMua[[#This Row],[Phải trả]]-Table_DonMua[[#This Row],[Tổng VAT khấu trừ]]</f>
        <v>730769</v>
      </c>
      <c r="W57" s="413">
        <f xml:space="preserve">
IF(Table_DonMua[[#This Row],[Mã Đơn mua]]="TONKHODAU",0,
+Table_DonMua[[#This Row],[Tiền hàng]]+Table_DonMua[[#This Row],[Phụ phí]]-Table_DonMua[[#This Row],[Khuyến mãi]])</f>
        <v>730769</v>
      </c>
      <c r="X57" s="521"/>
      <c r="Y57"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48"/>
      <c r="M58" s="520" t="str">
        <f>CONCATENATE("NHAP-",Table_DonMua[[#This Row],[Mã Đối tác]],"-",MOD(YEAR(Table_DonMua[[#This Row],[Ngày lập]]),100)*10000+MONTH(Table_DonMua[[#This Row],[Ngày lập]])*100+DAY(Table_DonMua[[#This Row],[Ngày lập]]),"-",Table_DonMua[[#This Row],[TT]])</f>
        <v>NHAP-NCC2-250328-</v>
      </c>
      <c r="N58" s="411">
        <v>45744</v>
      </c>
      <c r="O58" s="527" t="s">
        <v>1159</v>
      </c>
      <c r="P58" s="527" t="s">
        <v>1155</v>
      </c>
      <c r="Q58" s="413">
        <f>IFERROR(
SUM(_xlfn._xlws.FILTER(Table_Main[Giá trị hàng nhập],
(Table_Main[Đơn Mua] = Table_DonMua[[#This Row],[Mã Đơn mua]])
)),0)</f>
        <v>885396</v>
      </c>
      <c r="R58" s="413">
        <f>IFERROR(
SUM(_xlfn._xlws.FILTER(Table_Main[VAT khấu trừ],
(Table_Main[Đơn Mua] = Table_DonMua[[#This Row],[Mã Đơn mua]])
)),0)</f>
        <v>0</v>
      </c>
      <c r="S58" s="528"/>
      <c r="T58" s="528"/>
      <c r="U58" s="120">
        <f xml:space="preserve">
IFERROR(Table_DonMua[[#This Row],[VAT hàng]]+Table_DonMua[[#This Row],[VAT hàng]]/Table_DonMua[[#This Row],[Tiền hàng]]*(Table_DonMua[[#This Row],[Phụ phí]]-Table_DonMua[[#This Row],[Khuyến mãi]]),0)</f>
        <v>0</v>
      </c>
      <c r="V58" s="415">
        <f>Table_DonMua[[#This Row],[Phải trả]]-Table_DonMua[[#This Row],[Tổng VAT khấu trừ]]</f>
        <v>885396</v>
      </c>
      <c r="W58" s="413">
        <f xml:space="preserve">
IF(Table_DonMua[[#This Row],[Mã Đơn mua]]="TONKHODAU",0,
+Table_DonMua[[#This Row],[Tiền hàng]]+Table_DonMua[[#This Row],[Phụ phí]]-Table_DonMua[[#This Row],[Khuyến mãi]])</f>
        <v>885396</v>
      </c>
      <c r="X58" s="521"/>
      <c r="Y58"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48"/>
      <c r="M59" s="520" t="str">
        <f>CONCATENATE("NHAP-",Table_DonMua[[#This Row],[Mã Đối tác]],"-",MOD(YEAR(Table_DonMua[[#This Row],[Ngày lập]]),100)*10000+MONTH(Table_DonMua[[#This Row],[Ngày lập]])*100+DAY(Table_DonMua[[#This Row],[Ngày lập]]),"-",Table_DonMua[[#This Row],[TT]])</f>
        <v>NHAP-NCC1-250321-</v>
      </c>
      <c r="N59" s="411">
        <v>45737</v>
      </c>
      <c r="O59" s="527" t="s">
        <v>1158</v>
      </c>
      <c r="P59" s="527" t="s">
        <v>1155</v>
      </c>
      <c r="Q59" s="413">
        <f>IFERROR(
SUM(_xlfn._xlws.FILTER(Table_Main[Giá trị hàng nhập],
(Table_Main[Đơn Mua] = Table_DonMua[[#This Row],[Mã Đơn mua]])
)),0)</f>
        <v>790272</v>
      </c>
      <c r="R59" s="413">
        <f>IFERROR(
SUM(_xlfn._xlws.FILTER(Table_Main[VAT khấu trừ],
(Table_Main[Đơn Mua] = Table_DonMua[[#This Row],[Mã Đơn mua]])
)),0)</f>
        <v>0</v>
      </c>
      <c r="S59" s="528"/>
      <c r="T59" s="528"/>
      <c r="U59" s="120">
        <f xml:space="preserve">
IFERROR(Table_DonMua[[#This Row],[VAT hàng]]+Table_DonMua[[#This Row],[VAT hàng]]/Table_DonMua[[#This Row],[Tiền hàng]]*(Table_DonMua[[#This Row],[Phụ phí]]-Table_DonMua[[#This Row],[Khuyến mãi]]),0)</f>
        <v>0</v>
      </c>
      <c r="V59" s="415">
        <f>Table_DonMua[[#This Row],[Phải trả]]-Table_DonMua[[#This Row],[Tổng VAT khấu trừ]]</f>
        <v>790272</v>
      </c>
      <c r="W59" s="413">
        <f xml:space="preserve">
IF(Table_DonMua[[#This Row],[Mã Đơn mua]]="TONKHODAU",0,
+Table_DonMua[[#This Row],[Tiền hàng]]+Table_DonMua[[#This Row],[Phụ phí]]-Table_DonMua[[#This Row],[Khuyến mãi]])</f>
        <v>790272</v>
      </c>
      <c r="X59" s="521"/>
      <c r="Y59"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48"/>
      <c r="M60" s="520" t="str">
        <f>CONCATENATE("NHAP-",Table_DonMua[[#This Row],[Mã Đối tác]],"-",MOD(YEAR(Table_DonMua[[#This Row],[Ngày lập]]),100)*10000+MONTH(Table_DonMua[[#This Row],[Ngày lập]])*100+DAY(Table_DonMua[[#This Row],[Ngày lập]]),"-",Table_DonMua[[#This Row],[TT]])</f>
        <v>NHAP-NCC1-250316-</v>
      </c>
      <c r="N60" s="411">
        <v>45732</v>
      </c>
      <c r="O60" s="527" t="s">
        <v>1158</v>
      </c>
      <c r="P60" s="527" t="s">
        <v>1155</v>
      </c>
      <c r="Q60" s="413">
        <f>IFERROR(
SUM(_xlfn._xlws.FILTER(Table_Main[Giá trị hàng nhập],
(Table_Main[Đơn Mua] = Table_DonMua[[#This Row],[Mã Đơn mua]])
)),0)</f>
        <v>3197782</v>
      </c>
      <c r="R60" s="413">
        <f>IFERROR(
SUM(_xlfn._xlws.FILTER(Table_Main[VAT khấu trừ],
(Table_Main[Đơn Mua] = Table_DonMua[[#This Row],[Mã Đơn mua]])
)),0)</f>
        <v>0</v>
      </c>
      <c r="S60" s="528"/>
      <c r="T60" s="528"/>
      <c r="U60" s="120">
        <f xml:space="preserve">
IFERROR(Table_DonMua[[#This Row],[VAT hàng]]+Table_DonMua[[#This Row],[VAT hàng]]/Table_DonMua[[#This Row],[Tiền hàng]]*(Table_DonMua[[#This Row],[Phụ phí]]-Table_DonMua[[#This Row],[Khuyến mãi]]),0)</f>
        <v>0</v>
      </c>
      <c r="V60" s="415">
        <f>Table_DonMua[[#This Row],[Phải trả]]-Table_DonMua[[#This Row],[Tổng VAT khấu trừ]]</f>
        <v>3197782</v>
      </c>
      <c r="W60" s="413">
        <f xml:space="preserve">
IF(Table_DonMua[[#This Row],[Mã Đơn mua]]="TONKHODAU",0,
+Table_DonMua[[#This Row],[Tiền hàng]]+Table_DonMua[[#This Row],[Phụ phí]]-Table_DonMua[[#This Row],[Khuyến mãi]])</f>
        <v>3197782</v>
      </c>
      <c r="X60" s="521"/>
      <c r="Y60"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48"/>
      <c r="M61" s="520" t="str">
        <f>CONCATENATE("NHAP-",Table_DonMua[[#This Row],[Mã Đối tác]],"-",MOD(YEAR(Table_DonMua[[#This Row],[Ngày lập]]),100)*10000+MONTH(Table_DonMua[[#This Row],[Ngày lập]])*100+DAY(Table_DonMua[[#This Row],[Ngày lập]]),"-",Table_DonMua[[#This Row],[TT]])</f>
        <v>NHAP-NCC2-250314-</v>
      </c>
      <c r="N61" s="411">
        <v>45730</v>
      </c>
      <c r="O61" s="527" t="s">
        <v>1159</v>
      </c>
      <c r="P61" s="527" t="s">
        <v>1155</v>
      </c>
      <c r="Q61" s="413">
        <f>IFERROR(
SUM(_xlfn._xlws.FILTER(Table_Main[Giá trị hàng nhập],
(Table_Main[Đơn Mua] = Table_DonMua[[#This Row],[Mã Đơn mua]])
)),0)</f>
        <v>1518566</v>
      </c>
      <c r="R61" s="413">
        <f>IFERROR(
SUM(_xlfn._xlws.FILTER(Table_Main[VAT khấu trừ],
(Table_Main[Đơn Mua] = Table_DonMua[[#This Row],[Mã Đơn mua]])
)),0)</f>
        <v>0</v>
      </c>
      <c r="S61" s="528"/>
      <c r="T61" s="528"/>
      <c r="U61" s="120">
        <f xml:space="preserve">
IFERROR(Table_DonMua[[#This Row],[VAT hàng]]+Table_DonMua[[#This Row],[VAT hàng]]/Table_DonMua[[#This Row],[Tiền hàng]]*(Table_DonMua[[#This Row],[Phụ phí]]-Table_DonMua[[#This Row],[Khuyến mãi]]),0)</f>
        <v>0</v>
      </c>
      <c r="V61" s="415">
        <f>Table_DonMua[[#This Row],[Phải trả]]-Table_DonMua[[#This Row],[Tổng VAT khấu trừ]]</f>
        <v>1518566</v>
      </c>
      <c r="W61" s="413">
        <f xml:space="preserve">
IF(Table_DonMua[[#This Row],[Mã Đơn mua]]="TONKHODAU",0,
+Table_DonMua[[#This Row],[Tiền hàng]]+Table_DonMua[[#This Row],[Phụ phí]]-Table_DonMua[[#This Row],[Khuyến mãi]])</f>
        <v>1518566</v>
      </c>
      <c r="X61" s="521"/>
      <c r="Y61"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48"/>
      <c r="M62" s="520" t="str">
        <f>CONCATENATE("NHAP-",Table_DonMua[[#This Row],[Mã Đối tác]],"-",MOD(YEAR(Table_DonMua[[#This Row],[Ngày lập]]),100)*10000+MONTH(Table_DonMua[[#This Row],[Ngày lập]])*100+DAY(Table_DonMua[[#This Row],[Ngày lập]]),"-",Table_DonMua[[#This Row],[TT]])</f>
        <v>NHAP-NCC3-250312-</v>
      </c>
      <c r="N62" s="411">
        <v>45728</v>
      </c>
      <c r="O62" s="527" t="s">
        <v>1160</v>
      </c>
      <c r="P62" s="527" t="s">
        <v>1155</v>
      </c>
      <c r="Q62" s="413">
        <f>IFERROR(
SUM(_xlfn._xlws.FILTER(Table_Main[Giá trị hàng nhập],
(Table_Main[Đơn Mua] = Table_DonMua[[#This Row],[Mã Đơn mua]])
)),0)</f>
        <v>836292</v>
      </c>
      <c r="R62" s="413">
        <f>IFERROR(
SUM(_xlfn._xlws.FILTER(Table_Main[VAT khấu trừ],
(Table_Main[Đơn Mua] = Table_DonMua[[#This Row],[Mã Đơn mua]])
)),0)</f>
        <v>0</v>
      </c>
      <c r="S62" s="528"/>
      <c r="T62" s="528"/>
      <c r="U62" s="120">
        <f xml:space="preserve">
IFERROR(Table_DonMua[[#This Row],[VAT hàng]]+Table_DonMua[[#This Row],[VAT hàng]]/Table_DonMua[[#This Row],[Tiền hàng]]*(Table_DonMua[[#This Row],[Phụ phí]]-Table_DonMua[[#This Row],[Khuyến mãi]]),0)</f>
        <v>0</v>
      </c>
      <c r="V62" s="415">
        <f>Table_DonMua[[#This Row],[Phải trả]]-Table_DonMua[[#This Row],[Tổng VAT khấu trừ]]</f>
        <v>836292</v>
      </c>
      <c r="W62" s="413">
        <f xml:space="preserve">
IF(Table_DonMua[[#This Row],[Mã Đơn mua]]="TONKHODAU",0,
+Table_DonMua[[#This Row],[Tiền hàng]]+Table_DonMua[[#This Row],[Phụ phí]]-Table_DonMua[[#This Row],[Khuyến mãi]])</f>
        <v>836292</v>
      </c>
      <c r="X62" s="521"/>
      <c r="Y62"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48"/>
      <c r="M63" s="520" t="str">
        <f>CONCATENATE("NHAP-",Table_DonMua[[#This Row],[Mã Đối tác]],"-",MOD(YEAR(Table_DonMua[[#This Row],[Ngày lập]]),100)*10000+MONTH(Table_DonMua[[#This Row],[Ngày lập]])*100+DAY(Table_DonMua[[#This Row],[Ngày lập]]),"-",Table_DonMua[[#This Row],[TT]])</f>
        <v>NHAP-NCC1-250306-</v>
      </c>
      <c r="N63" s="411">
        <v>45722</v>
      </c>
      <c r="O63" s="527" t="s">
        <v>1158</v>
      </c>
      <c r="P63" s="527" t="s">
        <v>1155</v>
      </c>
      <c r="Q63" s="413">
        <f>IFERROR(
SUM(_xlfn._xlws.FILTER(Table_Main[Giá trị hàng nhập],
(Table_Main[Đơn Mua] = Table_DonMua[[#This Row],[Mã Đơn mua]])
)),0)</f>
        <v>42000000</v>
      </c>
      <c r="R63" s="413">
        <f>IFERROR(
SUM(_xlfn._xlws.FILTER(Table_Main[VAT khấu trừ],
(Table_Main[Đơn Mua] = Table_DonMua[[#This Row],[Mã Đơn mua]])
)),0)</f>
        <v>0</v>
      </c>
      <c r="S63" s="528"/>
      <c r="T63" s="528"/>
      <c r="U63" s="120">
        <f xml:space="preserve">
IFERROR(Table_DonMua[[#This Row],[VAT hàng]]+Table_DonMua[[#This Row],[VAT hàng]]/Table_DonMua[[#This Row],[Tiền hàng]]*(Table_DonMua[[#This Row],[Phụ phí]]-Table_DonMua[[#This Row],[Khuyến mãi]]),0)</f>
        <v>0</v>
      </c>
      <c r="V63" s="415">
        <f>Table_DonMua[[#This Row],[Phải trả]]-Table_DonMua[[#This Row],[Tổng VAT khấu trừ]]</f>
        <v>42000000</v>
      </c>
      <c r="W63" s="413">
        <f xml:space="preserve">
IF(Table_DonMua[[#This Row],[Mã Đơn mua]]="TONKHODAU",0,
+Table_DonMua[[#This Row],[Tiền hàng]]+Table_DonMua[[#This Row],[Phụ phí]]-Table_DonMua[[#This Row],[Khuyến mãi]])</f>
        <v>42000000</v>
      </c>
      <c r="X63" s="521"/>
      <c r="Y63"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48"/>
      <c r="M64" s="520" t="str">
        <f>CONCATENATE("NHAP-",Table_DonMua[[#This Row],[Mã Đối tác]],"-",MOD(YEAR(Table_DonMua[[#This Row],[Ngày lập]]),100)*10000+MONTH(Table_DonMua[[#This Row],[Ngày lập]])*100+DAY(Table_DonMua[[#This Row],[Ngày lập]]),"-",Table_DonMua[[#This Row],[TT]])</f>
        <v>NHAP-NCC2-250304-</v>
      </c>
      <c r="N64" s="411">
        <v>45720</v>
      </c>
      <c r="O64" s="527" t="s">
        <v>1159</v>
      </c>
      <c r="P64" s="527" t="s">
        <v>1155</v>
      </c>
      <c r="Q64" s="413">
        <f>IFERROR(
SUM(_xlfn._xlws.FILTER(Table_Main[Giá trị hàng nhập],
(Table_Main[Đơn Mua] = Table_DonMua[[#This Row],[Mã Đơn mua]])
)),0)</f>
        <v>30000000</v>
      </c>
      <c r="R64" s="413">
        <f>IFERROR(
SUM(_xlfn._xlws.FILTER(Table_Main[VAT khấu trừ],
(Table_Main[Đơn Mua] = Table_DonMua[[#This Row],[Mã Đơn mua]])
)),0)</f>
        <v>0</v>
      </c>
      <c r="S64" s="528"/>
      <c r="T64" s="528"/>
      <c r="U64" s="120">
        <f xml:space="preserve">
IFERROR(Table_DonMua[[#This Row],[VAT hàng]]+Table_DonMua[[#This Row],[VAT hàng]]/Table_DonMua[[#This Row],[Tiền hàng]]*(Table_DonMua[[#This Row],[Phụ phí]]-Table_DonMua[[#This Row],[Khuyến mãi]]),0)</f>
        <v>0</v>
      </c>
      <c r="V64" s="415">
        <f>Table_DonMua[[#This Row],[Phải trả]]-Table_DonMua[[#This Row],[Tổng VAT khấu trừ]]</f>
        <v>30000000</v>
      </c>
      <c r="W64" s="413">
        <f xml:space="preserve">
IF(Table_DonMua[[#This Row],[Mã Đơn mua]]="TONKHODAU",0,
+Table_DonMua[[#This Row],[Tiền hàng]]+Table_DonMua[[#This Row],[Phụ phí]]-Table_DonMua[[#This Row],[Khuyến mãi]])</f>
        <v>30000000</v>
      </c>
      <c r="X64" s="521"/>
      <c r="Y64" s="522">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6"/>
      <c r="M65" s="51" t="s">
        <v>922</v>
      </c>
      <c r="N65" s="411"/>
      <c r="O65" s="527"/>
      <c r="P65" s="527"/>
      <c r="Q65" s="413">
        <f>IFERROR(
SUM(_xlfn._xlws.FILTER(Table_Main[Giá trị hàng nhập],
(Table_Main[Đơn Mua] = Table_DonMua[[#This Row],[Mã Đơn mua]])
)),0)</f>
        <v>0</v>
      </c>
      <c r="R65" s="413">
        <f>IFERROR(
SUM(_xlfn._xlws.FILTER(Table_Main[VAT khấu trừ],
(Table_Main[Đơn Mua] = Table_DonMua[[#This Row],[Mã Đơn mua]])
)),0)</f>
        <v>0</v>
      </c>
      <c r="S65" s="485"/>
      <c r="T65" s="485"/>
      <c r="U65" s="120">
        <f xml:space="preserve">
IFERROR(Table_DonMua[[#This Row],[VAT hàng]]+Table_DonMua[[#This Row],[VAT hàng]]/Table_DonMua[[#This Row],[Tiền hàng]]*(Table_DonMua[[#This Row],[Phụ phí]]-Table_DonMua[[#This Row],[Khuyến mãi]]),0)</f>
        <v>0</v>
      </c>
      <c r="V65" s="415">
        <f>Table_DonMua[[#This Row],[Phải trả]]-Table_DonMua[[#This Row],[Tổng VAT khấu trừ]]</f>
        <v>0</v>
      </c>
      <c r="W65" s="415">
        <f xml:space="preserve">
IF(Table_DonMua[[#This Row],[Mã Đơn mua]]="TONKHODAU",0,
+Table_DonMua[[#This Row],[Tiền hàng]]+Table_DonMua[[#This Row],[Phụ phí]]-Table_DonMua[[#This Row],[Khuyến mãi]])</f>
        <v>0</v>
      </c>
      <c r="X65" s="297"/>
      <c r="Y65" s="261">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whjDO07CMU9hrUPUnfChv0zO1t2IOosw2VqGWaM9AETxctPZiXxrlX6RmlPd/TfD/EOCsRWU3pVW0hXgMuuzVw==" saltValue="d5/SY1yddnHCrAobnYqYKg=="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58" priority="669"/>
  </conditionalFormatting>
  <conditionalFormatting sqref="G4:H4">
    <cfRule type="expression" dxfId="45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custom" allowBlank="1" showInputMessage="1" showErrorMessage="1" xr:uid="{4069C7E7-F157-4B96-B1B8-544BFDCBA7F1}">
          <x14:formula1>
            <xm:f>H11&lt;&gt;Sheet_DonBan!AB:AB</xm:f>
          </x14:formula1>
          <xm:sqref>H11</xm:sqref>
        </x14:dataValidation>
        <x14:dataValidation type="list" allowBlank="1" showInputMessage="1" showErrorMessage="1" xr:uid="{8FB0D184-06B3-4B97-AF93-3B1862948ABA}">
          <x14:formula1>
            <xm:f>_xlfn.ANCHORARRAY(Sheet_DoiTac!$E3)</xm:f>
          </x14:formula1>
          <xm:sqref>C3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Z71"/>
  <sheetViews>
    <sheetView showGridLines="0" topLeftCell="S1" zoomScaleNormal="100" workbookViewId="0">
      <selection activeCell="AC58" sqref="AC58"/>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7" width="9" style="7" customWidth="1" outlineLevel="1"/>
    <col min="28" max="28" width="9" style="28" customWidth="1" outlineLevel="1"/>
    <col min="29" max="29" width="9" style="7" customWidth="1" outlineLevel="1"/>
    <col min="30" max="30" width="14.25" style="7" bestFit="1" customWidth="1"/>
    <col min="31" max="31" width="13.375" style="7" bestFit="1" customWidth="1"/>
    <col min="32" max="32" width="9" style="7" customWidth="1"/>
    <col min="33" max="33" width="9" style="28" customWidth="1" outlineLevel="1"/>
    <col min="34" max="34" width="14.125" style="28" customWidth="1" outlineLevel="1"/>
    <col min="35" max="35" width="9.625" style="28" customWidth="1" outlineLevel="1"/>
    <col min="36" max="37" width="16.5" style="28" customWidth="1"/>
    <col min="38" max="42" width="15.625" style="7" customWidth="1" outlineLevel="1"/>
    <col min="43" max="43" width="6.75" style="7" bestFit="1" customWidth="1" collapsed="1"/>
    <col min="44" max="50" width="6.75" style="7" hidden="1" customWidth="1" outlineLevel="1"/>
    <col min="51" max="51" width="9" style="7" customWidth="1"/>
    <col min="52" max="52" width="9" style="38"/>
    <col min="53" max="16384" width="9" style="7"/>
  </cols>
  <sheetData>
    <row r="1" spans="1:52" s="21" customFormat="1" ht="37.5" customHeight="1" x14ac:dyDescent="0.3">
      <c r="A1" s="247"/>
      <c r="B1" s="56" t="str">
        <f>EULA!$B11</f>
        <v>Công ty ABC XYZ</v>
      </c>
      <c r="C1" s="280"/>
      <c r="D1" s="280"/>
      <c r="E1" s="247"/>
      <c r="F1" s="280"/>
      <c r="G1" s="280"/>
      <c r="H1" s="280"/>
      <c r="I1" s="280"/>
      <c r="J1" s="280"/>
      <c r="K1" s="280"/>
      <c r="L1" s="280"/>
      <c r="M1" s="280"/>
      <c r="N1" s="280"/>
      <c r="O1" s="280"/>
      <c r="P1" s="280"/>
      <c r="Q1" s="57" t="s">
        <v>718</v>
      </c>
      <c r="R1" s="280"/>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row>
    <row r="2" spans="1:52" ht="18" hidden="1" customHeight="1" outlineLevel="2" x14ac:dyDescent="0.3">
      <c r="A2" s="240"/>
      <c r="B2" s="274"/>
      <c r="C2" s="1" t="s">
        <v>719</v>
      </c>
      <c r="D2" s="274"/>
      <c r="E2" s="240"/>
      <c r="F2" s="274"/>
      <c r="G2" s="274"/>
      <c r="H2" s="274"/>
      <c r="I2" s="274"/>
      <c r="J2" s="274"/>
      <c r="K2" s="274"/>
      <c r="L2" s="274"/>
      <c r="M2" s="274"/>
      <c r="N2" s="274"/>
      <c r="O2" s="274"/>
      <c r="P2" s="274"/>
      <c r="Q2" s="295"/>
      <c r="R2" s="274"/>
      <c r="S2" s="246"/>
      <c r="T2" s="240"/>
      <c r="U2" s="240"/>
      <c r="V2" s="240"/>
      <c r="W2" s="240"/>
      <c r="X2" s="240"/>
      <c r="Y2" s="240"/>
      <c r="Z2" s="240"/>
      <c r="AA2" s="246"/>
      <c r="AB2" s="240"/>
      <c r="AC2" s="240"/>
      <c r="AD2" s="240"/>
      <c r="AE2" s="240"/>
      <c r="AF2" s="246"/>
      <c r="AG2" s="246"/>
      <c r="AH2" s="246"/>
      <c r="AI2" s="246"/>
      <c r="AJ2" s="240"/>
      <c r="AK2" s="240"/>
      <c r="AL2" s="240"/>
      <c r="AM2" s="240"/>
      <c r="AN2" s="240"/>
      <c r="AO2" s="240"/>
      <c r="AP2" s="240"/>
      <c r="AQ2" s="240"/>
      <c r="AR2" s="240"/>
      <c r="AS2" s="240"/>
      <c r="AT2" s="240"/>
      <c r="AU2" s="240"/>
      <c r="AV2" s="240"/>
      <c r="AW2" s="240"/>
      <c r="AX2" s="240"/>
      <c r="AY2" s="241"/>
      <c r="AZ2" s="240"/>
    </row>
    <row r="3" spans="1:52" ht="18" hidden="1" customHeight="1" outlineLevel="2" x14ac:dyDescent="0.3">
      <c r="A3" s="240"/>
      <c r="B3" s="274"/>
      <c r="C3" s="281"/>
      <c r="D3" s="274"/>
      <c r="E3" s="240"/>
      <c r="F3" s="274"/>
      <c r="G3" s="274"/>
      <c r="H3" s="274"/>
      <c r="I3" s="274"/>
      <c r="J3" s="274"/>
      <c r="K3" s="274"/>
      <c r="L3" s="274"/>
      <c r="M3" s="274"/>
      <c r="N3" s="274"/>
      <c r="O3" s="274"/>
      <c r="P3" s="274"/>
      <c r="Q3" s="295"/>
      <c r="R3" s="274"/>
      <c r="S3" s="246"/>
      <c r="T3" s="240"/>
      <c r="U3" s="240"/>
      <c r="V3" s="240"/>
      <c r="W3" s="240"/>
      <c r="X3" s="240"/>
      <c r="Y3" s="240"/>
      <c r="Z3" s="240"/>
      <c r="AA3" s="246"/>
      <c r="AB3" s="240"/>
      <c r="AC3" s="240"/>
      <c r="AD3" s="240"/>
      <c r="AE3" s="240"/>
      <c r="AF3" s="246"/>
      <c r="AG3" s="246"/>
      <c r="AH3" s="246"/>
      <c r="AI3" s="246"/>
      <c r="AJ3" s="240"/>
      <c r="AK3" s="240"/>
      <c r="AL3" s="240"/>
      <c r="AM3" s="240"/>
      <c r="AN3" s="240"/>
      <c r="AO3" s="240"/>
      <c r="AP3" s="240"/>
      <c r="AQ3" s="240"/>
      <c r="AR3" s="240"/>
      <c r="AS3" s="240"/>
      <c r="AT3" s="240"/>
      <c r="AU3" s="240"/>
      <c r="AV3" s="240"/>
      <c r="AW3" s="240"/>
      <c r="AX3" s="240"/>
      <c r="AY3" s="241"/>
      <c r="AZ3" s="240"/>
    </row>
    <row r="4" spans="1:52" ht="18" hidden="1" customHeight="1" outlineLevel="1" collapsed="1" x14ac:dyDescent="0.3">
      <c r="A4" s="240"/>
      <c r="B4" s="564" t="str">
        <f>EULA!$B14</f>
        <v>[Địa chỉ]</v>
      </c>
      <c r="C4" s="564" t="str">
        <f>EULA!$B14</f>
        <v>[Địa chỉ]</v>
      </c>
      <c r="D4" s="564" t="str">
        <f>EULA!$B14</f>
        <v>[Địa chỉ]</v>
      </c>
      <c r="E4" s="240"/>
      <c r="F4" s="1" t="s">
        <v>720</v>
      </c>
      <c r="G4" s="274"/>
      <c r="H4" s="274"/>
      <c r="I4" s="274"/>
      <c r="J4" s="274"/>
      <c r="K4" s="274"/>
      <c r="L4" s="274"/>
      <c r="M4" s="274"/>
      <c r="N4" s="274"/>
      <c r="O4" s="274"/>
      <c r="P4" s="566" t="str">
        <f>CONCATENATE("BAN-",C3,"-",MOD(YEAR(P5),100)*10000+MONTH(P5)*100+DAY(P5),"-",R4)</f>
        <v>BAN--100-1</v>
      </c>
      <c r="Q4" s="567"/>
      <c r="R4" s="282">
        <v>1</v>
      </c>
      <c r="S4" s="246"/>
      <c r="T4" s="240"/>
      <c r="U4" s="240"/>
      <c r="V4" s="240"/>
      <c r="W4" s="240"/>
      <c r="X4" s="240"/>
      <c r="Y4" s="240"/>
      <c r="Z4" s="240"/>
      <c r="AA4" s="246"/>
      <c r="AB4" s="240"/>
      <c r="AC4" s="240"/>
      <c r="AD4" s="240"/>
      <c r="AE4" s="240"/>
      <c r="AF4" s="246"/>
      <c r="AG4" s="246"/>
      <c r="AH4" s="246"/>
      <c r="AI4" s="246"/>
      <c r="AJ4" s="240"/>
      <c r="AK4" s="240"/>
      <c r="AL4" s="240"/>
      <c r="AM4" s="240"/>
      <c r="AN4" s="240"/>
      <c r="AO4" s="240"/>
      <c r="AP4" s="240"/>
      <c r="AQ4" s="240"/>
      <c r="AR4" s="240"/>
      <c r="AS4" s="240"/>
      <c r="AT4" s="240"/>
      <c r="AU4" s="240"/>
      <c r="AV4" s="240"/>
      <c r="AW4" s="240"/>
      <c r="AX4" s="240"/>
      <c r="AY4" s="240"/>
      <c r="AZ4" s="240"/>
    </row>
    <row r="5" spans="1:52" ht="18" hidden="1" customHeight="1" outlineLevel="1" x14ac:dyDescent="0.3">
      <c r="A5" s="240"/>
      <c r="B5" s="564" t="str">
        <f>EULA!$B15</f>
        <v>[Mã số thuế]</v>
      </c>
      <c r="C5" s="564" t="str">
        <f>EULA!$B15</f>
        <v>[Mã số thuế]</v>
      </c>
      <c r="D5" s="564" t="str">
        <f>EULA!$B15</f>
        <v>[Mã số thuế]</v>
      </c>
      <c r="E5" s="240"/>
      <c r="F5" s="1" t="s">
        <v>534</v>
      </c>
      <c r="G5" s="274"/>
      <c r="H5" s="274"/>
      <c r="I5" s="274"/>
      <c r="J5" s="274"/>
      <c r="K5" s="274"/>
      <c r="L5" s="274"/>
      <c r="M5" s="274"/>
      <c r="N5" s="274"/>
      <c r="O5" s="274"/>
      <c r="P5" s="568"/>
      <c r="Q5" s="569"/>
      <c r="R5" s="274"/>
      <c r="S5" s="246"/>
      <c r="T5" s="240"/>
      <c r="U5" s="240"/>
      <c r="V5" s="240"/>
      <c r="W5" s="240"/>
      <c r="X5" s="240"/>
      <c r="Y5" s="240"/>
      <c r="Z5" s="240"/>
      <c r="AA5" s="246"/>
      <c r="AB5" s="240"/>
      <c r="AC5" s="240"/>
      <c r="AD5" s="240"/>
      <c r="AE5" s="240"/>
      <c r="AF5" s="246"/>
      <c r="AG5" s="246"/>
      <c r="AH5" s="246"/>
      <c r="AI5" s="246"/>
      <c r="AJ5" s="240"/>
      <c r="AK5" s="240"/>
      <c r="AL5" s="240"/>
      <c r="AM5" s="240"/>
      <c r="AN5" s="240"/>
      <c r="AO5" s="240"/>
      <c r="AP5" s="240"/>
      <c r="AQ5" s="240"/>
      <c r="AR5" s="240"/>
      <c r="AS5" s="240"/>
      <c r="AT5" s="240"/>
      <c r="AU5" s="240"/>
      <c r="AV5" s="240"/>
      <c r="AW5" s="240"/>
      <c r="AX5" s="240"/>
      <c r="AY5" s="240"/>
      <c r="AZ5" s="240"/>
    </row>
    <row r="6" spans="1:52" ht="18" hidden="1" customHeight="1" outlineLevel="1" x14ac:dyDescent="0.3">
      <c r="A6" s="240"/>
      <c r="B6" s="564" t="str">
        <f>EULA!$B16</f>
        <v>[SĐT - Fax]</v>
      </c>
      <c r="C6" s="564" t="str">
        <f>EULA!$B16</f>
        <v>[SĐT - Fax]</v>
      </c>
      <c r="D6" s="564" t="str">
        <f>EULA!$B16</f>
        <v>[SĐT - Fax]</v>
      </c>
      <c r="E6" s="240"/>
      <c r="F6" s="1" t="s">
        <v>172</v>
      </c>
      <c r="G6" s="274"/>
      <c r="H6" s="274"/>
      <c r="I6" s="274"/>
      <c r="J6" s="274"/>
      <c r="K6" s="274"/>
      <c r="L6" s="274"/>
      <c r="M6" s="274"/>
      <c r="N6" s="274"/>
      <c r="O6" s="274"/>
      <c r="P6" s="573" t="str">
        <f>IFERROR(VLOOKUP(C3,Table_KhachHang[],Sheet_KhachHang!$C$1,0),"")</f>
        <v/>
      </c>
      <c r="Q6" s="571"/>
      <c r="R6" s="274"/>
      <c r="S6" s="246"/>
      <c r="T6" s="240"/>
      <c r="U6" s="240"/>
      <c r="V6" s="240"/>
      <c r="W6" s="240"/>
      <c r="X6" s="240"/>
      <c r="Y6" s="240"/>
      <c r="Z6" s="240"/>
      <c r="AA6" s="246"/>
      <c r="AB6" s="240"/>
      <c r="AC6" s="240"/>
      <c r="AD6" s="240"/>
      <c r="AE6" s="240"/>
      <c r="AF6" s="246"/>
      <c r="AG6" s="246"/>
      <c r="AH6" s="246"/>
      <c r="AI6" s="246"/>
      <c r="AJ6" s="240"/>
      <c r="AK6" s="240"/>
      <c r="AL6" s="240"/>
      <c r="AM6" s="240"/>
      <c r="AN6" s="240"/>
      <c r="AO6" s="240"/>
      <c r="AP6" s="240"/>
      <c r="AQ6" s="240"/>
      <c r="AR6" s="240"/>
      <c r="AS6" s="240"/>
      <c r="AT6" s="240"/>
      <c r="AU6" s="240"/>
      <c r="AV6" s="240"/>
      <c r="AW6" s="240"/>
      <c r="AX6" s="240"/>
      <c r="AY6" s="240"/>
      <c r="AZ6" s="240"/>
    </row>
    <row r="7" spans="1:52" ht="18" hidden="1" customHeight="1" outlineLevel="1" x14ac:dyDescent="0.3">
      <c r="A7" s="240"/>
      <c r="B7" s="185" t="str">
        <f>EULA!$B17</f>
        <v>[Website - Page]</v>
      </c>
      <c r="C7" s="287"/>
      <c r="D7" s="287"/>
      <c r="E7" s="240"/>
      <c r="F7" s="1" t="s">
        <v>721</v>
      </c>
      <c r="G7" s="274"/>
      <c r="H7" s="274"/>
      <c r="I7" s="274"/>
      <c r="J7" s="274"/>
      <c r="K7" s="274"/>
      <c r="L7" s="274"/>
      <c r="M7" s="274"/>
      <c r="N7" s="274"/>
      <c r="O7" s="274"/>
      <c r="P7" s="572"/>
      <c r="Q7" s="571"/>
      <c r="R7" s="274"/>
      <c r="S7" s="246"/>
      <c r="T7" s="240"/>
      <c r="U7" s="240"/>
      <c r="V7" s="240"/>
      <c r="W7" s="240"/>
      <c r="X7" s="240"/>
      <c r="Y7" s="240"/>
      <c r="Z7" s="240"/>
      <c r="AA7" s="246"/>
      <c r="AB7" s="240"/>
      <c r="AC7" s="240"/>
      <c r="AD7" s="240"/>
      <c r="AE7" s="240"/>
      <c r="AF7" s="246"/>
      <c r="AG7" s="246"/>
      <c r="AH7" s="246"/>
      <c r="AI7" s="246"/>
      <c r="AJ7" s="240"/>
      <c r="AK7" s="240"/>
      <c r="AL7" s="240"/>
      <c r="AM7" s="240"/>
      <c r="AN7" s="240"/>
      <c r="AO7" s="240"/>
      <c r="AP7" s="240"/>
      <c r="AQ7" s="240"/>
      <c r="AR7" s="240"/>
      <c r="AS7" s="240"/>
      <c r="AT7" s="240"/>
      <c r="AU7" s="240"/>
      <c r="AV7" s="240"/>
      <c r="AW7" s="240"/>
      <c r="AX7" s="240"/>
      <c r="AY7" s="240"/>
      <c r="AZ7" s="240"/>
    </row>
    <row r="8" spans="1:52" ht="18" hidden="1" customHeight="1" outlineLevel="1" x14ac:dyDescent="0.3">
      <c r="A8" s="240"/>
      <c r="B8" s="89" t="str">
        <f>EULA!$B18</f>
        <v>[STK - Ngân hàng]</v>
      </c>
      <c r="C8" s="287"/>
      <c r="D8" s="287"/>
      <c r="E8" s="240"/>
      <c r="F8" s="1" t="s">
        <v>37</v>
      </c>
      <c r="G8" s="274"/>
      <c r="H8" s="274"/>
      <c r="I8" s="274"/>
      <c r="J8" s="274"/>
      <c r="K8" s="274"/>
      <c r="L8" s="274"/>
      <c r="M8" s="274"/>
      <c r="N8" s="274"/>
      <c r="O8" s="274"/>
      <c r="P8" s="572"/>
      <c r="Q8" s="571"/>
      <c r="R8" s="274"/>
      <c r="S8" s="246"/>
      <c r="T8" s="240"/>
      <c r="U8" s="240"/>
      <c r="V8" s="240"/>
      <c r="W8" s="240"/>
      <c r="X8" s="240"/>
      <c r="Y8" s="240"/>
      <c r="Z8" s="240"/>
      <c r="AA8" s="246"/>
      <c r="AB8" s="240"/>
      <c r="AC8" s="240"/>
      <c r="AD8" s="240"/>
      <c r="AE8" s="240"/>
      <c r="AF8" s="246"/>
      <c r="AG8" s="246"/>
      <c r="AH8" s="246"/>
      <c r="AI8" s="246"/>
      <c r="AJ8" s="240"/>
      <c r="AK8" s="240"/>
      <c r="AL8" s="240"/>
      <c r="AM8" s="240"/>
      <c r="AN8" s="240"/>
      <c r="AO8" s="240"/>
      <c r="AP8" s="240"/>
      <c r="AQ8" s="240"/>
      <c r="AR8" s="240"/>
      <c r="AS8" s="240"/>
      <c r="AT8" s="240"/>
      <c r="AU8" s="240"/>
      <c r="AV8" s="240"/>
      <c r="AW8" s="240"/>
      <c r="AX8" s="240"/>
      <c r="AY8" s="241"/>
      <c r="AZ8" s="240"/>
    </row>
    <row r="9" spans="1:52" ht="42" hidden="1" customHeight="1" outlineLevel="1" x14ac:dyDescent="0.3">
      <c r="A9" s="240"/>
      <c r="B9" s="274"/>
      <c r="C9" s="274"/>
      <c r="D9" s="274"/>
      <c r="E9" s="274"/>
      <c r="G9" s="274"/>
      <c r="H9" s="274"/>
      <c r="I9" s="274"/>
      <c r="J9" s="274"/>
      <c r="K9" s="274"/>
      <c r="L9" s="274"/>
      <c r="M9" s="274"/>
      <c r="N9" s="274"/>
      <c r="O9" s="274"/>
      <c r="P9" s="295"/>
      <c r="Q9" s="429" t="str" cm="1">
        <f t="array" ref="Q9">Code128(P4)</f>
        <v>ÌBAN--1ÇÂÈ-1ÊÎ</v>
      </c>
      <c r="R9" s="274"/>
      <c r="S9" s="246"/>
      <c r="T9" s="240"/>
      <c r="U9" s="240"/>
      <c r="V9" s="240"/>
      <c r="W9" s="240"/>
      <c r="X9" s="240"/>
      <c r="Y9" s="240"/>
      <c r="Z9" s="240"/>
      <c r="AA9" s="246"/>
      <c r="AB9" s="240"/>
      <c r="AC9" s="240"/>
      <c r="AD9" s="240"/>
      <c r="AE9" s="240"/>
      <c r="AF9" s="246"/>
      <c r="AG9" s="246"/>
      <c r="AH9" s="246"/>
      <c r="AI9" s="246"/>
      <c r="AJ9" s="240"/>
      <c r="AK9" s="240"/>
      <c r="AL9" s="240"/>
      <c r="AM9" s="240"/>
      <c r="AN9" s="240"/>
      <c r="AO9" s="240"/>
      <c r="AP9" s="240"/>
      <c r="AQ9" s="240"/>
      <c r="AR9" s="240"/>
      <c r="AS9" s="240"/>
      <c r="AT9" s="240"/>
      <c r="AU9" s="240"/>
      <c r="AV9" s="240"/>
      <c r="AW9" s="240"/>
      <c r="AX9" s="240"/>
      <c r="AY9" s="241"/>
      <c r="AZ9" s="240"/>
    </row>
    <row r="10" spans="1:52" ht="18" hidden="1" customHeight="1" outlineLevel="1" x14ac:dyDescent="0.3">
      <c r="A10" s="240"/>
      <c r="B10" s="58" t="s">
        <v>722</v>
      </c>
      <c r="C10" s="283"/>
      <c r="D10" s="283"/>
      <c r="E10" s="274"/>
      <c r="F10" s="274"/>
      <c r="G10" s="274"/>
      <c r="H10" s="274"/>
      <c r="I10" s="274"/>
      <c r="J10" s="274"/>
      <c r="K10" s="274"/>
      <c r="L10" s="274"/>
      <c r="M10" s="274"/>
      <c r="N10" s="274"/>
      <c r="O10" s="274"/>
      <c r="P10" s="295"/>
      <c r="Q10" s="274"/>
      <c r="R10" s="274"/>
      <c r="S10" s="246"/>
      <c r="T10" s="240"/>
      <c r="U10" s="240"/>
      <c r="V10" s="240"/>
      <c r="W10" s="240"/>
      <c r="X10" s="240"/>
      <c r="Y10" s="240"/>
      <c r="Z10" s="240"/>
      <c r="AA10" s="246"/>
      <c r="AB10" s="240"/>
      <c r="AC10" s="240"/>
      <c r="AD10" s="240"/>
      <c r="AE10" s="240"/>
      <c r="AF10" s="246"/>
      <c r="AG10" s="246"/>
      <c r="AH10" s="246"/>
      <c r="AI10" s="246"/>
      <c r="AJ10" s="240"/>
      <c r="AK10" s="240"/>
      <c r="AL10" s="240"/>
      <c r="AM10" s="240"/>
      <c r="AN10" s="240"/>
      <c r="AO10" s="240"/>
      <c r="AP10" s="240"/>
      <c r="AQ10" s="240"/>
      <c r="AR10" s="240"/>
      <c r="AS10" s="240"/>
      <c r="AT10" s="240"/>
      <c r="AU10" s="240"/>
      <c r="AV10" s="240"/>
      <c r="AW10" s="240"/>
      <c r="AX10" s="240"/>
      <c r="AY10" s="241"/>
      <c r="AZ10" s="240"/>
    </row>
    <row r="11" spans="1:52" ht="18" hidden="1" customHeight="1" outlineLevel="2" x14ac:dyDescent="0.3">
      <c r="A11" s="240"/>
      <c r="B11" s="1" t="s">
        <v>535</v>
      </c>
      <c r="C11" s="274"/>
      <c r="D11" s="240"/>
      <c r="E11" s="564" t="str">
        <f>IFERROR(VLOOKUP(C3,Table_KhachHang[#All],Sheet_KhachHang!$C$1,0),"")</f>
        <v/>
      </c>
      <c r="F11" s="565"/>
      <c r="G11" s="565"/>
      <c r="H11" s="565"/>
      <c r="I11" s="565"/>
      <c r="J11" s="565"/>
      <c r="K11" s="565"/>
      <c r="L11" s="565"/>
      <c r="M11" s="565"/>
      <c r="N11" s="565"/>
      <c r="O11" s="565"/>
      <c r="P11" s="565"/>
      <c r="Q11" s="565"/>
      <c r="R11" s="274"/>
      <c r="S11" s="246"/>
      <c r="T11" s="240"/>
      <c r="U11" s="240"/>
      <c r="V11" s="240"/>
      <c r="W11" s="240"/>
      <c r="X11" s="240"/>
      <c r="Y11" s="240"/>
      <c r="Z11" s="240"/>
      <c r="AA11" s="246"/>
      <c r="AB11" s="240"/>
      <c r="AC11" s="240"/>
      <c r="AD11" s="240"/>
      <c r="AE11" s="240"/>
      <c r="AF11" s="246"/>
      <c r="AG11" s="246"/>
      <c r="AH11" s="246"/>
      <c r="AI11" s="246"/>
      <c r="AJ11" s="240"/>
      <c r="AK11" s="240"/>
      <c r="AL11" s="240"/>
      <c r="AM11" s="240"/>
      <c r="AN11" s="240"/>
      <c r="AO11" s="240"/>
      <c r="AP11" s="240"/>
      <c r="AQ11" s="240"/>
      <c r="AR11" s="240"/>
      <c r="AS11" s="240"/>
      <c r="AT11" s="240"/>
      <c r="AU11" s="240"/>
      <c r="AV11" s="240"/>
      <c r="AW11" s="240"/>
      <c r="AX11" s="240"/>
      <c r="AY11" s="241"/>
      <c r="AZ11" s="240"/>
    </row>
    <row r="12" spans="1:52" ht="18" hidden="1" customHeight="1" outlineLevel="2" x14ac:dyDescent="0.3">
      <c r="A12" s="240"/>
      <c r="B12" s="1" t="s">
        <v>700</v>
      </c>
      <c r="C12" s="274"/>
      <c r="D12" s="240"/>
      <c r="E12" s="564" t="str">
        <f>CONCATENATE(IFERROR(VLOOKUP(C3,Table_KhachHang[#All],Sheet_KhachHang!$G$1,0),""), " - ",IFERROR(VLOOKUP(C3,Table_KhachHang[#All],Sheet_KhachHang!#REF!,0),""), " - ",IFERROR(VLOOKUP(C3,Table_KhachHang[#All],Sheet_KhachHang!$H$1,0),"")  )</f>
        <v xml:space="preserve"> -  - </v>
      </c>
      <c r="F12" s="565"/>
      <c r="G12" s="565"/>
      <c r="H12" s="565"/>
      <c r="I12" s="565"/>
      <c r="J12" s="565"/>
      <c r="K12" s="565"/>
      <c r="L12" s="565"/>
      <c r="M12" s="565"/>
      <c r="N12" s="565"/>
      <c r="O12" s="565"/>
      <c r="P12" s="565"/>
      <c r="Q12" s="565"/>
      <c r="R12" s="274"/>
      <c r="S12" s="246"/>
      <c r="T12" s="240"/>
      <c r="U12" s="240"/>
      <c r="V12" s="240"/>
      <c r="W12" s="240"/>
      <c r="X12" s="240"/>
      <c r="Y12" s="240"/>
      <c r="Z12" s="240"/>
      <c r="AA12" s="246"/>
      <c r="AB12" s="240"/>
      <c r="AC12" s="240"/>
      <c r="AD12" s="240"/>
      <c r="AE12" s="240"/>
      <c r="AF12" s="246"/>
      <c r="AG12" s="246"/>
      <c r="AH12" s="246"/>
      <c r="AI12" s="246"/>
      <c r="AJ12" s="240"/>
      <c r="AK12" s="240"/>
      <c r="AL12" s="240"/>
      <c r="AM12" s="240"/>
      <c r="AN12" s="240"/>
      <c r="AO12" s="240"/>
      <c r="AP12" s="240"/>
      <c r="AQ12" s="240"/>
      <c r="AR12" s="240"/>
      <c r="AS12" s="240"/>
      <c r="AT12" s="240"/>
      <c r="AU12" s="240"/>
      <c r="AV12" s="240"/>
      <c r="AW12" s="240"/>
      <c r="AX12" s="240"/>
      <c r="AY12" s="241"/>
      <c r="AZ12" s="240"/>
    </row>
    <row r="13" spans="1:52" ht="18" hidden="1" customHeight="1" outlineLevel="2" x14ac:dyDescent="0.3">
      <c r="A13" s="240"/>
      <c r="B13" s="1" t="s">
        <v>537</v>
      </c>
      <c r="C13" s="274"/>
      <c r="D13" s="240"/>
      <c r="E13" s="564" t="str">
        <f>IFERROR(VLOOKUP(C3,Table_KhachHang[#All],Sheet_KhachHang!$F$1,0),"")</f>
        <v/>
      </c>
      <c r="F13" s="565"/>
      <c r="G13" s="565"/>
      <c r="H13" s="565"/>
      <c r="I13" s="565"/>
      <c r="J13" s="565"/>
      <c r="K13" s="565"/>
      <c r="L13" s="565"/>
      <c r="M13" s="565"/>
      <c r="N13" s="565"/>
      <c r="O13" s="565"/>
      <c r="P13" s="565"/>
      <c r="Q13" s="565"/>
      <c r="R13" s="274"/>
      <c r="S13" s="246"/>
      <c r="T13" s="240"/>
      <c r="U13" s="240"/>
      <c r="V13" s="240"/>
      <c r="W13" s="240"/>
      <c r="X13" s="240"/>
      <c r="Y13" s="240"/>
      <c r="Z13" s="240"/>
      <c r="AA13" s="246"/>
      <c r="AB13" s="240"/>
      <c r="AC13" s="240"/>
      <c r="AD13" s="240"/>
      <c r="AE13" s="240"/>
      <c r="AF13" s="246"/>
      <c r="AG13" s="246"/>
      <c r="AH13" s="246"/>
      <c r="AI13" s="246"/>
      <c r="AJ13" s="240"/>
      <c r="AK13" s="240"/>
      <c r="AL13" s="240"/>
      <c r="AM13" s="240"/>
      <c r="AN13" s="240"/>
      <c r="AO13" s="240"/>
      <c r="AP13" s="240"/>
      <c r="AQ13" s="240"/>
      <c r="AR13" s="240"/>
      <c r="AS13" s="240"/>
      <c r="AT13" s="240"/>
      <c r="AU13" s="240"/>
      <c r="AV13" s="240"/>
      <c r="AW13" s="240"/>
      <c r="AX13" s="240"/>
      <c r="AY13" s="241"/>
      <c r="AZ13" s="240"/>
    </row>
    <row r="14" spans="1:52" ht="18" hidden="1" customHeight="1" outlineLevel="2" x14ac:dyDescent="0.3">
      <c r="A14" s="240"/>
      <c r="B14" s="274"/>
      <c r="C14" s="274"/>
      <c r="D14" s="274"/>
      <c r="E14" s="274"/>
      <c r="F14" s="274"/>
      <c r="G14" s="274"/>
      <c r="H14" s="274"/>
      <c r="I14" s="274"/>
      <c r="J14" s="274"/>
      <c r="K14" s="274"/>
      <c r="L14" s="274"/>
      <c r="M14" s="274"/>
      <c r="N14" s="274"/>
      <c r="O14" s="274"/>
      <c r="P14" s="295"/>
      <c r="Q14" s="274"/>
      <c r="R14" s="274"/>
      <c r="S14" s="246"/>
      <c r="T14" s="240"/>
      <c r="U14" s="240"/>
      <c r="V14" s="240"/>
      <c r="W14" s="240"/>
      <c r="X14" s="240"/>
      <c r="Y14" s="240"/>
      <c r="Z14" s="240"/>
      <c r="AA14" s="246"/>
      <c r="AB14" s="240"/>
      <c r="AC14" s="240"/>
      <c r="AD14" s="240"/>
      <c r="AE14" s="240"/>
      <c r="AF14" s="246"/>
      <c r="AG14" s="246"/>
      <c r="AH14" s="246"/>
      <c r="AI14" s="246"/>
      <c r="AJ14" s="240"/>
      <c r="AK14" s="240"/>
      <c r="AL14" s="240"/>
      <c r="AM14" s="240"/>
      <c r="AN14" s="240"/>
      <c r="AO14" s="240"/>
      <c r="AP14" s="240"/>
      <c r="AQ14" s="240"/>
      <c r="AR14" s="240"/>
      <c r="AS14" s="240"/>
      <c r="AT14" s="240"/>
      <c r="AU14" s="240"/>
      <c r="AV14" s="240"/>
      <c r="AW14" s="240"/>
      <c r="AX14" s="240"/>
      <c r="AY14" s="241"/>
      <c r="AZ14" s="240"/>
    </row>
    <row r="15" spans="1:52" ht="18" hidden="1" customHeight="1" outlineLevel="2" x14ac:dyDescent="0.3">
      <c r="A15" s="240"/>
      <c r="B15" s="274"/>
      <c r="C15" s="274"/>
      <c r="D15" s="274"/>
      <c r="E15" s="274"/>
      <c r="F15" s="240"/>
      <c r="G15" s="240"/>
      <c r="H15" s="240"/>
      <c r="I15" s="274"/>
      <c r="J15" s="274"/>
      <c r="K15" s="274"/>
      <c r="L15" s="274"/>
      <c r="M15" s="274"/>
      <c r="N15" s="274"/>
      <c r="O15" s="274"/>
      <c r="P15" s="92" t="s">
        <v>321</v>
      </c>
      <c r="Q15" s="93" t="s">
        <v>327</v>
      </c>
      <c r="R15" s="240"/>
      <c r="S15" s="246"/>
      <c r="T15" s="240"/>
      <c r="U15" s="240"/>
      <c r="V15" s="240"/>
      <c r="W15" s="240"/>
      <c r="X15" s="240"/>
      <c r="Y15" s="240"/>
      <c r="Z15" s="240"/>
      <c r="AA15" s="246"/>
      <c r="AB15" s="240"/>
      <c r="AC15" s="240"/>
      <c r="AD15" s="240"/>
      <c r="AE15" s="240"/>
      <c r="AF15" s="246"/>
      <c r="AG15" s="246"/>
      <c r="AH15" s="246"/>
      <c r="AI15" s="246"/>
      <c r="AJ15" s="240"/>
      <c r="AK15" s="240"/>
      <c r="AL15" s="240"/>
      <c r="AM15" s="240"/>
      <c r="AN15" s="240"/>
      <c r="AO15" s="240"/>
      <c r="AP15" s="240"/>
      <c r="AQ15" s="240"/>
      <c r="AR15" s="240"/>
      <c r="AS15" s="240"/>
      <c r="AT15" s="240"/>
      <c r="AU15" s="240"/>
      <c r="AV15" s="240"/>
      <c r="AW15" s="240"/>
      <c r="AX15" s="240"/>
      <c r="AY15" s="241"/>
      <c r="AZ15" s="240"/>
    </row>
    <row r="16" spans="1:52" ht="18" hidden="1" customHeight="1" outlineLevel="1" x14ac:dyDescent="0.3">
      <c r="A16" s="240"/>
      <c r="B16" s="59" t="s">
        <v>638</v>
      </c>
      <c r="C16" s="59" t="s">
        <v>47</v>
      </c>
      <c r="D16" s="59" t="s">
        <v>702</v>
      </c>
      <c r="E16" s="60" t="s">
        <v>30</v>
      </c>
      <c r="F16" s="59" t="s">
        <v>723</v>
      </c>
      <c r="G16" s="59" t="s">
        <v>236</v>
      </c>
      <c r="H16" s="59" t="s">
        <v>724</v>
      </c>
      <c r="I16" s="59" t="s">
        <v>725</v>
      </c>
      <c r="J16" s="59" t="s">
        <v>726</v>
      </c>
      <c r="K16" s="59" t="s">
        <v>727</v>
      </c>
      <c r="L16" s="59" t="s">
        <v>728</v>
      </c>
      <c r="M16" s="59" t="s">
        <v>920</v>
      </c>
      <c r="N16" s="59" t="s">
        <v>921</v>
      </c>
      <c r="O16" s="60" t="s">
        <v>716</v>
      </c>
      <c r="P16" s="60" t="s">
        <v>704</v>
      </c>
      <c r="Q16" s="60" t="s">
        <v>705</v>
      </c>
      <c r="R16" s="60" t="s">
        <v>688</v>
      </c>
      <c r="S16" s="246"/>
      <c r="T16" s="240"/>
      <c r="U16" s="240"/>
      <c r="V16" s="240"/>
      <c r="W16" s="240"/>
      <c r="X16" s="240"/>
      <c r="Y16" s="240"/>
      <c r="Z16" s="240"/>
      <c r="AA16" s="246"/>
      <c r="AB16" s="240"/>
      <c r="AC16" s="240"/>
      <c r="AD16" s="240"/>
      <c r="AE16" s="240"/>
      <c r="AF16" s="246"/>
      <c r="AG16" s="246"/>
      <c r="AH16" s="246"/>
      <c r="AI16" s="246"/>
      <c r="AJ16" s="240"/>
      <c r="AK16" s="240"/>
      <c r="AL16" s="240"/>
      <c r="AM16" s="240"/>
      <c r="AN16" s="240"/>
      <c r="AO16" s="240"/>
      <c r="AP16" s="240"/>
      <c r="AQ16" s="240"/>
      <c r="AR16" s="240"/>
      <c r="AS16" s="240"/>
      <c r="AT16" s="240"/>
      <c r="AU16" s="240"/>
      <c r="AV16" s="240"/>
      <c r="AW16" s="240"/>
      <c r="AX16" s="240"/>
      <c r="AY16" s="241"/>
      <c r="AZ16" s="240"/>
    </row>
    <row r="17" spans="1:52" ht="18" hidden="1" customHeight="1" outlineLevel="2" x14ac:dyDescent="0.3">
      <c r="A17" s="240"/>
      <c r="B17" s="7" t="str">
        <f>IF(Table_FormDonBan[[#This Row],[SKU]]&lt;&gt;"",COUNTIF(C$17:C17,"&lt;&gt;"""),"")</f>
        <v/>
      </c>
      <c r="C17" s="240"/>
      <c r="D17" s="7" t="str">
        <f xml:space="preserve">
IFERROR(VLOOKUP(Table_FormDonBan[[#This Row],[SKU]],Table_SKU[[Mã SKU]:[Mô tả]],Sheet_SKU!$H$1,0),"")</f>
        <v/>
      </c>
      <c r="E17" s="15"/>
      <c r="F17" s="15" t="str">
        <f>IFERROR(VLOOKUP(Table_FormDonBan[[#This Row],[SKU]],Table_SKU[[Mã SKU]:[Giá bán]],Sheet_SKU!$J$1,0),"")</f>
        <v/>
      </c>
      <c r="G17" s="242"/>
      <c r="H17" s="242">
        <f>Table_FormDonBan[[#This Row],[ĐK - Phân loại]]*Table_FormDonBan[[#This Row],[ĐK - Thời gian]]*Table_FormDonBan[[#This Row],[ĐK - Giá trị]]*Table_FormDonBan[[#This Row],[ĐK - Số lượng]]*Table_FormDonBan[[#This Row],[ĐK - Sinh nhật]]*Table_FormDonBan[[#This Row],[ĐK - Ngày mua cuối]]</f>
        <v>1</v>
      </c>
      <c r="I17" s="242">
        <f xml:space="preserve">
IF(ISBLANK(Table_FormDonBan[[#This Row],[Chương trình]]),1,
IF(VLOOKUP(Table_FormDonBan[[#This Row],[Chương trình]],Table_ChuongTrinh[[Mã Chương trình]:[Đối tượng CK]],Sheet_ChuongTrinh!$C$1,0) = "Sản phẩm",1,0))</f>
        <v>1</v>
      </c>
      <c r="J17"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2"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6"/>
      <c r="T17" s="240"/>
      <c r="U17" s="240"/>
      <c r="V17" s="240"/>
      <c r="W17" s="240"/>
      <c r="X17" s="240"/>
      <c r="Y17" s="240"/>
      <c r="Z17" s="240"/>
      <c r="AA17" s="246"/>
      <c r="AB17" s="240"/>
      <c r="AC17" s="240"/>
      <c r="AD17" s="240"/>
      <c r="AE17" s="240"/>
      <c r="AF17" s="246"/>
      <c r="AG17" s="246"/>
      <c r="AH17" s="246"/>
      <c r="AI17" s="246"/>
      <c r="AJ17" s="240"/>
      <c r="AK17" s="240"/>
      <c r="AL17" s="240"/>
      <c r="AM17" s="240"/>
      <c r="AN17" s="240"/>
      <c r="AO17" s="240"/>
      <c r="AP17" s="240"/>
      <c r="AQ17" s="240"/>
      <c r="AR17" s="240"/>
      <c r="AS17" s="240"/>
      <c r="AT17" s="240"/>
      <c r="AU17" s="240"/>
      <c r="AV17" s="240"/>
      <c r="AW17" s="240"/>
      <c r="AX17" s="240"/>
      <c r="AY17" s="241"/>
      <c r="AZ17" s="240"/>
    </row>
    <row r="18" spans="1:52" ht="18" hidden="1" customHeight="1" outlineLevel="2" x14ac:dyDescent="0.3">
      <c r="A18" s="240"/>
      <c r="B18" s="7" t="str">
        <f>IF(Table_FormDonBan[[#This Row],[SKU]]&lt;&gt;"",COUNTIF(C$17:C18,"&lt;&gt;"""),"")</f>
        <v/>
      </c>
      <c r="C18" s="240"/>
      <c r="D18" s="7" t="str">
        <f xml:space="preserve">
IFERROR(VLOOKUP(Table_FormDonBan[[#This Row],[SKU]],Table_SKU[[Mã SKU]:[Mô tả]],Sheet_SKU!$H$1,0),"")</f>
        <v/>
      </c>
      <c r="E18" s="15"/>
      <c r="F18" s="15" t="str">
        <f>IFERROR(VLOOKUP(Table_FormDonBan[[#This Row],[SKU]],Table_SKU[[Mã SKU]:[Giá bán]],Sheet_SKU!$J$1,0),"")</f>
        <v/>
      </c>
      <c r="G18" s="242"/>
      <c r="H18" s="242">
        <f>Table_FormDonBan[[#This Row],[ĐK - Phân loại]]*Table_FormDonBan[[#This Row],[ĐK - Thời gian]]*Table_FormDonBan[[#This Row],[ĐK - Giá trị]]*Table_FormDonBan[[#This Row],[ĐK - Số lượng]]*Table_FormDonBan[[#This Row],[ĐK - Sinh nhật]]*Table_FormDonBan[[#This Row],[ĐK - Ngày mua cuối]]</f>
        <v>1</v>
      </c>
      <c r="I18" s="242">
        <f xml:space="preserve">
IF(ISBLANK(Table_FormDonBan[[#This Row],[Chương trình]]),1,
IF(VLOOKUP(Table_FormDonBan[[#This Row],[Chương trình]],Table_ChuongTrinh[[Mã Chương trình]:[Đối tượng CK]],Sheet_ChuongTrinh!$C$1,0) = "Sản phẩm",1,0))</f>
        <v>1</v>
      </c>
      <c r="J18"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2"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6"/>
      <c r="T18" s="240"/>
      <c r="U18" s="240"/>
      <c r="V18" s="240"/>
      <c r="W18" s="240"/>
      <c r="X18" s="240"/>
      <c r="Y18" s="240"/>
      <c r="Z18" s="240"/>
      <c r="AA18" s="246"/>
      <c r="AB18" s="240"/>
      <c r="AC18" s="240"/>
      <c r="AD18" s="240"/>
      <c r="AE18" s="240"/>
      <c r="AF18" s="246"/>
      <c r="AG18" s="246"/>
      <c r="AH18" s="246"/>
      <c r="AI18" s="246"/>
      <c r="AJ18" s="240"/>
      <c r="AK18" s="240"/>
      <c r="AL18" s="240"/>
      <c r="AM18" s="240"/>
      <c r="AN18" s="240"/>
      <c r="AO18" s="240"/>
      <c r="AP18" s="240"/>
      <c r="AQ18" s="240"/>
      <c r="AR18" s="240"/>
      <c r="AS18" s="240"/>
      <c r="AT18" s="240"/>
      <c r="AU18" s="240"/>
      <c r="AV18" s="240"/>
      <c r="AW18" s="240"/>
      <c r="AX18" s="240"/>
      <c r="AY18" s="241"/>
      <c r="AZ18" s="240"/>
    </row>
    <row r="19" spans="1:52" ht="18" hidden="1" customHeight="1" outlineLevel="2" x14ac:dyDescent="0.3">
      <c r="A19" s="240"/>
      <c r="B19" s="7" t="str">
        <f>IF(Table_FormDonBan[[#This Row],[SKU]]&lt;&gt;"",COUNTIF(C$17:C19,"&lt;&gt;"""),"")</f>
        <v/>
      </c>
      <c r="C19" s="240"/>
      <c r="D19" s="7" t="str">
        <f xml:space="preserve">
IFERROR(VLOOKUP(Table_FormDonBan[[#This Row],[SKU]],Table_SKU[[Mã SKU]:[Mô tả]],Sheet_SKU!$H$1,0),"")</f>
        <v/>
      </c>
      <c r="E19" s="15"/>
      <c r="F19" s="15" t="str">
        <f>IFERROR(VLOOKUP(Table_FormDonBan[[#This Row],[SKU]],Table_SKU[[Mã SKU]:[Giá bán]],Sheet_SKU!$J$1,0),"")</f>
        <v/>
      </c>
      <c r="G19" s="242"/>
      <c r="H19" s="242">
        <f>Table_FormDonBan[[#This Row],[ĐK - Phân loại]]*Table_FormDonBan[[#This Row],[ĐK - Thời gian]]*Table_FormDonBan[[#This Row],[ĐK - Giá trị]]*Table_FormDonBan[[#This Row],[ĐK - Số lượng]]*Table_FormDonBan[[#This Row],[ĐK - Sinh nhật]]*Table_FormDonBan[[#This Row],[ĐK - Ngày mua cuối]]</f>
        <v>1</v>
      </c>
      <c r="I19" s="242">
        <f xml:space="preserve">
IF(ISBLANK(Table_FormDonBan[[#This Row],[Chương trình]]),1,
IF(VLOOKUP(Table_FormDonBan[[#This Row],[Chương trình]],Table_ChuongTrinh[[Mã Chương trình]:[Đối tượng CK]],Sheet_ChuongTrinh!$C$1,0) = "Sản phẩm",1,0))</f>
        <v>1</v>
      </c>
      <c r="J19"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2"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6"/>
      <c r="T19" s="240"/>
      <c r="U19" s="240"/>
      <c r="V19" s="240"/>
      <c r="W19" s="240"/>
      <c r="X19" s="240"/>
      <c r="Y19" s="240"/>
      <c r="Z19" s="240"/>
      <c r="AA19" s="246"/>
      <c r="AB19" s="240"/>
      <c r="AC19" s="240"/>
      <c r="AD19" s="240"/>
      <c r="AE19" s="240"/>
      <c r="AF19" s="246"/>
      <c r="AG19" s="246"/>
      <c r="AH19" s="246"/>
      <c r="AI19" s="246"/>
      <c r="AJ19" s="240"/>
      <c r="AK19" s="240"/>
      <c r="AL19" s="240"/>
      <c r="AM19" s="240"/>
      <c r="AN19" s="240"/>
      <c r="AO19" s="240"/>
      <c r="AP19" s="240"/>
      <c r="AQ19" s="240"/>
      <c r="AR19" s="240"/>
      <c r="AS19" s="240"/>
      <c r="AT19" s="240"/>
      <c r="AU19" s="240"/>
      <c r="AV19" s="240"/>
      <c r="AW19" s="240"/>
      <c r="AX19" s="240"/>
      <c r="AY19" s="241"/>
      <c r="AZ19" s="240"/>
    </row>
    <row r="20" spans="1:52" ht="18" hidden="1" customHeight="1" outlineLevel="2" x14ac:dyDescent="0.3">
      <c r="A20" s="240"/>
      <c r="B20" s="7" t="str">
        <f>IF(Table_FormDonBan[[#This Row],[SKU]]&lt;&gt;"",COUNTIF(C$17:C20,"&lt;&gt;"""),"")</f>
        <v/>
      </c>
      <c r="C20" s="240"/>
      <c r="D20" s="7" t="str">
        <f xml:space="preserve">
IFERROR(VLOOKUP(Table_FormDonBan[[#This Row],[SKU]],Table_SKU[[Mã SKU]:[Mô tả]],Sheet_SKU!$H$1,0),"")</f>
        <v/>
      </c>
      <c r="E20" s="15"/>
      <c r="F20" s="15" t="str">
        <f>IFERROR(VLOOKUP(Table_FormDonBan[[#This Row],[SKU]],Table_SKU[[Mã SKU]:[Giá bán]],Sheet_SKU!$J$1,0),"")</f>
        <v/>
      </c>
      <c r="G20" s="242"/>
      <c r="H20" s="242">
        <f>Table_FormDonBan[[#This Row],[ĐK - Phân loại]]*Table_FormDonBan[[#This Row],[ĐK - Thời gian]]*Table_FormDonBan[[#This Row],[ĐK - Giá trị]]*Table_FormDonBan[[#This Row],[ĐK - Số lượng]]*Table_FormDonBan[[#This Row],[ĐK - Sinh nhật]]*Table_FormDonBan[[#This Row],[ĐK - Ngày mua cuối]]</f>
        <v>1</v>
      </c>
      <c r="I20" s="242">
        <f xml:space="preserve">
IF(ISBLANK(Table_FormDonBan[[#This Row],[Chương trình]]),1,
IF(VLOOKUP(Table_FormDonBan[[#This Row],[Chương trình]],Table_ChuongTrinh[[Mã Chương trình]:[Đối tượng CK]],Sheet_ChuongTrinh!$C$1,0) = "Sản phẩm",1,0))</f>
        <v>1</v>
      </c>
      <c r="J20"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2"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6"/>
      <c r="T20" s="240"/>
      <c r="U20" s="240"/>
      <c r="V20" s="240"/>
      <c r="W20" s="240"/>
      <c r="X20" s="240"/>
      <c r="Y20" s="240"/>
      <c r="Z20" s="240"/>
      <c r="AA20" s="246"/>
      <c r="AB20" s="240"/>
      <c r="AC20" s="240"/>
      <c r="AD20" s="240"/>
      <c r="AE20" s="240"/>
      <c r="AF20" s="246"/>
      <c r="AG20" s="246"/>
      <c r="AH20" s="246"/>
      <c r="AI20" s="246"/>
      <c r="AJ20" s="240"/>
      <c r="AK20" s="240"/>
      <c r="AL20" s="240"/>
      <c r="AM20" s="240"/>
      <c r="AN20" s="240"/>
      <c r="AO20" s="240"/>
      <c r="AP20" s="240"/>
      <c r="AQ20" s="240"/>
      <c r="AR20" s="240"/>
      <c r="AS20" s="240"/>
      <c r="AT20" s="240"/>
      <c r="AU20" s="240"/>
      <c r="AV20" s="240"/>
      <c r="AW20" s="240"/>
      <c r="AX20" s="240"/>
      <c r="AY20" s="241"/>
      <c r="AZ20" s="240"/>
    </row>
    <row r="21" spans="1:52" ht="18" hidden="1" customHeight="1" outlineLevel="2" x14ac:dyDescent="0.3">
      <c r="A21" s="240"/>
      <c r="B21" s="7" t="str">
        <f>IF(Table_FormDonBan[[#This Row],[SKU]]&lt;&gt;"",COUNTIF(C$17:C21,"&lt;&gt;"""),"")</f>
        <v/>
      </c>
      <c r="C21" s="240"/>
      <c r="D21" s="7" t="str">
        <f xml:space="preserve">
IFERROR(VLOOKUP(Table_FormDonBan[[#This Row],[SKU]],Table_SKU[[Mã SKU]:[Mô tả]],Sheet_SKU!$H$1,0),"")</f>
        <v/>
      </c>
      <c r="E21" s="15"/>
      <c r="F21" s="15" t="str">
        <f>IFERROR(VLOOKUP(Table_FormDonBan[[#This Row],[SKU]],Table_SKU[[Mã SKU]:[Giá bán]],Sheet_SKU!$J$1,0),"")</f>
        <v/>
      </c>
      <c r="G21" s="242"/>
      <c r="H21" s="242">
        <f>Table_FormDonBan[[#This Row],[ĐK - Phân loại]]*Table_FormDonBan[[#This Row],[ĐK - Thời gian]]*Table_FormDonBan[[#This Row],[ĐK - Giá trị]]*Table_FormDonBan[[#This Row],[ĐK - Số lượng]]*Table_FormDonBan[[#This Row],[ĐK - Sinh nhật]]*Table_FormDonBan[[#This Row],[ĐK - Ngày mua cuối]]</f>
        <v>1</v>
      </c>
      <c r="I21" s="242">
        <f xml:space="preserve">
IF(ISBLANK(Table_FormDonBan[[#This Row],[Chương trình]]),1,
IF(VLOOKUP(Table_FormDonBan[[#This Row],[Chương trình]],Table_ChuongTrinh[[Mã Chương trình]:[Đối tượng CK]],Sheet_ChuongTrinh!$C$1,0) = "Sản phẩm",1,0))</f>
        <v>1</v>
      </c>
      <c r="J21"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2"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6"/>
      <c r="T21" s="240"/>
      <c r="U21" s="240"/>
      <c r="V21" s="240"/>
      <c r="W21" s="240"/>
      <c r="X21" s="240"/>
      <c r="Y21" s="240"/>
      <c r="Z21" s="240"/>
      <c r="AA21" s="246"/>
      <c r="AB21" s="240"/>
      <c r="AC21" s="240"/>
      <c r="AD21" s="240"/>
      <c r="AE21" s="240"/>
      <c r="AF21" s="246"/>
      <c r="AG21" s="246"/>
      <c r="AH21" s="246"/>
      <c r="AI21" s="246"/>
      <c r="AJ21" s="240"/>
      <c r="AK21" s="240"/>
      <c r="AL21" s="240"/>
      <c r="AM21" s="240"/>
      <c r="AN21" s="240"/>
      <c r="AO21" s="240"/>
      <c r="AP21" s="240"/>
      <c r="AQ21" s="240"/>
      <c r="AR21" s="240"/>
      <c r="AS21" s="240"/>
      <c r="AT21" s="240"/>
      <c r="AU21" s="240"/>
      <c r="AV21" s="240"/>
      <c r="AW21" s="240"/>
      <c r="AX21" s="240"/>
      <c r="AY21" s="241"/>
      <c r="AZ21" s="240"/>
    </row>
    <row r="22" spans="1:52" ht="18" hidden="1" customHeight="1" outlineLevel="2" x14ac:dyDescent="0.3">
      <c r="A22" s="240"/>
      <c r="B22" s="7" t="str">
        <f>IF(Table_FormDonBan[[#This Row],[SKU]]&lt;&gt;"",COUNTIF(C$17:C22,"&lt;&gt;"""),"")</f>
        <v/>
      </c>
      <c r="C22" s="240"/>
      <c r="D22" s="7" t="str">
        <f xml:space="preserve">
IFERROR(VLOOKUP(Table_FormDonBan[[#This Row],[SKU]],Table_SKU[[Mã SKU]:[Mô tả]],Sheet_SKU!$H$1,0),"")</f>
        <v/>
      </c>
      <c r="E22" s="15"/>
      <c r="F22" s="15" t="str">
        <f>IFERROR(VLOOKUP(Table_FormDonBan[[#This Row],[SKU]],Table_SKU[[Mã SKU]:[Giá bán]],Sheet_SKU!$J$1,0),"")</f>
        <v/>
      </c>
      <c r="G22" s="242"/>
      <c r="H22" s="242">
        <f>Table_FormDonBan[[#This Row],[ĐK - Phân loại]]*Table_FormDonBan[[#This Row],[ĐK - Thời gian]]*Table_FormDonBan[[#This Row],[ĐK - Giá trị]]*Table_FormDonBan[[#This Row],[ĐK - Số lượng]]*Table_FormDonBan[[#This Row],[ĐK - Sinh nhật]]*Table_FormDonBan[[#This Row],[ĐK - Ngày mua cuối]]</f>
        <v>1</v>
      </c>
      <c r="I22" s="242">
        <f xml:space="preserve">
IF(ISBLANK(Table_FormDonBan[[#This Row],[Chương trình]]),1,
IF(VLOOKUP(Table_FormDonBan[[#This Row],[Chương trình]],Table_ChuongTrinh[[Mã Chương trình]:[Đối tượng CK]],Sheet_ChuongTrinh!$C$1,0) = "Sản phẩm",1,0))</f>
        <v>1</v>
      </c>
      <c r="J22"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2"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6"/>
      <c r="T22" s="240"/>
      <c r="U22" s="240"/>
      <c r="V22" s="240"/>
      <c r="W22" s="240"/>
      <c r="X22" s="240"/>
      <c r="Y22" s="240"/>
      <c r="Z22" s="240"/>
      <c r="AA22" s="246"/>
      <c r="AB22" s="240"/>
      <c r="AC22" s="240"/>
      <c r="AD22" s="240"/>
      <c r="AE22" s="240"/>
      <c r="AF22" s="246"/>
      <c r="AG22" s="246"/>
      <c r="AH22" s="246"/>
      <c r="AI22" s="246"/>
      <c r="AJ22" s="240"/>
      <c r="AK22" s="240"/>
      <c r="AL22" s="240"/>
      <c r="AM22" s="240"/>
      <c r="AN22" s="240"/>
      <c r="AO22" s="240"/>
      <c r="AP22" s="240"/>
      <c r="AQ22" s="240"/>
      <c r="AR22" s="240"/>
      <c r="AS22" s="240"/>
      <c r="AT22" s="240"/>
      <c r="AU22" s="240"/>
      <c r="AV22" s="240"/>
      <c r="AW22" s="240"/>
      <c r="AX22" s="240"/>
      <c r="AY22" s="241"/>
      <c r="AZ22" s="240"/>
    </row>
    <row r="23" spans="1:52" ht="18" hidden="1" customHeight="1" outlineLevel="2" x14ac:dyDescent="0.3">
      <c r="A23" s="240"/>
      <c r="B23" s="7" t="str">
        <f>IF(Table_FormDonBan[[#This Row],[SKU]]&lt;&gt;"",COUNTIF(C$17:C23,"&lt;&gt;"""),"")</f>
        <v/>
      </c>
      <c r="C23" s="240"/>
      <c r="D23" s="7" t="str">
        <f xml:space="preserve">
IFERROR(VLOOKUP(Table_FormDonBan[[#This Row],[SKU]],Table_SKU[[Mã SKU]:[Mô tả]],Sheet_SKU!$H$1,0),"")</f>
        <v/>
      </c>
      <c r="E23" s="15"/>
      <c r="F23" s="15" t="str">
        <f>IFERROR(VLOOKUP(Table_FormDonBan[[#This Row],[SKU]],Table_SKU[[Mã SKU]:[Giá bán]],Sheet_SKU!$J$1,0),"")</f>
        <v/>
      </c>
      <c r="G23" s="242"/>
      <c r="H23" s="242">
        <f>Table_FormDonBan[[#This Row],[ĐK - Phân loại]]*Table_FormDonBan[[#This Row],[ĐK - Thời gian]]*Table_FormDonBan[[#This Row],[ĐK - Giá trị]]*Table_FormDonBan[[#This Row],[ĐK - Số lượng]]*Table_FormDonBan[[#This Row],[ĐK - Sinh nhật]]*Table_FormDonBan[[#This Row],[ĐK - Ngày mua cuối]]</f>
        <v>1</v>
      </c>
      <c r="I23" s="242">
        <f xml:space="preserve">
IF(ISBLANK(Table_FormDonBan[[#This Row],[Chương trình]]),1,
IF(VLOOKUP(Table_FormDonBan[[#This Row],[Chương trình]],Table_ChuongTrinh[[Mã Chương trình]:[Đối tượng CK]],Sheet_ChuongTrinh!$C$1,0) = "Sản phẩm",1,0))</f>
        <v>1</v>
      </c>
      <c r="J23"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2"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6"/>
      <c r="T23" s="240"/>
      <c r="U23" s="240"/>
      <c r="V23" s="240"/>
      <c r="W23" s="240"/>
      <c r="X23" s="240"/>
      <c r="Y23" s="240"/>
      <c r="Z23" s="240"/>
      <c r="AA23" s="246"/>
      <c r="AB23" s="240"/>
      <c r="AC23" s="240"/>
      <c r="AD23" s="240"/>
      <c r="AE23" s="240"/>
      <c r="AF23" s="246"/>
      <c r="AG23" s="246"/>
      <c r="AH23" s="246"/>
      <c r="AI23" s="246"/>
      <c r="AJ23" s="240"/>
      <c r="AK23" s="240"/>
      <c r="AL23" s="240"/>
      <c r="AM23" s="240"/>
      <c r="AN23" s="240"/>
      <c r="AO23" s="240"/>
      <c r="AP23" s="240"/>
      <c r="AQ23" s="240"/>
      <c r="AR23" s="240"/>
      <c r="AS23" s="240"/>
      <c r="AT23" s="240"/>
      <c r="AU23" s="240"/>
      <c r="AV23" s="240"/>
      <c r="AW23" s="240"/>
      <c r="AX23" s="240"/>
      <c r="AY23" s="241"/>
      <c r="AZ23" s="240"/>
    </row>
    <row r="24" spans="1:52" ht="18" hidden="1" customHeight="1" outlineLevel="2" x14ac:dyDescent="0.3">
      <c r="A24" s="240"/>
      <c r="B24" s="7" t="str">
        <f>IF(Table_FormDonBan[[#This Row],[SKU]]&lt;&gt;"",COUNTIF(C$17:C24,"&lt;&gt;"""),"")</f>
        <v/>
      </c>
      <c r="C24" s="240"/>
      <c r="D24" s="7" t="str">
        <f xml:space="preserve">
IFERROR(VLOOKUP(Table_FormDonBan[[#This Row],[SKU]],Table_SKU[[Mã SKU]:[Mô tả]],Sheet_SKU!$H$1,0),"")</f>
        <v/>
      </c>
      <c r="E24" s="15"/>
      <c r="F24" s="15" t="str">
        <f>IFERROR(VLOOKUP(Table_FormDonBan[[#This Row],[SKU]],Table_SKU[[Mã SKU]:[Giá bán]],Sheet_SKU!$J$1,0),"")</f>
        <v/>
      </c>
      <c r="G24" s="242"/>
      <c r="H24" s="242">
        <f>Table_FormDonBan[[#This Row],[ĐK - Phân loại]]*Table_FormDonBan[[#This Row],[ĐK - Thời gian]]*Table_FormDonBan[[#This Row],[ĐK - Giá trị]]*Table_FormDonBan[[#This Row],[ĐK - Số lượng]]*Table_FormDonBan[[#This Row],[ĐK - Sinh nhật]]*Table_FormDonBan[[#This Row],[ĐK - Ngày mua cuối]]</f>
        <v>1</v>
      </c>
      <c r="I24" s="242">
        <f xml:space="preserve">
IF(ISBLANK(Table_FormDonBan[[#This Row],[Chương trình]]),1,
IF(VLOOKUP(Table_FormDonBan[[#This Row],[Chương trình]],Table_ChuongTrinh[[Mã Chương trình]:[Đối tượng CK]],Sheet_ChuongTrinh!$C$1,0) = "Sản phẩm",1,0))</f>
        <v>1</v>
      </c>
      <c r="J24"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2"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6"/>
      <c r="T24" s="240"/>
      <c r="U24" s="240"/>
      <c r="V24" s="240"/>
      <c r="W24" s="240"/>
      <c r="X24" s="240"/>
      <c r="Y24" s="240"/>
      <c r="Z24" s="240"/>
      <c r="AA24" s="246"/>
      <c r="AB24" s="240"/>
      <c r="AC24" s="240"/>
      <c r="AD24" s="240"/>
      <c r="AE24" s="240"/>
      <c r="AF24" s="246"/>
      <c r="AG24" s="246"/>
      <c r="AH24" s="246"/>
      <c r="AI24" s="246"/>
      <c r="AJ24" s="240"/>
      <c r="AK24" s="240"/>
      <c r="AL24" s="240"/>
      <c r="AM24" s="240"/>
      <c r="AN24" s="240"/>
      <c r="AO24" s="240"/>
      <c r="AP24" s="240"/>
      <c r="AQ24" s="240"/>
      <c r="AR24" s="240"/>
      <c r="AS24" s="240"/>
      <c r="AT24" s="240"/>
      <c r="AU24" s="240"/>
      <c r="AV24" s="240"/>
      <c r="AW24" s="240"/>
      <c r="AX24" s="240"/>
      <c r="AY24" s="241"/>
      <c r="AZ24" s="240"/>
    </row>
    <row r="25" spans="1:52" ht="18" hidden="1" customHeight="1" outlineLevel="2" x14ac:dyDescent="0.3">
      <c r="A25" s="240"/>
      <c r="B25" s="7" t="str">
        <f>IF(Table_FormDonBan[[#This Row],[SKU]]&lt;&gt;"",COUNTIF(C$17:C25,"&lt;&gt;"""),"")</f>
        <v/>
      </c>
      <c r="C25" s="240"/>
      <c r="D25" s="7" t="str">
        <f xml:space="preserve">
IFERROR(VLOOKUP(Table_FormDonBan[[#This Row],[SKU]],Table_SKU[[Mã SKU]:[Mô tả]],Sheet_SKU!$H$1,0),"")</f>
        <v/>
      </c>
      <c r="E25" s="15"/>
      <c r="F25" s="15" t="str">
        <f>IFERROR(VLOOKUP(Table_FormDonBan[[#This Row],[SKU]],Table_SKU[[Mã SKU]:[Giá bán]],Sheet_SKU!$J$1,0),"")</f>
        <v/>
      </c>
      <c r="G25" s="242"/>
      <c r="H25" s="242">
        <f>Table_FormDonBan[[#This Row],[ĐK - Phân loại]]*Table_FormDonBan[[#This Row],[ĐK - Thời gian]]*Table_FormDonBan[[#This Row],[ĐK - Giá trị]]*Table_FormDonBan[[#This Row],[ĐK - Số lượng]]*Table_FormDonBan[[#This Row],[ĐK - Sinh nhật]]*Table_FormDonBan[[#This Row],[ĐK - Ngày mua cuối]]</f>
        <v>1</v>
      </c>
      <c r="I25" s="242">
        <f xml:space="preserve">
IF(ISBLANK(Table_FormDonBan[[#This Row],[Chương trình]]),1,
IF(VLOOKUP(Table_FormDonBan[[#This Row],[Chương trình]],Table_ChuongTrinh[[Mã Chương trình]:[Đối tượng CK]],Sheet_ChuongTrinh!$C$1,0) = "Sản phẩm",1,0))</f>
        <v>1</v>
      </c>
      <c r="J25"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2"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6"/>
      <c r="T25" s="240"/>
      <c r="U25" s="240"/>
      <c r="V25" s="240"/>
      <c r="W25" s="240"/>
      <c r="X25" s="240"/>
      <c r="Y25" s="240"/>
      <c r="Z25" s="240"/>
      <c r="AA25" s="246"/>
      <c r="AB25" s="240"/>
      <c r="AC25" s="240"/>
      <c r="AD25" s="240"/>
      <c r="AE25" s="240"/>
      <c r="AF25" s="246"/>
      <c r="AG25" s="246"/>
      <c r="AH25" s="246"/>
      <c r="AI25" s="246"/>
      <c r="AJ25" s="240"/>
      <c r="AK25" s="240"/>
      <c r="AL25" s="240"/>
      <c r="AM25" s="240"/>
      <c r="AN25" s="240"/>
      <c r="AO25" s="240"/>
      <c r="AP25" s="240"/>
      <c r="AQ25" s="240"/>
      <c r="AR25" s="240"/>
      <c r="AS25" s="240"/>
      <c r="AT25" s="240"/>
      <c r="AU25" s="240"/>
      <c r="AV25" s="240"/>
      <c r="AW25" s="240"/>
      <c r="AX25" s="240"/>
      <c r="AY25" s="241"/>
      <c r="AZ25" s="240"/>
    </row>
    <row r="26" spans="1:52" ht="18" hidden="1" customHeight="1" outlineLevel="2" x14ac:dyDescent="0.3">
      <c r="A26" s="240"/>
      <c r="B26" s="7" t="str">
        <f>IF(Table_FormDonBan[[#This Row],[SKU]]&lt;&gt;"",COUNTIF(C$17:C26,"&lt;&gt;"""),"")</f>
        <v/>
      </c>
      <c r="C26" s="240"/>
      <c r="D26" s="7" t="str">
        <f xml:space="preserve">
IFERROR(VLOOKUP(Table_FormDonBan[[#This Row],[SKU]],Table_SKU[[Mã SKU]:[Mô tả]],Sheet_SKU!$H$1,0),"")</f>
        <v/>
      </c>
      <c r="E26" s="15"/>
      <c r="F26" s="15" t="str">
        <f>IFERROR(VLOOKUP(Table_FormDonBan[[#This Row],[SKU]],Table_SKU[[Mã SKU]:[Giá bán]],Sheet_SKU!$J$1,0),"")</f>
        <v/>
      </c>
      <c r="G26" s="242"/>
      <c r="H26" s="242">
        <f>Table_FormDonBan[[#This Row],[ĐK - Phân loại]]*Table_FormDonBan[[#This Row],[ĐK - Thời gian]]*Table_FormDonBan[[#This Row],[ĐK - Giá trị]]*Table_FormDonBan[[#This Row],[ĐK - Số lượng]]*Table_FormDonBan[[#This Row],[ĐK - Sinh nhật]]*Table_FormDonBan[[#This Row],[ĐK - Ngày mua cuối]]</f>
        <v>1</v>
      </c>
      <c r="I26" s="242">
        <f xml:space="preserve">
IF(ISBLANK(Table_FormDonBan[[#This Row],[Chương trình]]),1,
IF(VLOOKUP(Table_FormDonBan[[#This Row],[Chương trình]],Table_ChuongTrinh[[Mã Chương trình]:[Đối tượng CK]],Sheet_ChuongTrinh!$C$1,0) = "Sản phẩm",1,0))</f>
        <v>1</v>
      </c>
      <c r="J26"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2"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6"/>
      <c r="T26" s="240"/>
      <c r="U26" s="240"/>
      <c r="V26" s="240"/>
      <c r="W26" s="240"/>
      <c r="X26" s="240"/>
      <c r="Y26" s="240"/>
      <c r="Z26" s="240"/>
      <c r="AA26" s="246"/>
      <c r="AB26" s="240"/>
      <c r="AC26" s="240"/>
      <c r="AD26" s="240"/>
      <c r="AE26" s="240"/>
      <c r="AF26" s="246"/>
      <c r="AG26" s="246"/>
      <c r="AH26" s="246"/>
      <c r="AI26" s="246"/>
      <c r="AJ26" s="240"/>
      <c r="AK26" s="240"/>
      <c r="AL26" s="240"/>
      <c r="AM26" s="240"/>
      <c r="AN26" s="240"/>
      <c r="AO26" s="240"/>
      <c r="AP26" s="240"/>
      <c r="AQ26" s="240"/>
      <c r="AR26" s="240"/>
      <c r="AS26" s="240"/>
      <c r="AT26" s="240"/>
      <c r="AU26" s="240"/>
      <c r="AV26" s="240"/>
      <c r="AW26" s="240"/>
      <c r="AX26" s="240"/>
      <c r="AY26" s="241"/>
      <c r="AZ26" s="240"/>
    </row>
    <row r="27" spans="1:52" ht="18" hidden="1" customHeight="1" outlineLevel="2" x14ac:dyDescent="0.3">
      <c r="A27" s="240"/>
      <c r="B27" s="7" t="str">
        <f>IF(Table_FormDonBan[[#This Row],[SKU]]&lt;&gt;"",COUNTIF(C$17:C27,"&lt;&gt;"""),"")</f>
        <v/>
      </c>
      <c r="C27" s="240"/>
      <c r="D27" s="7" t="str">
        <f xml:space="preserve">
IFERROR(VLOOKUP(Table_FormDonBan[[#This Row],[SKU]],Table_SKU[[Mã SKU]:[Mô tả]],Sheet_SKU!$H$1,0),"")</f>
        <v/>
      </c>
      <c r="E27" s="15"/>
      <c r="F27" s="15" t="str">
        <f>IFERROR(VLOOKUP(Table_FormDonBan[[#This Row],[SKU]],Table_SKU[[Mã SKU]:[Giá bán]],Sheet_SKU!$J$1,0),"")</f>
        <v/>
      </c>
      <c r="G27" s="242"/>
      <c r="H27" s="242">
        <f>Table_FormDonBan[[#This Row],[ĐK - Phân loại]]*Table_FormDonBan[[#This Row],[ĐK - Thời gian]]*Table_FormDonBan[[#This Row],[ĐK - Giá trị]]*Table_FormDonBan[[#This Row],[ĐK - Số lượng]]*Table_FormDonBan[[#This Row],[ĐK - Sinh nhật]]*Table_FormDonBan[[#This Row],[ĐK - Ngày mua cuối]]</f>
        <v>1</v>
      </c>
      <c r="I27" s="242">
        <f xml:space="preserve">
IF(ISBLANK(Table_FormDonBan[[#This Row],[Chương trình]]),1,
IF(VLOOKUP(Table_FormDonBan[[#This Row],[Chương trình]],Table_ChuongTrinh[[Mã Chương trình]:[Đối tượng CK]],Sheet_ChuongTrinh!$C$1,0) = "Sản phẩm",1,0))</f>
        <v>1</v>
      </c>
      <c r="J27"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2"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6"/>
      <c r="T27" s="240"/>
      <c r="U27" s="240"/>
      <c r="V27" s="240"/>
      <c r="W27" s="240"/>
      <c r="X27" s="240"/>
      <c r="Y27" s="240"/>
      <c r="Z27" s="240"/>
      <c r="AA27" s="246"/>
      <c r="AB27" s="240"/>
      <c r="AC27" s="240"/>
      <c r="AD27" s="240"/>
      <c r="AE27" s="240"/>
      <c r="AF27" s="246"/>
      <c r="AG27" s="246"/>
      <c r="AH27" s="246"/>
      <c r="AI27" s="246"/>
      <c r="AJ27" s="240"/>
      <c r="AK27" s="240"/>
      <c r="AL27" s="240"/>
      <c r="AM27" s="240"/>
      <c r="AN27" s="240"/>
      <c r="AO27" s="240"/>
      <c r="AP27" s="240"/>
      <c r="AQ27" s="240"/>
      <c r="AR27" s="240"/>
      <c r="AS27" s="240"/>
      <c r="AT27" s="240"/>
      <c r="AU27" s="240"/>
      <c r="AV27" s="240"/>
      <c r="AW27" s="240"/>
      <c r="AX27" s="240"/>
      <c r="AY27" s="241"/>
      <c r="AZ27" s="240"/>
    </row>
    <row r="28" spans="1:52" ht="18" hidden="1" customHeight="1" outlineLevel="2" x14ac:dyDescent="0.3">
      <c r="A28" s="240"/>
      <c r="B28" s="7" t="str">
        <f>IF(Table_FormDonBan[[#This Row],[SKU]]&lt;&gt;"",COUNTIF(C$17:C28,"&lt;&gt;"""),"")</f>
        <v/>
      </c>
      <c r="C28" s="240"/>
      <c r="D28" s="7" t="str">
        <f xml:space="preserve">
IFERROR(VLOOKUP(Table_FormDonBan[[#This Row],[SKU]],Table_SKU[[Mã SKU]:[Mô tả]],Sheet_SKU!$H$1,0),"")</f>
        <v/>
      </c>
      <c r="E28" s="15"/>
      <c r="F28" s="15" t="str">
        <f>IFERROR(VLOOKUP(Table_FormDonBan[[#This Row],[SKU]],Table_SKU[[Mã SKU]:[Giá bán]],Sheet_SKU!$J$1,0),"")</f>
        <v/>
      </c>
      <c r="G28" s="242"/>
      <c r="H28" s="242">
        <f>Table_FormDonBan[[#This Row],[ĐK - Phân loại]]*Table_FormDonBan[[#This Row],[ĐK - Thời gian]]*Table_FormDonBan[[#This Row],[ĐK - Giá trị]]*Table_FormDonBan[[#This Row],[ĐK - Số lượng]]*Table_FormDonBan[[#This Row],[ĐK - Sinh nhật]]*Table_FormDonBan[[#This Row],[ĐK - Ngày mua cuối]]</f>
        <v>1</v>
      </c>
      <c r="I28" s="242">
        <f xml:space="preserve">
IF(ISBLANK(Table_FormDonBan[[#This Row],[Chương trình]]),1,
IF(VLOOKUP(Table_FormDonBan[[#This Row],[Chương trình]],Table_ChuongTrinh[[Mã Chương trình]:[Đối tượng CK]],Sheet_ChuongTrinh!$C$1,0) = "Sản phẩm",1,0))</f>
        <v>1</v>
      </c>
      <c r="J28" s="242">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2">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2">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2">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2"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6"/>
      <c r="T28" s="240"/>
      <c r="U28" s="240"/>
      <c r="V28" s="240"/>
      <c r="W28" s="240"/>
      <c r="X28" s="240"/>
      <c r="Y28" s="240"/>
      <c r="Z28" s="240"/>
      <c r="AA28" s="246"/>
      <c r="AB28" s="240"/>
      <c r="AC28" s="240"/>
      <c r="AD28" s="240"/>
      <c r="AE28" s="240"/>
      <c r="AF28" s="246"/>
      <c r="AG28" s="246"/>
      <c r="AH28" s="246"/>
      <c r="AI28" s="246"/>
      <c r="AJ28" s="240"/>
      <c r="AK28" s="240"/>
      <c r="AL28" s="240"/>
      <c r="AM28" s="240"/>
      <c r="AN28" s="240"/>
      <c r="AO28" s="240"/>
      <c r="AP28" s="240"/>
      <c r="AQ28" s="240"/>
      <c r="AR28" s="240"/>
      <c r="AS28" s="240"/>
      <c r="AT28" s="240"/>
      <c r="AU28" s="240"/>
      <c r="AV28" s="240"/>
      <c r="AW28" s="240"/>
      <c r="AX28" s="240"/>
      <c r="AY28" s="241"/>
      <c r="AZ28" s="240"/>
    </row>
    <row r="29" spans="1:52" ht="18" hidden="1" customHeight="1" outlineLevel="2" x14ac:dyDescent="0.3">
      <c r="A29" s="240"/>
      <c r="B29" s="274"/>
      <c r="C29" s="274"/>
      <c r="D29" s="274"/>
      <c r="E29" s="274"/>
      <c r="F29" s="274"/>
      <c r="G29" s="274"/>
      <c r="H29" s="274"/>
      <c r="I29" s="274"/>
      <c r="J29" s="274"/>
      <c r="K29" s="274"/>
      <c r="L29" s="274"/>
      <c r="M29" s="274"/>
      <c r="N29" s="274"/>
      <c r="O29" s="274"/>
      <c r="P29" s="295"/>
      <c r="Q29" s="274"/>
      <c r="R29" s="274"/>
      <c r="S29" s="273"/>
      <c r="T29" s="246"/>
      <c r="U29" s="246"/>
      <c r="V29" s="240"/>
      <c r="W29" s="240"/>
      <c r="X29" s="240"/>
      <c r="Y29" s="240"/>
      <c r="Z29" s="240"/>
      <c r="AA29" s="240"/>
      <c r="AB29" s="246"/>
      <c r="AC29" s="240"/>
      <c r="AD29" s="240"/>
      <c r="AE29" s="240"/>
      <c r="AF29" s="240"/>
      <c r="AG29" s="246"/>
      <c r="AH29" s="246"/>
      <c r="AI29" s="246"/>
      <c r="AJ29" s="246"/>
      <c r="AK29" s="246"/>
      <c r="AL29" s="240"/>
      <c r="AM29" s="240"/>
      <c r="AN29" s="240"/>
      <c r="AO29" s="240"/>
      <c r="AP29" s="240"/>
      <c r="AQ29" s="240"/>
      <c r="AR29" s="240"/>
      <c r="AS29" s="240"/>
      <c r="AT29" s="240"/>
      <c r="AU29" s="240"/>
      <c r="AV29" s="240"/>
      <c r="AW29" s="240"/>
      <c r="AX29" s="240"/>
      <c r="AY29" s="240"/>
      <c r="AZ29" s="241"/>
    </row>
    <row r="30" spans="1:52" ht="18" hidden="1" customHeight="1" outlineLevel="1" x14ac:dyDescent="0.3">
      <c r="A30" s="240"/>
      <c r="B30" s="61" t="s">
        <v>539</v>
      </c>
      <c r="C30" s="285"/>
      <c r="D30" s="285"/>
      <c r="E30" s="286"/>
      <c r="F30" s="94" t="s">
        <v>729</v>
      </c>
      <c r="G30" s="274"/>
      <c r="H30" s="274"/>
      <c r="I30" s="274"/>
      <c r="J30" s="274"/>
      <c r="K30" s="274"/>
      <c r="L30" s="274"/>
      <c r="M30" s="274"/>
      <c r="N30" s="274"/>
      <c r="O30" s="274"/>
      <c r="P30" s="577" cm="1">
        <f t="array" ref="P30">IFERROR(
SUM(_xlfn._xlws.FILTER(Table_FormDonBan[Thành tiền],
(NOT(ISBLANK(Table_FormDonBan[SKU])))
)),0)</f>
        <v>0</v>
      </c>
      <c r="Q30" s="577"/>
      <c r="R30" s="274"/>
      <c r="S30" s="273"/>
      <c r="T30" s="246"/>
      <c r="U30" s="246"/>
      <c r="V30" s="240"/>
      <c r="W30" s="240"/>
      <c r="X30" s="240"/>
      <c r="Y30" s="240"/>
      <c r="Z30" s="240"/>
      <c r="AA30" s="240"/>
      <c r="AB30" s="246"/>
      <c r="AC30" s="240"/>
      <c r="AD30" s="240"/>
      <c r="AE30" s="240"/>
      <c r="AF30" s="240"/>
      <c r="AG30" s="246"/>
      <c r="AH30" s="246"/>
      <c r="AI30" s="246"/>
      <c r="AJ30" s="246"/>
      <c r="AK30" s="246"/>
      <c r="AL30" s="240"/>
      <c r="AM30" s="240"/>
      <c r="AN30" s="240"/>
      <c r="AO30" s="240"/>
      <c r="AP30" s="240"/>
      <c r="AQ30" s="240"/>
      <c r="AR30" s="240"/>
      <c r="AS30" s="240"/>
      <c r="AT30" s="240"/>
      <c r="AU30" s="240"/>
      <c r="AV30" s="240"/>
      <c r="AW30" s="240"/>
      <c r="AX30" s="240"/>
      <c r="AY30" s="240"/>
      <c r="AZ30" s="241"/>
    </row>
    <row r="31" spans="1:52" ht="18" hidden="1" customHeight="1" outlineLevel="2" x14ac:dyDescent="0.3">
      <c r="A31" s="240"/>
      <c r="B31" s="426"/>
      <c r="C31" s="274"/>
      <c r="D31" s="274"/>
      <c r="E31" s="289"/>
      <c r="F31" s="94" t="s">
        <v>915</v>
      </c>
      <c r="G31" s="274"/>
      <c r="H31" s="274"/>
      <c r="I31" s="274"/>
      <c r="J31" s="274"/>
      <c r="K31" s="274"/>
      <c r="L31" s="274"/>
      <c r="M31" s="274"/>
      <c r="N31" s="274"/>
      <c r="O31" s="274"/>
      <c r="P31" s="579" cm="1">
        <f t="array" ref="P31" xml:space="preserve">
IF(ISBLANK(KHThanThiet_HieuLuc),
MAX(0,
IFERROR(
SUM(_xlfn._xlws.FILTER(Table_DonBan[Điểm tích lũy],
(Table_DonBan[Ngày lập]&lt;=V45)*
(Table_DonBan[Mã Khách]=Y45)
)),0)
-IFERROR(
SUM(_xlfn._xlws.FILTER(Table_DonBan[Điểm sử dụng],
(Table_DonBan[Mã Khách]= Y45)
)),0)),
MAX(0,
IFERROR(
SUM(_xlfn._xlws.FILTER(Table_DonBan[Điểm tích lũy],
(Table_DonBan[Ngày lập]&lt;= V45)*
(Table_DonBan[Ngày lập]&gt;= V45-KHThanThiet_HieuLuc)*
(Table_DonBan[Mã Khách]=Y45 )
)),0)
-IFERROR(
SUM(_xlfn._xlws.FILTER(Table_DonBan[Điểm sử dụng],
(Table_DonBan[Ngày lập]&gt;= V45-KHThanThiet_HieuLuc)*
(Table_DonBan[Mã Khách]=Y45 )
)),0)
))</f>
        <v>0</v>
      </c>
      <c r="Q31" s="579"/>
      <c r="R31" s="274"/>
      <c r="S31" s="273"/>
      <c r="T31" s="246"/>
      <c r="U31" s="246"/>
      <c r="V31" s="240"/>
      <c r="W31" s="240"/>
      <c r="X31" s="240"/>
      <c r="Y31" s="240"/>
      <c r="Z31" s="240"/>
      <c r="AA31" s="240"/>
      <c r="AB31" s="246"/>
      <c r="AC31" s="240"/>
      <c r="AD31" s="240"/>
      <c r="AE31" s="240"/>
      <c r="AF31" s="240"/>
      <c r="AG31" s="246"/>
      <c r="AH31" s="246"/>
      <c r="AI31" s="246"/>
      <c r="AJ31" s="246"/>
      <c r="AK31" s="246"/>
      <c r="AL31" s="240"/>
      <c r="AM31" s="240"/>
      <c r="AN31" s="240"/>
      <c r="AO31" s="240"/>
      <c r="AP31" s="240"/>
      <c r="AQ31" s="240"/>
      <c r="AR31" s="240"/>
      <c r="AS31" s="240"/>
      <c r="AT31" s="240"/>
      <c r="AU31" s="240"/>
      <c r="AV31" s="240"/>
      <c r="AW31" s="240"/>
      <c r="AX31" s="240"/>
      <c r="AY31" s="240"/>
      <c r="AZ31" s="241"/>
    </row>
    <row r="32" spans="1:52" ht="18" hidden="1" customHeight="1" outlineLevel="2" x14ac:dyDescent="0.3">
      <c r="A32" s="240"/>
      <c r="B32" s="426"/>
      <c r="C32" s="274"/>
      <c r="D32" s="274"/>
      <c r="E32" s="289"/>
      <c r="F32" s="94" t="s">
        <v>916</v>
      </c>
      <c r="G32" s="274"/>
      <c r="H32" s="274"/>
      <c r="I32" s="274"/>
      <c r="J32" s="274"/>
      <c r="K32" s="274"/>
      <c r="L32" s="274"/>
      <c r="M32" s="274"/>
      <c r="N32" s="274"/>
      <c r="O32" s="274"/>
      <c r="P32" s="580"/>
      <c r="Q32" s="580"/>
      <c r="R32" s="274"/>
      <c r="S32" s="273"/>
      <c r="T32" s="246"/>
      <c r="U32" s="246"/>
      <c r="V32" s="240"/>
      <c r="W32" s="240"/>
      <c r="X32" s="240"/>
      <c r="Y32" s="240"/>
      <c r="Z32" s="240"/>
      <c r="AA32" s="240"/>
      <c r="AB32" s="246"/>
      <c r="AC32" s="240"/>
      <c r="AD32" s="240"/>
      <c r="AE32" s="240"/>
      <c r="AF32" s="240"/>
      <c r="AG32" s="246"/>
      <c r="AH32" s="246"/>
      <c r="AI32" s="246"/>
      <c r="AJ32" s="246"/>
      <c r="AK32" s="246"/>
      <c r="AL32" s="240"/>
      <c r="AM32" s="240"/>
      <c r="AN32" s="240"/>
      <c r="AO32" s="240"/>
      <c r="AP32" s="240"/>
      <c r="AQ32" s="240"/>
      <c r="AR32" s="240"/>
      <c r="AS32" s="240"/>
      <c r="AT32" s="240"/>
      <c r="AU32" s="240"/>
      <c r="AV32" s="240"/>
      <c r="AW32" s="240"/>
      <c r="AX32" s="240"/>
      <c r="AY32" s="240"/>
      <c r="AZ32" s="241"/>
    </row>
    <row r="33" spans="1:52" ht="18" hidden="1" customHeight="1" outlineLevel="2" x14ac:dyDescent="0.3">
      <c r="A33" s="240"/>
      <c r="B33" s="288"/>
      <c r="C33" s="274"/>
      <c r="D33" s="274"/>
      <c r="E33" s="289"/>
      <c r="F33" s="94" t="s">
        <v>236</v>
      </c>
      <c r="G33" s="274"/>
      <c r="H33" s="274">
        <f>I33*J33*K33*L33*M33*N33</f>
        <v>1</v>
      </c>
      <c r="I33" s="274">
        <f xml:space="preserve">
IF(ISBLANK(P33),1,
IF(VLOOKUP(P33,Table_ChuongTrinh[[Mã Chương trình]:[Đối tượng CK]],Sheet_ChuongTrinh!$C$1,0) = "Đơn hàng",1,0))</f>
        <v>1</v>
      </c>
      <c r="J33" s="274">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4">
        <f>IF(ISBLANK(P33),
1,
IF(ISBLANK(VLOOKUP(P33,Table_ChuongTrinh[],Sheet_ChuongTrinh!$J$1,0)),
1,
IF(P30&gt;= VLOOKUP(P33,Table_ChuongTrinh[],Sheet_ChuongTrinh!$J$1,0),
1,
0)))</f>
        <v>1</v>
      </c>
      <c r="L33" s="274">
        <f>IF(ISBLANK(P33),
1,
IF(ISBLANK(VLOOKUP(P33,Table_ChuongTrinh[],Sheet_ChuongTrinh!$I$1,0)),
1,
IF(COUNTIF(Table_DonBan[Chương trình],P33)+1
&lt;= VLOOKUP(P33,Table_ChuongTrinh[],Sheet_ChuongTrinh!$I$1,0),
1,
0)))</f>
        <v>1</v>
      </c>
      <c r="M33" s="274">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4"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4"/>
      <c r="P33" s="578"/>
      <c r="Q33" s="578"/>
      <c r="R33" s="274"/>
      <c r="S33" s="273"/>
      <c r="T33" s="246"/>
      <c r="U33" s="246"/>
      <c r="V33" s="240"/>
      <c r="W33" s="240"/>
      <c r="X33" s="240"/>
      <c r="Y33" s="240"/>
      <c r="Z33" s="240"/>
      <c r="AA33" s="240"/>
      <c r="AB33" s="246"/>
      <c r="AC33" s="240"/>
      <c r="AD33" s="240"/>
      <c r="AE33" s="240"/>
      <c r="AF33" s="240"/>
      <c r="AG33" s="246"/>
      <c r="AH33" s="246"/>
      <c r="AI33" s="246"/>
      <c r="AJ33" s="246"/>
      <c r="AK33" s="246"/>
      <c r="AL33" s="240"/>
      <c r="AM33" s="240"/>
      <c r="AN33" s="240"/>
      <c r="AO33" s="240"/>
      <c r="AP33" s="240"/>
      <c r="AQ33" s="240"/>
      <c r="AR33" s="240"/>
      <c r="AS33" s="240"/>
      <c r="AT33" s="240"/>
      <c r="AU33" s="240"/>
      <c r="AV33" s="240"/>
      <c r="AW33" s="240"/>
      <c r="AX33" s="240"/>
      <c r="AY33" s="240"/>
      <c r="AZ33" s="241"/>
    </row>
    <row r="34" spans="1:52" ht="18" hidden="1" customHeight="1" outlineLevel="1" x14ac:dyDescent="0.3">
      <c r="A34" s="240"/>
      <c r="B34" s="288"/>
      <c r="C34" s="274"/>
      <c r="D34" s="274"/>
      <c r="E34" s="289"/>
      <c r="F34" s="94" t="s">
        <v>730</v>
      </c>
      <c r="G34" s="274"/>
      <c r="H34" s="274"/>
      <c r="I34" s="274"/>
      <c r="J34" s="274"/>
      <c r="K34" s="274"/>
      <c r="L34" s="274"/>
      <c r="M34" s="274"/>
      <c r="N34" s="274"/>
      <c r="O34" s="274"/>
      <c r="P34" s="579">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79"/>
      <c r="R34" s="274"/>
      <c r="S34" s="273"/>
      <c r="T34" s="246"/>
      <c r="U34" s="246"/>
      <c r="V34" s="240"/>
      <c r="W34" s="240"/>
      <c r="X34" s="240"/>
      <c r="Y34" s="240"/>
      <c r="Z34" s="240"/>
      <c r="AA34" s="240"/>
      <c r="AB34" s="246"/>
      <c r="AC34" s="240"/>
      <c r="AD34" s="240"/>
      <c r="AE34" s="240"/>
      <c r="AF34" s="240"/>
      <c r="AG34" s="246"/>
      <c r="AH34" s="246"/>
      <c r="AI34" s="246"/>
      <c r="AJ34" s="246"/>
      <c r="AK34" s="246"/>
      <c r="AL34" s="240"/>
      <c r="AM34" s="240"/>
      <c r="AN34" s="240"/>
      <c r="AO34" s="240"/>
      <c r="AP34" s="240"/>
      <c r="AQ34" s="240"/>
      <c r="AR34" s="240"/>
      <c r="AS34" s="240"/>
      <c r="AT34" s="240"/>
      <c r="AU34" s="240"/>
      <c r="AV34" s="240"/>
      <c r="AW34" s="240"/>
      <c r="AX34" s="240"/>
      <c r="AY34" s="240"/>
      <c r="AZ34" s="241"/>
    </row>
    <row r="35" spans="1:52" ht="18" hidden="1" customHeight="1" outlineLevel="1" x14ac:dyDescent="0.3">
      <c r="A35" s="240"/>
      <c r="B35" s="288"/>
      <c r="C35" s="274"/>
      <c r="D35" s="274"/>
      <c r="E35" s="289"/>
      <c r="F35" s="94" t="s">
        <v>731</v>
      </c>
      <c r="G35" s="274"/>
      <c r="H35" s="274"/>
      <c r="I35" s="274"/>
      <c r="J35" s="274"/>
      <c r="K35" s="274"/>
      <c r="L35" s="274"/>
      <c r="M35" s="274"/>
      <c r="N35" s="274"/>
      <c r="O35" s="274"/>
      <c r="P35" s="579" cm="1">
        <f t="array" ref="P35" xml:space="preserve">
IFERROR(
IFERROR(
SUM(_xlfn._xlws.FILTER(Table_FormDonBan[VAT],
(NOT(ISBLANK(Table_FormDonBan[SKU])))
)),0)
-P34*
IFERROR(
SUM(_xlfn._xlws.FILTER(Table_FormDonBan[VAT],
(NOT(ISBLANK(Table_FormDonBan[SKU])))
)),0)/P30,0)</f>
        <v>0</v>
      </c>
      <c r="Q35" s="579"/>
      <c r="R35" s="240"/>
      <c r="S35" s="273"/>
      <c r="T35" s="246"/>
      <c r="U35" s="246"/>
      <c r="V35" s="240"/>
      <c r="W35" s="240"/>
      <c r="X35" s="240"/>
      <c r="Y35" s="240"/>
      <c r="Z35" s="240"/>
      <c r="AA35" s="240"/>
      <c r="AB35" s="246"/>
      <c r="AC35" s="240"/>
      <c r="AD35" s="240"/>
      <c r="AE35" s="240"/>
      <c r="AF35" s="240"/>
      <c r="AG35" s="246"/>
      <c r="AH35" s="246"/>
      <c r="AI35" s="246"/>
      <c r="AJ35" s="246"/>
      <c r="AK35" s="246"/>
      <c r="AL35" s="240"/>
      <c r="AM35" s="240"/>
      <c r="AN35" s="240"/>
      <c r="AO35" s="240"/>
      <c r="AP35" s="240"/>
      <c r="AQ35" s="240"/>
      <c r="AR35" s="240"/>
      <c r="AS35" s="240"/>
      <c r="AT35" s="240"/>
      <c r="AU35" s="240"/>
      <c r="AV35" s="240"/>
      <c r="AW35" s="240"/>
      <c r="AX35" s="240"/>
      <c r="AY35" s="240"/>
      <c r="AZ35" s="241"/>
    </row>
    <row r="36" spans="1:52" ht="18" hidden="1" customHeight="1" outlineLevel="1" x14ac:dyDescent="0.3">
      <c r="A36" s="240"/>
      <c r="B36" s="290"/>
      <c r="C36" s="291"/>
      <c r="D36" s="291"/>
      <c r="E36" s="292"/>
      <c r="F36" s="575" t="s">
        <v>732</v>
      </c>
      <c r="G36" s="576"/>
      <c r="H36" s="576"/>
      <c r="I36" s="576"/>
      <c r="J36" s="576"/>
      <c r="K36" s="576"/>
      <c r="L36" s="576"/>
      <c r="M36" s="576"/>
      <c r="N36" s="576"/>
      <c r="O36" s="576"/>
      <c r="P36" s="574">
        <f>+P30-P34+P35</f>
        <v>0</v>
      </c>
      <c r="Q36" s="574"/>
      <c r="R36" s="293"/>
      <c r="S36" s="273"/>
      <c r="T36" s="246"/>
      <c r="U36" s="246"/>
      <c r="V36" s="240"/>
      <c r="W36" s="240"/>
      <c r="X36" s="240"/>
      <c r="Y36" s="240"/>
      <c r="Z36" s="240"/>
      <c r="AA36" s="240"/>
      <c r="AB36" s="246"/>
      <c r="AC36" s="240"/>
      <c r="AD36" s="240"/>
      <c r="AE36" s="240"/>
      <c r="AF36" s="240"/>
      <c r="AG36" s="246"/>
      <c r="AH36" s="246"/>
      <c r="AI36" s="246"/>
      <c r="AJ36" s="246"/>
      <c r="AK36" s="246"/>
      <c r="AL36" s="240"/>
      <c r="AM36" s="240"/>
      <c r="AN36" s="240"/>
      <c r="AO36" s="240"/>
      <c r="AP36" s="240"/>
      <c r="AQ36" s="240"/>
      <c r="AR36" s="240"/>
      <c r="AS36" s="240"/>
      <c r="AT36" s="240"/>
      <c r="AU36" s="240"/>
      <c r="AV36" s="240"/>
      <c r="AW36" s="240"/>
      <c r="AX36" s="240"/>
      <c r="AY36" s="240"/>
      <c r="AZ36" s="241"/>
    </row>
    <row r="37" spans="1:52" ht="18" hidden="1" customHeight="1" outlineLevel="1" x14ac:dyDescent="0.3">
      <c r="A37" s="240"/>
      <c r="B37" s="274"/>
      <c r="C37" s="274"/>
      <c r="D37" s="274"/>
      <c r="E37" s="274"/>
      <c r="F37" s="274"/>
      <c r="G37" s="274"/>
      <c r="H37" s="274"/>
      <c r="I37" s="274"/>
      <c r="J37" s="274"/>
      <c r="K37" s="274"/>
      <c r="L37" s="274"/>
      <c r="M37" s="274"/>
      <c r="N37" s="274"/>
      <c r="O37" s="274"/>
      <c r="P37" s="295"/>
      <c r="Q37" s="274"/>
      <c r="R37" s="274"/>
      <c r="S37" s="273"/>
      <c r="T37" s="246"/>
      <c r="U37" s="246"/>
      <c r="V37" s="240"/>
      <c r="W37" s="240"/>
      <c r="X37" s="240"/>
      <c r="Y37" s="240"/>
      <c r="Z37" s="240"/>
      <c r="AA37" s="240"/>
      <c r="AB37" s="246"/>
      <c r="AC37" s="240"/>
      <c r="AD37" s="240"/>
      <c r="AE37" s="240"/>
      <c r="AF37" s="240"/>
      <c r="AG37" s="246"/>
      <c r="AH37" s="246"/>
      <c r="AI37" s="246"/>
      <c r="AJ37" s="246"/>
      <c r="AK37" s="246"/>
      <c r="AL37" s="240"/>
      <c r="AM37" s="240"/>
      <c r="AN37" s="240"/>
      <c r="AO37" s="240"/>
      <c r="AP37" s="240"/>
      <c r="AQ37" s="240"/>
      <c r="AR37" s="240"/>
      <c r="AS37" s="240"/>
      <c r="AT37" s="240"/>
      <c r="AU37" s="240"/>
      <c r="AV37" s="240"/>
      <c r="AW37" s="240"/>
      <c r="AX37" s="240"/>
      <c r="AY37" s="240"/>
      <c r="AZ37" s="241"/>
    </row>
    <row r="38" spans="1:52" ht="18" hidden="1" customHeight="1" outlineLevel="1" x14ac:dyDescent="0.3">
      <c r="A38" s="240"/>
      <c r="B38" s="274"/>
      <c r="C38" s="274"/>
      <c r="D38" s="274"/>
      <c r="E38" s="274"/>
      <c r="F38" s="240"/>
      <c r="G38" s="309"/>
      <c r="H38" s="309"/>
      <c r="I38" s="309"/>
      <c r="J38" s="309"/>
      <c r="K38" s="309"/>
      <c r="L38" s="309"/>
      <c r="M38" s="309"/>
      <c r="N38" s="309"/>
      <c r="O38" s="562" t="str">
        <f>B1</f>
        <v>Công ty ABC XYZ</v>
      </c>
      <c r="P38" s="563"/>
      <c r="Q38" s="563"/>
      <c r="R38" s="309"/>
      <c r="S38" s="273"/>
      <c r="T38" s="246"/>
      <c r="U38" s="246"/>
      <c r="V38" s="240"/>
      <c r="W38" s="240"/>
      <c r="X38" s="240"/>
      <c r="Y38" s="240"/>
      <c r="Z38" s="240"/>
      <c r="AA38" s="240"/>
      <c r="AB38" s="246"/>
      <c r="AC38" s="240"/>
      <c r="AD38" s="240"/>
      <c r="AE38" s="240"/>
      <c r="AF38" s="240"/>
      <c r="AG38" s="246"/>
      <c r="AH38" s="246"/>
      <c r="AI38" s="246"/>
      <c r="AJ38" s="246"/>
      <c r="AK38" s="246"/>
      <c r="AL38" s="240"/>
      <c r="AM38" s="240"/>
      <c r="AN38" s="240"/>
      <c r="AO38" s="240"/>
      <c r="AP38" s="240"/>
      <c r="AQ38" s="240"/>
      <c r="AR38" s="240"/>
      <c r="AS38" s="240"/>
      <c r="AT38" s="240"/>
      <c r="AU38" s="240"/>
      <c r="AV38" s="240"/>
      <c r="AW38" s="240"/>
      <c r="AX38" s="240"/>
      <c r="AY38" s="240"/>
      <c r="AZ38" s="241"/>
    </row>
    <row r="39" spans="1:52" ht="18" hidden="1" customHeight="1" outlineLevel="1" x14ac:dyDescent="0.3">
      <c r="A39" s="240"/>
      <c r="B39" s="274"/>
      <c r="C39" s="274"/>
      <c r="D39" s="274"/>
      <c r="E39" s="274"/>
      <c r="F39" s="240"/>
      <c r="G39" s="309"/>
      <c r="H39" s="309"/>
      <c r="I39" s="309"/>
      <c r="J39" s="309"/>
      <c r="K39" s="309"/>
      <c r="L39" s="309"/>
      <c r="M39" s="309"/>
      <c r="N39" s="309"/>
      <c r="O39" s="562" t="s">
        <v>733</v>
      </c>
      <c r="P39" s="563"/>
      <c r="Q39" s="563"/>
      <c r="R39" s="309"/>
      <c r="S39" s="273"/>
      <c r="T39" s="246"/>
      <c r="U39" s="246"/>
      <c r="V39" s="240"/>
      <c r="W39" s="240"/>
      <c r="X39" s="240"/>
      <c r="Y39" s="240"/>
      <c r="Z39" s="240"/>
      <c r="AA39" s="240"/>
      <c r="AB39" s="246"/>
      <c r="AC39" s="240"/>
      <c r="AD39" s="240"/>
      <c r="AE39" s="240"/>
      <c r="AF39" s="240"/>
      <c r="AG39" s="246"/>
      <c r="AH39" s="246"/>
      <c r="AI39" s="246"/>
      <c r="AJ39" s="246"/>
      <c r="AK39" s="246"/>
      <c r="AL39" s="240"/>
      <c r="AM39" s="240"/>
      <c r="AN39" s="240"/>
      <c r="AO39" s="240"/>
      <c r="AP39" s="240"/>
      <c r="AQ39" s="240"/>
      <c r="AR39" s="240"/>
      <c r="AS39" s="240"/>
      <c r="AT39" s="240"/>
      <c r="AU39" s="240"/>
      <c r="AV39" s="240"/>
      <c r="AW39" s="240"/>
      <c r="AX39" s="240"/>
      <c r="AY39" s="240"/>
      <c r="AZ39" s="241"/>
    </row>
    <row r="40" spans="1:52" ht="18" hidden="1" customHeight="1" outlineLevel="1" x14ac:dyDescent="0.3">
      <c r="A40" s="240"/>
      <c r="B40" s="274"/>
      <c r="C40" s="274"/>
      <c r="D40" s="274"/>
      <c r="E40" s="274"/>
      <c r="F40" s="240"/>
      <c r="G40" s="309"/>
      <c r="H40" s="309"/>
      <c r="I40" s="309"/>
      <c r="J40" s="309"/>
      <c r="K40" s="309"/>
      <c r="L40" s="309"/>
      <c r="M40" s="309"/>
      <c r="N40" s="309"/>
      <c r="O40" s="560" t="str">
        <f>IFERROR(VLOOKUP(P8,Table_NhanVien[#All],Sheet_CauTruc!$T$1,0),"")</f>
        <v/>
      </c>
      <c r="P40" s="561"/>
      <c r="Q40" s="561"/>
      <c r="R40" s="309"/>
      <c r="S40" s="273"/>
      <c r="T40" s="246"/>
      <c r="U40" s="246"/>
      <c r="V40" s="240"/>
      <c r="W40" s="240"/>
      <c r="X40" s="240"/>
      <c r="Y40" s="240"/>
      <c r="Z40" s="240"/>
      <c r="AA40" s="240"/>
      <c r="AB40" s="246"/>
      <c r="AC40" s="240"/>
      <c r="AD40" s="240"/>
      <c r="AE40" s="240"/>
      <c r="AF40" s="240"/>
      <c r="AG40" s="246"/>
      <c r="AH40" s="246"/>
      <c r="AI40" s="246"/>
      <c r="AJ40" s="246"/>
      <c r="AK40" s="246"/>
      <c r="AL40" s="240"/>
      <c r="AM40" s="240"/>
      <c r="AN40" s="240"/>
      <c r="AO40" s="240"/>
      <c r="AP40" s="240"/>
      <c r="AQ40" s="240"/>
      <c r="AR40" s="240"/>
      <c r="AS40" s="240"/>
      <c r="AT40" s="240"/>
      <c r="AU40" s="240"/>
      <c r="AV40" s="240"/>
      <c r="AW40" s="240"/>
      <c r="AX40" s="240"/>
      <c r="AY40" s="240"/>
      <c r="AZ40" s="241"/>
    </row>
    <row r="41" spans="1:52" ht="18" hidden="1" customHeight="1" outlineLevel="1" x14ac:dyDescent="0.3">
      <c r="A41" s="240"/>
      <c r="B41" s="274"/>
      <c r="C41" s="274"/>
      <c r="D41" s="274"/>
      <c r="E41" s="274"/>
      <c r="F41" s="240"/>
      <c r="G41" s="309"/>
      <c r="H41" s="309"/>
      <c r="I41" s="309"/>
      <c r="J41" s="309"/>
      <c r="K41" s="309"/>
      <c r="L41" s="309"/>
      <c r="M41" s="309"/>
      <c r="N41" s="309"/>
      <c r="O41" s="294"/>
      <c r="P41" s="294"/>
      <c r="Q41" s="294"/>
      <c r="R41" s="309"/>
      <c r="S41" s="273"/>
      <c r="T41" s="246"/>
      <c r="U41" s="246"/>
      <c r="V41" s="240"/>
      <c r="W41" s="240"/>
      <c r="X41" s="240"/>
      <c r="Y41" s="240"/>
      <c r="Z41" s="240"/>
      <c r="AA41" s="240"/>
      <c r="AB41" s="246"/>
      <c r="AC41" s="240"/>
      <c r="AD41" s="240"/>
      <c r="AE41" s="240"/>
      <c r="AF41" s="240"/>
      <c r="AG41" s="246"/>
      <c r="AH41" s="246"/>
      <c r="AI41" s="246"/>
      <c r="AJ41" s="246"/>
      <c r="AK41" s="246"/>
      <c r="AL41" s="240"/>
      <c r="AM41" s="240"/>
      <c r="AN41" s="240"/>
      <c r="AO41" s="240"/>
      <c r="AP41" s="240"/>
      <c r="AQ41" s="240"/>
      <c r="AR41" s="240"/>
      <c r="AS41" s="240"/>
      <c r="AT41" s="240"/>
      <c r="AU41" s="240"/>
      <c r="AV41" s="240"/>
      <c r="AW41" s="240"/>
      <c r="AX41" s="240"/>
      <c r="AY41" s="240"/>
      <c r="AZ41" s="241"/>
    </row>
    <row r="42" spans="1:52" ht="18" hidden="1" customHeight="1" outlineLevel="1" x14ac:dyDescent="0.3">
      <c r="A42" s="240"/>
      <c r="B42" s="274"/>
      <c r="C42" s="274"/>
      <c r="D42" s="274"/>
      <c r="E42" s="274"/>
      <c r="F42" s="240"/>
      <c r="G42" s="274"/>
      <c r="H42" s="274"/>
      <c r="I42" s="274"/>
      <c r="J42" s="274"/>
      <c r="K42" s="274"/>
      <c r="L42" s="274"/>
      <c r="M42" s="274"/>
      <c r="N42" s="274"/>
      <c r="O42" s="274"/>
      <c r="P42" s="274"/>
      <c r="Q42" s="274"/>
      <c r="R42" s="274"/>
      <c r="S42" s="273"/>
      <c r="T42" s="246"/>
      <c r="U42" s="246"/>
      <c r="V42" s="240"/>
      <c r="W42" s="240"/>
      <c r="X42" s="240"/>
      <c r="Y42" s="240"/>
      <c r="Z42" s="240"/>
      <c r="AA42" s="240"/>
      <c r="AB42" s="246"/>
      <c r="AC42" s="240"/>
      <c r="AD42" s="240"/>
      <c r="AE42" s="240"/>
      <c r="AF42" s="240"/>
      <c r="AG42" s="246"/>
      <c r="AH42" s="246"/>
      <c r="AI42" s="246"/>
      <c r="AJ42" s="246"/>
      <c r="AK42" s="246"/>
      <c r="AL42" s="240"/>
      <c r="AM42" s="240"/>
      <c r="AN42" s="240"/>
      <c r="AO42" s="240"/>
      <c r="AP42" s="240"/>
      <c r="AQ42" s="240"/>
      <c r="AR42" s="240"/>
      <c r="AS42" s="240"/>
      <c r="AT42" s="240"/>
      <c r="AU42" s="240"/>
      <c r="AV42" s="240"/>
      <c r="AW42" s="240"/>
      <c r="AX42" s="240"/>
      <c r="AY42" s="240"/>
      <c r="AZ42" s="241"/>
    </row>
    <row r="43" spans="1:52" ht="18" hidden="1" customHeight="1" outlineLevel="1" x14ac:dyDescent="0.3">
      <c r="A43" s="240"/>
      <c r="B43" s="274"/>
      <c r="C43" s="274"/>
      <c r="D43" s="274"/>
      <c r="E43" s="274"/>
      <c r="F43" s="240"/>
      <c r="G43" s="274"/>
      <c r="H43" s="274"/>
      <c r="I43" s="274"/>
      <c r="J43" s="274"/>
      <c r="K43" s="274"/>
      <c r="L43" s="274"/>
      <c r="M43" s="274"/>
      <c r="N43" s="274"/>
      <c r="O43" s="295"/>
      <c r="P43" s="295"/>
      <c r="Q43" s="295"/>
      <c r="R43" s="274"/>
      <c r="S43" s="273"/>
      <c r="T43" s="246"/>
      <c r="U43" s="246"/>
      <c r="V43" s="240"/>
      <c r="W43" s="240"/>
      <c r="X43" s="240"/>
      <c r="Y43" s="240"/>
      <c r="Z43" s="240"/>
      <c r="AA43" s="240"/>
      <c r="AB43" s="246"/>
      <c r="AC43" s="240"/>
      <c r="AD43" s="240"/>
      <c r="AE43" s="240"/>
      <c r="AF43" s="240"/>
      <c r="AG43" s="246"/>
      <c r="AH43" s="246"/>
      <c r="AI43" s="246"/>
      <c r="AJ43" s="246"/>
      <c r="AK43" s="246"/>
      <c r="AL43" s="240"/>
      <c r="AM43" s="240"/>
      <c r="AN43" s="240"/>
      <c r="AO43" s="240"/>
      <c r="AP43" s="240"/>
      <c r="AQ43" s="240"/>
      <c r="AR43" s="240"/>
      <c r="AS43" s="240"/>
      <c r="AT43" s="240"/>
      <c r="AU43" s="240"/>
      <c r="AV43" s="240"/>
      <c r="AW43" s="240"/>
      <c r="AX43" s="240"/>
      <c r="AY43" s="240"/>
      <c r="AZ43" s="241"/>
    </row>
    <row r="44" spans="1:52" ht="18" customHeight="1" collapsed="1" x14ac:dyDescent="0.3">
      <c r="A44" s="240"/>
      <c r="B44" s="274"/>
      <c r="C44" s="274"/>
      <c r="D44" s="274"/>
      <c r="E44" s="274"/>
      <c r="F44" s="274"/>
      <c r="G44" s="274"/>
      <c r="H44" s="274"/>
      <c r="I44" s="274"/>
      <c r="J44" s="274"/>
      <c r="K44" s="274"/>
      <c r="L44" s="274"/>
      <c r="M44" s="274"/>
      <c r="N44" s="274"/>
      <c r="O44" s="274"/>
      <c r="P44" s="274"/>
      <c r="Q44" s="274"/>
      <c r="R44" s="274"/>
      <c r="S44" s="273"/>
      <c r="T44" s="299">
        <v>0</v>
      </c>
      <c r="U44" s="299">
        <f t="shared" ref="U44:AB44" si="0">+T44+1</f>
        <v>1</v>
      </c>
      <c r="V44" s="299">
        <f t="shared" si="0"/>
        <v>2</v>
      </c>
      <c r="W44" s="299"/>
      <c r="X44" s="299"/>
      <c r="Y44" s="299">
        <f>+V44+1</f>
        <v>3</v>
      </c>
      <c r="Z44" s="299">
        <f t="shared" si="0"/>
        <v>4</v>
      </c>
      <c r="AA44" s="299">
        <f t="shared" si="0"/>
        <v>5</v>
      </c>
      <c r="AB44" s="299">
        <f t="shared" si="0"/>
        <v>6</v>
      </c>
      <c r="AC44" s="299">
        <f t="shared" ref="AC44:AL44" si="1">+AB44+1</f>
        <v>7</v>
      </c>
      <c r="AD44" s="299">
        <f t="shared" si="1"/>
        <v>8</v>
      </c>
      <c r="AE44" s="299">
        <f t="shared" si="1"/>
        <v>9</v>
      </c>
      <c r="AF44" s="299">
        <f t="shared" si="1"/>
        <v>10</v>
      </c>
      <c r="AG44" s="299">
        <f t="shared" si="1"/>
        <v>11</v>
      </c>
      <c r="AH44" s="299">
        <f t="shared" si="1"/>
        <v>12</v>
      </c>
      <c r="AI44" s="299">
        <f t="shared" si="1"/>
        <v>13</v>
      </c>
      <c r="AJ44" s="299">
        <f t="shared" si="1"/>
        <v>14</v>
      </c>
      <c r="AK44" s="299">
        <f t="shared" si="1"/>
        <v>15</v>
      </c>
      <c r="AL44" s="299">
        <f t="shared" si="1"/>
        <v>16</v>
      </c>
      <c r="AM44" s="299">
        <f t="shared" ref="AM44" si="2">+AL44+1</f>
        <v>17</v>
      </c>
      <c r="AN44" s="299">
        <f t="shared" ref="AN44" si="3">+AM44+1</f>
        <v>18</v>
      </c>
      <c r="AO44" s="299">
        <f t="shared" ref="AO44" si="4">+AN44+1</f>
        <v>19</v>
      </c>
      <c r="AP44" s="299">
        <f t="shared" ref="AP44" si="5">+AO44+1</f>
        <v>20</v>
      </c>
      <c r="AQ44" s="247"/>
      <c r="AR44" s="247"/>
      <c r="AS44" s="247"/>
      <c r="AT44" s="247"/>
      <c r="AU44" s="247"/>
      <c r="AV44" s="247"/>
      <c r="AW44" s="247"/>
      <c r="AX44" s="247"/>
      <c r="AY44" s="247"/>
      <c r="AZ44" s="241"/>
    </row>
    <row r="45" spans="1:52" ht="18" customHeight="1" x14ac:dyDescent="0.3">
      <c r="A45" s="240"/>
      <c r="B45" s="274"/>
      <c r="C45" s="274"/>
      <c r="D45" s="274"/>
      <c r="E45" s="274"/>
      <c r="F45" s="274"/>
      <c r="G45" s="274"/>
      <c r="H45" s="274"/>
      <c r="I45" s="274"/>
      <c r="J45" s="274"/>
      <c r="K45" s="274"/>
      <c r="L45" s="274"/>
      <c r="M45" s="274"/>
      <c r="N45" s="274"/>
      <c r="O45" s="274"/>
      <c r="P45" s="274"/>
      <c r="Q45" s="274"/>
      <c r="R45" s="274"/>
      <c r="S45" s="273"/>
      <c r="T45" s="248">
        <f>R4</f>
        <v>1</v>
      </c>
      <c r="U45" s="51" t="str">
        <f>P4</f>
        <v>BAN--100-1</v>
      </c>
      <c r="V45" s="408">
        <f>P5</f>
        <v>0</v>
      </c>
      <c r="W45" s="408"/>
      <c r="X45" s="408"/>
      <c r="Y45" s="244">
        <f>C3</f>
        <v>0</v>
      </c>
      <c r="Z45" s="244">
        <f>P8</f>
        <v>0</v>
      </c>
      <c r="AA45" s="244">
        <f>P7</f>
        <v>0</v>
      </c>
      <c r="AB45" s="48">
        <f>P30</f>
        <v>0</v>
      </c>
      <c r="AC45" s="48" cm="1">
        <f t="array" ref="AC45">IFERROR(
SUM(_xlfn._xlws.FILTER(Table_FormDonBan[VAT],
(NOT(ISBLANK(Table_FormDonBan[SKU])))
)),0)</f>
        <v>0</v>
      </c>
      <c r="AD45" s="48" cm="1">
        <f t="array" ref="AD45" xml:space="preserve">
IF(ISBLANK(KHThanThiet_HieuLuc),
MAX(0,
IFERROR(
SUM(_xlfn._xlws.FILTER(Table_DonBan[Điểm tích lũy],
(Table_DonBan[Ngày lập]&lt;=V45)*
(Table_DonBan[Mã Khách]=Y45)
)),0)
-IFERROR(
SUM(_xlfn._xlws.FILTER(Table_DonBan[Điểm sử dụng],
(Table_DonBan[Mã Khách]= Y45)
)),0)),
MAX(0,
IFERROR(
SUM(_xlfn._xlws.FILTER(Table_DonBan[Điểm tích lũy],
(Table_DonBan[Ngày lập]&lt;= V45)*
(Table_DonBan[Ngày lập]&gt;= V45-KHThanThiet_HieuLuc)*
(Table_DonBan[Mã Khách]=Y45 )
)),0)
-IFERROR(
SUM(_xlfn._xlws.FILTER(Table_DonBan[Điểm sử dụng],
(Table_DonBan[Ngày lập]&gt;= V45-KHThanThiet_HieuLuc)*
(Table_DonBan[Mã Khách]=Y45 )
)),0)
))</f>
        <v>0</v>
      </c>
      <c r="AE45" s="48">
        <f>P32</f>
        <v>0</v>
      </c>
      <c r="AF45" s="256">
        <f>P33</f>
        <v>0</v>
      </c>
      <c r="AG45" s="64">
        <f xml:space="preserve">
IFERROR(
IF(
ISBLANK(
VLOOKUP(
AF45,
Table_ChuongTrinh[],
COUNTA(Table_ChuongTrinh[[#Headers],[Mã Chương trình]:[Tỷ lệ CK]]),
0)
),
0,
VLOOKUP(
AF45,
Table_ChuongTrinh[],
COUNTA(Table_ChuongTrinh[[#Headers],[Mã Chương trình]:[Tỷ lệ CK]]),
0)
),
0)</f>
        <v>0</v>
      </c>
      <c r="AH45" s="226" t="e">
        <f>(AB45/ABS(AB45))
*IFERROR(
IF(
ISBLANK(
VLOOKUP(
AF45,
Table_ChuongTrinh[],
COUNTA(Table_ChuongTrinh[[#Headers],[Mã Chương trình]:[Tỷ lệ CK]]),
0)
),
VLOOKUP(
AF45,
Table_ChuongTrinh[],
COUNTA(Table_ChuongTrinh[[#Headers],[Mã Chương trình]:[Giá trị CK]]),
0),
VLOOKUP(
AF45,
Table_ChuongTrinh[],
COUNTA(Table_ChuongTrinh[[#Headers],[Mã Chương trình]:[Tỷ lệ CK]]),
0)*ABS(AB45)
),
0)+AE45</f>
        <v>#DIV/0!</v>
      </c>
      <c r="AI45" s="405">
        <f>P35</f>
        <v>0</v>
      </c>
      <c r="AJ45" s="48" t="e">
        <f>AL45-AI45</f>
        <v>#DIV/0!</v>
      </c>
      <c r="AK45" s="48" t="e">
        <f>AJ45</f>
        <v>#DIV/0!</v>
      </c>
      <c r="AL45" s="120" t="e">
        <f>+AB45+AI45-AH45</f>
        <v>#DIV/0!</v>
      </c>
      <c r="AM45" s="120" cm="1">
        <f t="array" ref="AM45" xml:space="preserve">
IF(ISBLANK(KHThanThiet_SoNgay),
IFERROR(
SUM(_xlfn._xlws.FILTER(Table_DonBan[Doanh thu ròng],
(Table_DonBan[Mã Khách] =Y45)*
(Table_DonBan[Ngày lập]&lt;=V45)
)),0),
IFERROR(
SUM(_xlfn._xlws.FILTER(Table_DonBan[Doanh thu ròng],
(Table_DonBan[Mã Khách] = Y45)*
(Table_DonBan[Ngày lập] &gt;= (V45 - KHThanThiet_SoNgay))*
(Table_DonBan[Ngày lập]&lt;=V45)
)),0))</f>
        <v>0</v>
      </c>
      <c r="AN45" s="120" cm="1">
        <f t="array" ref="AN45">+IFERROR(
MAX(_xlfn._xlws.FILTER(Table_KHThanThiet_ChinhSach[Tỷ lệ điểm thưởng],
(Table_KHThanThiet_ChinhSach[Doanh thu tối thiểu]&lt;=AM45)
)),0)</f>
        <v>0</v>
      </c>
      <c r="AO45" s="120" t="e">
        <f>AN45*AJ45</f>
        <v>#DIV/0!</v>
      </c>
      <c r="AP45" s="244" cm="1">
        <f t="array" ref="AP45">COUNTA(_xlfn._xlws.FILTER(Table_DonBan[Mã Khách],
(Table_DonBan[Mã Khách]=Y45)*
(Table_DonBan[Ngày lập]&lt;=V45)
))</f>
        <v>1</v>
      </c>
      <c r="AQ45" s="245"/>
      <c r="AR45" s="376"/>
      <c r="AS45" s="243"/>
      <c r="AT45" s="243"/>
      <c r="AU45" s="243"/>
      <c r="AV45" s="243"/>
      <c r="AW45" s="243"/>
      <c r="AX45" s="243"/>
      <c r="AY45" s="245"/>
      <c r="AZ45" s="241"/>
    </row>
    <row r="46" spans="1:52" ht="18" customHeight="1" x14ac:dyDescent="0.3">
      <c r="A46" s="240"/>
      <c r="B46" s="274"/>
      <c r="C46" s="274"/>
      <c r="D46" s="274"/>
      <c r="E46" s="274"/>
      <c r="F46" s="274"/>
      <c r="G46" s="274"/>
      <c r="H46" s="274"/>
      <c r="I46" s="274"/>
      <c r="J46" s="274"/>
      <c r="K46" s="274"/>
      <c r="L46" s="274"/>
      <c r="M46" s="274"/>
      <c r="N46" s="274"/>
      <c r="O46" s="274"/>
      <c r="P46" s="274"/>
      <c r="Q46" s="274"/>
      <c r="R46" s="274"/>
      <c r="S46" s="273"/>
      <c r="T46" s="248">
        <v>1</v>
      </c>
      <c r="U46" s="51" t="str">
        <f>CONCATENATE("BAN-",Y46,"-",MOD(YEAR(V46),100)*10000+MONTH(V46)*100+DAY(V46),"-",T46)</f>
        <v>BAN--100-1</v>
      </c>
      <c r="V46" s="408"/>
      <c r="W46" s="408"/>
      <c r="X46" s="408"/>
      <c r="Y46" s="244"/>
      <c r="Z46" s="244"/>
      <c r="AA46" s="244"/>
      <c r="AB46" s="48" cm="1">
        <f t="array" ref="AB46">IFERROR(SUM(_xlfn._xlws.FILTER(Table_Main[Giá trị bán trước VAT],
(Table_Main[Đơn bán]=U46),
)),0)</f>
        <v>0</v>
      </c>
      <c r="AC46" s="48" cm="1">
        <f t="array" ref="AC46">IFERROR(SUM(_xlfn._xlws.FILTER(Table_Main[VAT],
(Table_Main[Đơn bán]=U46),
)),0)</f>
        <v>0</v>
      </c>
      <c r="AD46" s="48" cm="1">
        <f t="array" ref="AD46" xml:space="preserve">
IF(ISBLANK(KHThanThiet_HieuLuc),
MAX(0,
IFERROR(
SUM(_xlfn._xlws.FILTER(Table_DonBan[Điểm tích lũy],
(Table_DonBan[Ngày lập]&lt;=V46)*
(Table_DonBan[Mã Khách]=Y46)
)),0)
-IFERROR(
SUM(_xlfn._xlws.FILTER(Table_DonBan[Điểm sử dụng],
(Table_DonBan[Mã Khách]= Y46)
)),0)),
MAX(0,
IFERROR(
SUM(_xlfn._xlws.FILTER(Table_DonBan[Điểm tích lũy],
(Table_DonBan[Ngày lập]&lt;= V46)*
(Table_DonBan[Ngày lập]&gt;= V46-KHThanThiet_HieuLuc)*
(Table_DonBan[Mã Khách]=Y46 )
)),0)
-IFERROR(
SUM(_xlfn._xlws.FILTER(Table_DonBan[Điểm sử dụng],
(Table_DonBan[Ngày lập]&gt;= V46-KHThanThiet_HieuLuc)*
(Table_DonBan[Mã Khách]=Y46 )
)),0)
))</f>
        <v>0</v>
      </c>
      <c r="AE46" s="405"/>
      <c r="AF46" s="256"/>
      <c r="AG46" s="64">
        <f xml:space="preserve">
IFERROR(
IF(
ISBLANK(
VLOOKUP(
AF46,
Table_ChuongTrinh[],
COUNTA(Table_ChuongTrinh[[#Headers],[Mã Chương trình]:[Tỷ lệ CK]]),
0)
),
0,
VLOOKUP(
AF46,
Table_ChuongTrinh[],
COUNTA(Table_ChuongTrinh[[#Headers],[Mã Chương trình]:[Tỷ lệ CK]]),
0)
),
0)</f>
        <v>0</v>
      </c>
      <c r="AH46" s="226" t="e">
        <f>(AB46/ABS(AB46))
*IFERROR(
IF(
ISBLANK(
VLOOKUP(
AF46,
Table_ChuongTrinh[],
COUNTA(Table_ChuongTrinh[[#Headers],[Mã Chương trình]:[Tỷ lệ CK]]),
0)
),
VLOOKUP(
AF46,
Table_ChuongTrinh[],
COUNTA(Table_ChuongTrinh[[#Headers],[Mã Chương trình]:[Giá trị CK]]),
0),
VLOOKUP(
AF46,
Table_ChuongTrinh[],
COUNTA(Table_ChuongTrinh[[#Headers],[Mã Chương trình]:[Tỷ lệ CK]]),
0)*ABS(AB46)
),
0)+AE46</f>
        <v>#DIV/0!</v>
      </c>
      <c r="AI46" s="405">
        <f>IFERROR(AC46-AC46*AH46/AB46,0)</f>
        <v>0</v>
      </c>
      <c r="AJ46" s="48" t="e">
        <f>AL46-AI46</f>
        <v>#DIV/0!</v>
      </c>
      <c r="AK46" s="48" t="e">
        <f>AJ46</f>
        <v>#DIV/0!</v>
      </c>
      <c r="AL46" s="120" t="e">
        <f>+AB46+AI46-AH46</f>
        <v>#DIV/0!</v>
      </c>
      <c r="AM46" s="120" cm="1">
        <f t="array" ref="AM46" xml:space="preserve">
IF(ISBLANK(KHThanThiet_SoNgay),
IFERROR(
SUM(_xlfn._xlws.FILTER(Table_DonBan[Doanh thu ròng],
(Table_DonBan[Mã Khách] =Y46)*
(Table_DonBan[Ngày lập]&lt;=V46)
)),0),
IFERROR(
SUM(_xlfn._xlws.FILTER(Table_DonBan[Doanh thu ròng],
(Table_DonBan[Mã Khách] = Y46)*
(Table_DonBan[Ngày lập] &gt;= (V46 - KHThanThiet_SoNgay))*
(Table_DonBan[Ngày lập]&lt;=V46)
)),0))</f>
        <v>0</v>
      </c>
      <c r="AN46" s="120" cm="1">
        <f t="array" ref="AN46">+IFERROR(
MAX(_xlfn._xlws.FILTER(Table_KHThanThiet_ChinhSach[Tỷ lệ điểm thưởng],
(Table_KHThanThiet_ChinhSach[Doanh thu tối thiểu]&lt;=AM46)
)),0)</f>
        <v>0</v>
      </c>
      <c r="AO46" s="120" t="e">
        <f>AN46*AJ46</f>
        <v>#DIV/0!</v>
      </c>
      <c r="AP46" s="244" cm="1">
        <f t="array" ref="AP46">COUNTA(_xlfn._xlws.FILTER(Table_DonBan[Mã Khách],
(Table_DonBan[Mã Khách]=Y46)*
(Table_DonBan[Ngày lập]&lt;=V46)
))</f>
        <v>1</v>
      </c>
      <c r="AQ46" s="245"/>
      <c r="AR46" s="376">
        <f>AS46*AT46*AU46*AV46*AW46*AX46</f>
        <v>1</v>
      </c>
      <c r="AS46" s="243">
        <f xml:space="preserve">
IF(ISBLANK($AF$46 ),1,
IF(VLOOKUP($AF$46,Table_ChuongTrinh[[Mã Chương trình]:[Đối tượng CK]],Sheet_ChuongTrinh!$C$1,0) = "Đơn hàng",1,0))</f>
        <v>1</v>
      </c>
      <c r="AT46" s="243">
        <f>IF(ISBLANK( $AF$46),
1,
IF(ISBLANK(VLOOKUP( $AF$46,Table_ChuongTrinh[],Sheet_ChuongTrinh!$E$1,0)),
1,
IF( $V$46&gt;= VLOOKUP( $AF$46,Table_ChuongTrinh[],Sheet_ChuongTrinh!$E$1,0),1,
0)))
*IF(ISBLANK( $AF$46),
1,
IF(ISBLANK(VLOOKUP( $AF$46,Table_ChuongTrinh[],Sheet_ChuongTrinh!$F$1,0)),
1,
IF($V$46 &lt; VLOOKUP( $AF$46,Table_ChuongTrinh[],Sheet_ChuongTrinh!$F$1,0),
1,
0)))</f>
        <v>1</v>
      </c>
      <c r="AU46" s="243">
        <f>IF(ISBLANK( $AF$46),
1,
IF(ISBLANK(VLOOKUP($AF$46,Table_ChuongTrinh[],Sheet_ChuongTrinh!$J$1,0)),
1,
IF(AB46 &gt;= VLOOKUP($AF$46,Table_ChuongTrinh[],Sheet_ChuongTrinh!$J$1,0),
1,
0)))</f>
        <v>1</v>
      </c>
      <c r="AV46" s="243">
        <f>IF(ISBLANK( $AF$46),
1,
IF(ISBLANK(VLOOKUP($AF$46,Table_ChuongTrinh[],Sheet_ChuongTrinh!$I$1,0)),
1,
IF(COUNTIF(Table_DonBan[Chương trình],$AF$46 )+1
&lt;= VLOOKUP($AF$46,Table_ChuongTrinh[],Sheet_ChuongTrinh!$I$1,0),
1,
0)))</f>
        <v>1</v>
      </c>
      <c r="AW46" s="243">
        <f>IF(ISBLANK( $AF$46), 1,
IF(ISBLANK(VLOOKUP($AF$46,Table_ChuongTrinh[],COUNTA(Table_ChuongTrinh[[#Headers],[Mã Chương trình]:[Sinh nhật]]),0)), 1,
IF(VLOOKUP($AF$46,Table_ChuongTrinh[],COUNTA(Table_ChuongTrinh[[#Headers],[Mã Chương trình]:[Sinh nhật]]),0) = "Ngày sinh",
IF( AND(
DAY(VLOOKUP($Y$46, Table_KhachHang[], COUNTA(Table_KhachHang[[#Headers],[Mã KH]:[Ngày sinh]]),0)) = DAY($V$46 ),
MONTH(VLOOKUP($Y$46, Table_KhachHang[], COUNTA(Table_KhachHang[[#Headers],[Mã KH]:[Ngày sinh]]),0)) = MONTH($V$46 )
),1,0),
IF(MONTH(VLOOKUP($Y$46, Table_KhachHang[], COUNTA(Table_KhachHang[[#Headers],[Mã KH]:[Ngày sinh]]),0)) = MONTH($V$46 ),1,0)
)))</f>
        <v>1</v>
      </c>
      <c r="AX46" s="243" cm="1">
        <f t="array" ref="AX46">IF(ISBLANK($AF$46 ), 1,
IF(ISBLANK(VLOOKUP($AF$46,Table_ChuongTrinh[],COUNTA(Table_ChuongTrinh[[#Headers],[Mã Chương trình]:[Ngày mua cuối]]),0)), 1,
IF(VLOOKUP($AF$46,Table_ChuongTrinh[],COUNTA(Table_ChuongTrinh[[#Headers],[Mã Chương trình]:[Ngày mua cuối]]),0)&lt;=
IFERROR($V$46  -
MAX(_xlfn._xlws.FILTER(Table_DonBan[Ngày lập],
(Table_DonBan[Mã Khách] = $Y$46 )*
(Table_DonBan[Ngày lập] &lt;= $V$46 )
)),0),1,0)))</f>
        <v>1</v>
      </c>
      <c r="AY46" s="245"/>
      <c r="AZ46" s="241"/>
    </row>
    <row r="47" spans="1:52" ht="18" customHeight="1" x14ac:dyDescent="0.3">
      <c r="A47" s="240"/>
      <c r="B47" s="274"/>
      <c r="C47" s="274"/>
      <c r="D47" s="274"/>
      <c r="E47" s="274"/>
      <c r="F47" s="274"/>
      <c r="G47" s="274"/>
      <c r="H47" s="274"/>
      <c r="I47" s="274"/>
      <c r="J47" s="274"/>
      <c r="K47" s="274"/>
      <c r="L47" s="274"/>
      <c r="M47" s="274"/>
      <c r="N47" s="274"/>
      <c r="O47" s="274"/>
      <c r="P47" s="274"/>
      <c r="Q47" s="274"/>
      <c r="R47" s="274"/>
      <c r="S47" s="273"/>
      <c r="T47" s="46" t="s">
        <v>60</v>
      </c>
      <c r="U47" s="46" t="s">
        <v>27</v>
      </c>
      <c r="V47" s="46" t="s">
        <v>695</v>
      </c>
      <c r="W47" s="46" t="s">
        <v>640</v>
      </c>
      <c r="X47" s="46" t="s">
        <v>641</v>
      </c>
      <c r="Y47" s="46" t="s">
        <v>734</v>
      </c>
      <c r="Z47" s="46" t="s">
        <v>35</v>
      </c>
      <c r="AA47" s="46" t="s">
        <v>38</v>
      </c>
      <c r="AB47" s="46" t="s">
        <v>714</v>
      </c>
      <c r="AC47" s="90" t="s">
        <v>715</v>
      </c>
      <c r="AD47" s="90" t="s">
        <v>915</v>
      </c>
      <c r="AE47" s="90" t="s">
        <v>916</v>
      </c>
      <c r="AF47" s="46" t="s">
        <v>236</v>
      </c>
      <c r="AG47" s="46" t="s">
        <v>685</v>
      </c>
      <c r="AH47" s="46" t="s">
        <v>686</v>
      </c>
      <c r="AI47" s="46" t="s">
        <v>731</v>
      </c>
      <c r="AJ47" s="46" t="s">
        <v>888</v>
      </c>
      <c r="AK47" s="46" t="s">
        <v>889</v>
      </c>
      <c r="AL47" s="46" t="s">
        <v>18</v>
      </c>
      <c r="AM47" s="7" t="s">
        <v>917</v>
      </c>
      <c r="AN47" s="7" t="s">
        <v>1018</v>
      </c>
      <c r="AO47" s="484" t="s">
        <v>1019</v>
      </c>
      <c r="AP47" s="46" t="s">
        <v>28</v>
      </c>
      <c r="AQ47" s="7" t="s">
        <v>873</v>
      </c>
      <c r="AR47" s="7" t="s">
        <v>724</v>
      </c>
      <c r="AS47" s="7" t="s">
        <v>725</v>
      </c>
      <c r="AT47" s="7" t="s">
        <v>726</v>
      </c>
      <c r="AU47" s="7" t="s">
        <v>727</v>
      </c>
      <c r="AV47" s="7" t="s">
        <v>728</v>
      </c>
      <c r="AW47" s="46" t="s">
        <v>920</v>
      </c>
      <c r="AX47" s="46" t="s">
        <v>921</v>
      </c>
      <c r="AY47" s="7" t="s">
        <v>1243</v>
      </c>
      <c r="AZ47" s="241"/>
    </row>
    <row r="48" spans="1:52" ht="18" customHeight="1" x14ac:dyDescent="0.3">
      <c r="A48" s="240"/>
      <c r="B48" s="274"/>
      <c r="C48" s="274"/>
      <c r="D48" s="274"/>
      <c r="E48" s="274"/>
      <c r="F48" s="274"/>
      <c r="G48" s="274"/>
      <c r="H48" s="274"/>
      <c r="I48" s="274"/>
      <c r="J48" s="274"/>
      <c r="K48" s="274"/>
      <c r="L48" s="274"/>
      <c r="M48" s="274"/>
      <c r="N48" s="274"/>
      <c r="O48" s="274"/>
      <c r="P48" s="274"/>
      <c r="Q48" s="274"/>
      <c r="R48" s="274"/>
      <c r="S48" s="273"/>
      <c r="T48" s="248"/>
      <c r="U48" s="51" t="str">
        <f>CONCATENATE("BAN-",Table_DonBan[[#This Row],[Mã Khách]],"-",MOD(YEAR(Table_DonBan[[#This Row],[Ngày lập]]),100)*10000+MONTH(Table_DonBan[[#This Row],[Ngày lập]])*100+DAY(Table_DonBan[[#This Row],[Ngày lập]]),"-",Table_DonBan[[#This Row],[TT]])</f>
        <v>BAN-KH3-250531-</v>
      </c>
      <c r="V48" s="411">
        <v>45808</v>
      </c>
      <c r="W48" s="411"/>
      <c r="X48" s="411"/>
      <c r="Y48" s="249" t="s">
        <v>1197</v>
      </c>
      <c r="Z48" s="244"/>
      <c r="AA48" s="244"/>
      <c r="AB48" s="17">
        <f>IFERROR(SUM(_xlfn._xlws.FILTER(Table_Main[Giá trị bán trước VAT],
(Table_Main[Đơn bán]=Table_DonBan[[#This Row],[Mã Đơn bán]]),
)),0)</f>
        <v>5700000</v>
      </c>
      <c r="AC48" s="17">
        <f>IFERROR(SUM(_xlfn._xlws.FILTER(Table_Main[VAT],
(Table_Main[Đơn bán]=Table_DonBan[[#This Row],[Mã Đơn bán]]),
)),0)</f>
        <v>0</v>
      </c>
      <c r="AD48" s="17" cm="1">
        <f t="array" ref="AD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E48" s="418"/>
      <c r="AF48" s="246"/>
      <c r="AG4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48" s="48">
        <f>(AB48/ABS(AB48))
*IFERROR(
IF(
ISBLANK(
VLOOKUP(
AF48,
Table_ChuongTrinh[],
COUNTA(Table_ChuongTrinh[[#Headers],[Mã Chương trình]:[Tỷ lệ CK]]),
0)
),
VLOOKUP(
AF48,
Table_ChuongTrinh[],
COUNTA(Table_ChuongTrinh[[#Headers],[Mã Chương trình]:[Giá trị CK]]),
0),
VLOOKUP(
AF48,
Table_ChuongTrinh[],
COUNTA(Table_ChuongTrinh[[#Headers],[Mã Chương trình]:[Tỷ lệ CK]]),
0)*ABS(AB48)
),
0)+AE48</f>
        <v>0</v>
      </c>
      <c r="AI48" s="17">
        <f>IFERROR(Table_DonBan[[#This Row],[VAT hàng]]-Table_DonBan[[#This Row],[VAT hàng]]*Table_DonBan[[#This Row],[Giá trị CK]]/Table_DonBan[[#This Row],[Tiền hàng]],0)</f>
        <v>0</v>
      </c>
      <c r="AJ48" s="17">
        <f>+Table_DonBan[[#This Row],[Tiền hàng]]-Table_DonBan[[#This Row],[Giá trị CK]]</f>
        <v>5700000</v>
      </c>
      <c r="AK48" s="17">
        <f>Table_DonBan[[#This Row],[Doanh thu ròng]]</f>
        <v>5700000</v>
      </c>
      <c r="AL48" s="17">
        <f>Table_DonBan[[#This Row],[Tiền hàng]]+Table_DonBan[[#This Row],[Tổng VAT]]-Table_DonBan[[#This Row],[Giá trị CK]]</f>
        <v>5700000</v>
      </c>
      <c r="AM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N48" s="536">
        <f>+IFERROR(
MAX(_xlfn._xlws.FILTER(Table_KHThanThiet_ChinhSach[Tỷ lệ điểm thưởng],
(Table_KHThanThiet_ChinhSach[Doanh thu tối thiểu]&lt;=Table_DonBan[[#This Row],[Doanh thu tính điểm]])
)),0)</f>
        <v>0.05</v>
      </c>
      <c r="AO48" s="17">
        <f xml:space="preserve">
Table_DonBan[[#This Row],[Tỷ lệ tính điểm]]*Table_DonBan[[#This Row],[Doanh thu ròng]]</f>
        <v>285000</v>
      </c>
      <c r="AP48" s="246">
        <f>COUNTA(_xlfn._xlws.FILTER(Table_DonBan[Mã Khách],
(Table_DonBan[Mã Khách]=Table_DonBan[[#This Row],[Mã Khách]])*
(Table_DonBan[Ngày lập]&lt;=Table_DonBan[[#This Row],[Ngày lập]])
))</f>
        <v>6</v>
      </c>
      <c r="AQ48" s="244"/>
      <c r="AR48" s="245">
        <f>Table_DonBan[[#This Row],[ĐK - Phân loại]]*Table_DonBan[[#This Row],[ĐK - Thời gian]]*Table_DonBan[[#This Row],[ĐK - Giá trị]]*Table_DonBan[[#This Row],[ĐK - Số lượng]]*Table_DonBan[[#This Row],[ĐK - Sinh nhật]]*Table_DonBan[[#This Row],[ĐK - Ngày mua cuối]]</f>
        <v>1</v>
      </c>
      <c r="AS48" s="245">
        <f xml:space="preserve">
IF(ISBLANK(Table_DonBan[[#This Row],[Chương trình]]),1,
IF(VLOOKUP(Table_DonBan[[#This Row],[Chương trình]],Table_ChuongTrinh[[Mã Chương trình]:[Đối tượng CK]],Sheet_ChuongTrinh!$C$1,0) = "Đơn hàng",1,0))</f>
        <v>1</v>
      </c>
      <c r="AT4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48" s="245">
        <f>IF(ISBLANK(Table_DonBan[[#This Row],[Chương trình]]),
1,
IF(ISBLANK(VLOOKUP(Table_DonBan[[#This Row],[Chương trình]],Table_ChuongTrinh[],Sheet_ChuongTrinh!$J$1,0)),
1,
IF(Table_DonBan[[#This Row],[Tiền hàng]]&gt;= VLOOKUP(Table_DonBan[[#This Row],[Chương trình]],Table_ChuongTrinh[],Sheet_ChuongTrinh!$J$1,0),
1,
0)))</f>
        <v>1</v>
      </c>
      <c r="AV4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4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4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4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Z48" s="241"/>
    </row>
    <row r="49" spans="20:51" ht="18" customHeight="1" x14ac:dyDescent="0.3">
      <c r="T49" s="248"/>
      <c r="U49" s="51" t="str">
        <f>CONCATENATE("BAN-",Table_DonBan[[#This Row],[Mã Khách]],"-",MOD(YEAR(Table_DonBan[[#This Row],[Ngày lập]]),100)*10000+MONTH(Table_DonBan[[#This Row],[Ngày lập]])*100+DAY(Table_DonBan[[#This Row],[Ngày lập]]),"-",Table_DonBan[[#This Row],[TT]])</f>
        <v>BAN-KH1-250519-</v>
      </c>
      <c r="V49" s="411">
        <v>45796</v>
      </c>
      <c r="W49" s="411"/>
      <c r="X49" s="411"/>
      <c r="Y49" s="249" t="s">
        <v>1195</v>
      </c>
      <c r="Z49" s="244"/>
      <c r="AA49" s="244"/>
      <c r="AB49" s="17">
        <f>IFERROR(SUM(_xlfn._xlws.FILTER(Table_Main[Giá trị bán trước VAT],
(Table_Main[Đơn bán]=Table_DonBan[[#This Row],[Mã Đơn bán]]),
)),0)</f>
        <v>10200000</v>
      </c>
      <c r="AC49" s="17">
        <f>IFERROR(SUM(_xlfn._xlws.FILTER(Table_Main[VAT],
(Table_Main[Đơn bán]=Table_DonBan[[#This Row],[Mã Đơn bán]]),
)),0)</f>
        <v>0</v>
      </c>
      <c r="AD49" s="17" cm="1">
        <f t="array" ref="AD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E49" s="418"/>
      <c r="AF49" s="246"/>
      <c r="AG4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49" s="48">
        <f>(AB49/ABS(AB49))
*IFERROR(
IF(
ISBLANK(
VLOOKUP(
AF49,
Table_ChuongTrinh[],
COUNTA(Table_ChuongTrinh[[#Headers],[Mã Chương trình]:[Tỷ lệ CK]]),
0)
),
VLOOKUP(
AF49,
Table_ChuongTrinh[],
COUNTA(Table_ChuongTrinh[[#Headers],[Mã Chương trình]:[Giá trị CK]]),
0),
VLOOKUP(
AF49,
Table_ChuongTrinh[],
COUNTA(Table_ChuongTrinh[[#Headers],[Mã Chương trình]:[Tỷ lệ CK]]),
0)*ABS(AB49)
),
0)+AE49</f>
        <v>0</v>
      </c>
      <c r="AI49" s="17">
        <f>IFERROR(Table_DonBan[[#This Row],[VAT hàng]]-Table_DonBan[[#This Row],[VAT hàng]]*Table_DonBan[[#This Row],[Giá trị CK]]/Table_DonBan[[#This Row],[Tiền hàng]],0)</f>
        <v>0</v>
      </c>
      <c r="AJ49" s="17">
        <f>+Table_DonBan[[#This Row],[Tiền hàng]]-Table_DonBan[[#This Row],[Giá trị CK]]</f>
        <v>10200000</v>
      </c>
      <c r="AK49" s="17">
        <f>Table_DonBan[[#This Row],[Doanh thu ròng]]</f>
        <v>10200000</v>
      </c>
      <c r="AL49" s="17">
        <f>Table_DonBan[[#This Row],[Tiền hàng]]+Table_DonBan[[#This Row],[Tổng VAT]]-Table_DonBan[[#This Row],[Giá trị CK]]</f>
        <v>10200000</v>
      </c>
      <c r="AM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N49" s="536">
        <f>+IFERROR(
MAX(_xlfn._xlws.FILTER(Table_KHThanThiet_ChinhSach[Tỷ lệ điểm thưởng],
(Table_KHThanThiet_ChinhSach[Doanh thu tối thiểu]&lt;=Table_DonBan[[#This Row],[Doanh thu tính điểm]])
)),0)</f>
        <v>0.05</v>
      </c>
      <c r="AO49" s="17">
        <f xml:space="preserve">
Table_DonBan[[#This Row],[Tỷ lệ tính điểm]]*Table_DonBan[[#This Row],[Doanh thu ròng]]</f>
        <v>510000</v>
      </c>
      <c r="AP49" s="246">
        <f>COUNTA(_xlfn._xlws.FILTER(Table_DonBan[Mã Khách],
(Table_DonBan[Mã Khách]=Table_DonBan[[#This Row],[Mã Khách]])*
(Table_DonBan[Ngày lập]&lt;=Table_DonBan[[#This Row],[Ngày lập]])
))</f>
        <v>8</v>
      </c>
      <c r="AQ49" s="244"/>
      <c r="AR49" s="245">
        <f>Table_DonBan[[#This Row],[ĐK - Phân loại]]*Table_DonBan[[#This Row],[ĐK - Thời gian]]*Table_DonBan[[#This Row],[ĐK - Giá trị]]*Table_DonBan[[#This Row],[ĐK - Số lượng]]*Table_DonBan[[#This Row],[ĐK - Sinh nhật]]*Table_DonBan[[#This Row],[ĐK - Ngày mua cuối]]</f>
        <v>1</v>
      </c>
      <c r="AS49" s="245">
        <f xml:space="preserve">
IF(ISBLANK(Table_DonBan[[#This Row],[Chương trình]]),1,
IF(VLOOKUP(Table_DonBan[[#This Row],[Chương trình]],Table_ChuongTrinh[[Mã Chương trình]:[Đối tượng CK]],Sheet_ChuongTrinh!$C$1,0) = "Đơn hàng",1,0))</f>
        <v>1</v>
      </c>
      <c r="AT4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49" s="245">
        <f>IF(ISBLANK(Table_DonBan[[#This Row],[Chương trình]]),
1,
IF(ISBLANK(VLOOKUP(Table_DonBan[[#This Row],[Chương trình]],Table_ChuongTrinh[],Sheet_ChuongTrinh!$J$1,0)),
1,
IF(Table_DonBan[[#This Row],[Tiền hàng]]&gt;= VLOOKUP(Table_DonBan[[#This Row],[Chương trình]],Table_ChuongTrinh[],Sheet_ChuongTrinh!$J$1,0),
1,
0)))</f>
        <v>1</v>
      </c>
      <c r="AV4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4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4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4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51" ht="18" customHeight="1" x14ac:dyDescent="0.3">
      <c r="T50" s="248"/>
      <c r="U50" s="51" t="str">
        <f>CONCATENATE("BAN-",Table_DonBan[[#This Row],[Mã Khách]],"-",MOD(YEAR(Table_DonBan[[#This Row],[Ngày lập]]),100)*10000+MONTH(Table_DonBan[[#This Row],[Ngày lập]])*100+DAY(Table_DonBan[[#This Row],[Ngày lập]]),"-",Table_DonBan[[#This Row],[TT]])</f>
        <v>BAN-KH1-250516-</v>
      </c>
      <c r="V50" s="411">
        <v>45793</v>
      </c>
      <c r="W50" s="411"/>
      <c r="X50" s="411"/>
      <c r="Y50" s="249" t="s">
        <v>1195</v>
      </c>
      <c r="Z50" s="244"/>
      <c r="AA50" s="244"/>
      <c r="AB50" s="17">
        <f>IFERROR(SUM(_xlfn._xlws.FILTER(Table_Main[Giá trị bán trước VAT],
(Table_Main[Đơn bán]=Table_DonBan[[#This Row],[Mã Đơn bán]]),
)),0)</f>
        <v>2200000</v>
      </c>
      <c r="AC50" s="17">
        <f>IFERROR(SUM(_xlfn._xlws.FILTER(Table_Main[VAT],
(Table_Main[Đơn bán]=Table_DonBan[[#This Row],[Mã Đơn bán]]),
)),0)</f>
        <v>0</v>
      </c>
      <c r="AD50" s="17" cm="1">
        <f t="array" ref="AD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E50" s="418"/>
      <c r="AF50" s="246"/>
      <c r="AG5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0" s="48">
        <f>(AB50/ABS(AB50))
*IFERROR(
IF(
ISBLANK(
VLOOKUP(
AF50,
Table_ChuongTrinh[],
COUNTA(Table_ChuongTrinh[[#Headers],[Mã Chương trình]:[Tỷ lệ CK]]),
0)
),
VLOOKUP(
AF50,
Table_ChuongTrinh[],
COUNTA(Table_ChuongTrinh[[#Headers],[Mã Chương trình]:[Giá trị CK]]),
0),
VLOOKUP(
AF50,
Table_ChuongTrinh[],
COUNTA(Table_ChuongTrinh[[#Headers],[Mã Chương trình]:[Tỷ lệ CK]]),
0)*ABS(AB50)
),
0)+AE50</f>
        <v>0</v>
      </c>
      <c r="AI50" s="17">
        <f>IFERROR(Table_DonBan[[#This Row],[VAT hàng]]-Table_DonBan[[#This Row],[VAT hàng]]*Table_DonBan[[#This Row],[Giá trị CK]]/Table_DonBan[[#This Row],[Tiền hàng]],0)</f>
        <v>0</v>
      </c>
      <c r="AJ50" s="17">
        <f>+Table_DonBan[[#This Row],[Tiền hàng]]-Table_DonBan[[#This Row],[Giá trị CK]]</f>
        <v>2200000</v>
      </c>
      <c r="AK50" s="17">
        <f>Table_DonBan[[#This Row],[Doanh thu ròng]]</f>
        <v>2200000</v>
      </c>
      <c r="AL50" s="17">
        <f>Table_DonBan[[#This Row],[Tiền hàng]]+Table_DonBan[[#This Row],[Tổng VAT]]-Table_DonBan[[#This Row],[Giá trị CK]]</f>
        <v>2200000</v>
      </c>
      <c r="AM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N50" s="536">
        <f>+IFERROR(
MAX(_xlfn._xlws.FILTER(Table_KHThanThiet_ChinhSach[Tỷ lệ điểm thưởng],
(Table_KHThanThiet_ChinhSach[Doanh thu tối thiểu]&lt;=Table_DonBan[[#This Row],[Doanh thu tính điểm]])
)),0)</f>
        <v>0.05</v>
      </c>
      <c r="AO50" s="17">
        <f xml:space="preserve">
Table_DonBan[[#This Row],[Tỷ lệ tính điểm]]*Table_DonBan[[#This Row],[Doanh thu ròng]]</f>
        <v>110000</v>
      </c>
      <c r="AP50" s="246">
        <f>COUNTA(_xlfn._xlws.FILTER(Table_DonBan[Mã Khách],
(Table_DonBan[Mã Khách]=Table_DonBan[[#This Row],[Mã Khách]])*
(Table_DonBan[Ngày lập]&lt;=Table_DonBan[[#This Row],[Ngày lập]])
))</f>
        <v>7</v>
      </c>
      <c r="AQ50" s="244"/>
      <c r="AR50" s="245">
        <f>Table_DonBan[[#This Row],[ĐK - Phân loại]]*Table_DonBan[[#This Row],[ĐK - Thời gian]]*Table_DonBan[[#This Row],[ĐK - Giá trị]]*Table_DonBan[[#This Row],[ĐK - Số lượng]]*Table_DonBan[[#This Row],[ĐK - Sinh nhật]]*Table_DonBan[[#This Row],[ĐK - Ngày mua cuối]]</f>
        <v>1</v>
      </c>
      <c r="AS50" s="245">
        <f xml:space="preserve">
IF(ISBLANK(Table_DonBan[[#This Row],[Chương trình]]),1,
IF(VLOOKUP(Table_DonBan[[#This Row],[Chương trình]],Table_ChuongTrinh[[Mã Chương trình]:[Đối tượng CK]],Sheet_ChuongTrinh!$C$1,0) = "Đơn hàng",1,0))</f>
        <v>1</v>
      </c>
      <c r="AT5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0" s="245">
        <f>IF(ISBLANK(Table_DonBan[[#This Row],[Chương trình]]),
1,
IF(ISBLANK(VLOOKUP(Table_DonBan[[#This Row],[Chương trình]],Table_ChuongTrinh[],Sheet_ChuongTrinh!$J$1,0)),
1,
IF(Table_DonBan[[#This Row],[Tiền hàng]]&gt;= VLOOKUP(Table_DonBan[[#This Row],[Chương trình]],Table_ChuongTrinh[],Sheet_ChuongTrinh!$J$1,0),
1,
0)))</f>
        <v>1</v>
      </c>
      <c r="AV5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51" ht="18" customHeight="1" x14ac:dyDescent="0.3">
      <c r="T51" s="248"/>
      <c r="U51" s="51" t="str">
        <f>CONCATENATE("BAN-",Table_DonBan[[#This Row],[Mã Khách]],"-",MOD(YEAR(Table_DonBan[[#This Row],[Ngày lập]]),100)*10000+MONTH(Table_DonBan[[#This Row],[Ngày lập]])*100+DAY(Table_DonBan[[#This Row],[Ngày lập]]),"-",Table_DonBan[[#This Row],[TT]])</f>
        <v>BAN-KH2-250515-</v>
      </c>
      <c r="V51" s="411">
        <v>45792</v>
      </c>
      <c r="W51" s="411"/>
      <c r="X51" s="411"/>
      <c r="Y51" s="249" t="s">
        <v>1196</v>
      </c>
      <c r="Z51" s="244"/>
      <c r="AA51" s="244"/>
      <c r="AB51" s="17">
        <f>IFERROR(SUM(_xlfn._xlws.FILTER(Table_Main[Giá trị bán trước VAT],
(Table_Main[Đơn bán]=Table_DonBan[[#This Row],[Mã Đơn bán]]),
)),0)</f>
        <v>200000</v>
      </c>
      <c r="AC51" s="17">
        <f>IFERROR(SUM(_xlfn._xlws.FILTER(Table_Main[VAT],
(Table_Main[Đơn bán]=Table_DonBan[[#This Row],[Mã Đơn bán]]),
)),0)</f>
        <v>0</v>
      </c>
      <c r="AD51" s="17" cm="1">
        <f t="array" ref="AD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E51" s="418"/>
      <c r="AF51" s="246"/>
      <c r="AG5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1" s="48">
        <f>(AB51/ABS(AB51))
*IFERROR(
IF(
ISBLANK(
VLOOKUP(
AF51,
Table_ChuongTrinh[],
COUNTA(Table_ChuongTrinh[[#Headers],[Mã Chương trình]:[Tỷ lệ CK]]),
0)
),
VLOOKUP(
AF51,
Table_ChuongTrinh[],
COUNTA(Table_ChuongTrinh[[#Headers],[Mã Chương trình]:[Giá trị CK]]),
0),
VLOOKUP(
AF51,
Table_ChuongTrinh[],
COUNTA(Table_ChuongTrinh[[#Headers],[Mã Chương trình]:[Tỷ lệ CK]]),
0)*ABS(AB51)
),
0)+AE51</f>
        <v>0</v>
      </c>
      <c r="AI51" s="17">
        <f>IFERROR(Table_DonBan[[#This Row],[VAT hàng]]-Table_DonBan[[#This Row],[VAT hàng]]*Table_DonBan[[#This Row],[Giá trị CK]]/Table_DonBan[[#This Row],[Tiền hàng]],0)</f>
        <v>0</v>
      </c>
      <c r="AJ51" s="17">
        <f>+Table_DonBan[[#This Row],[Tiền hàng]]-Table_DonBan[[#This Row],[Giá trị CK]]</f>
        <v>200000</v>
      </c>
      <c r="AK51" s="17">
        <f>Table_DonBan[[#This Row],[Doanh thu ròng]]</f>
        <v>200000</v>
      </c>
      <c r="AL51" s="17">
        <f>Table_DonBan[[#This Row],[Tiền hàng]]+Table_DonBan[[#This Row],[Tổng VAT]]-Table_DonBan[[#This Row],[Giá trị CK]]</f>
        <v>200000</v>
      </c>
      <c r="AM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N51" s="536">
        <f>+IFERROR(
MAX(_xlfn._xlws.FILTER(Table_KHThanThiet_ChinhSach[Tỷ lệ điểm thưởng],
(Table_KHThanThiet_ChinhSach[Doanh thu tối thiểu]&lt;=Table_DonBan[[#This Row],[Doanh thu tính điểm]])
)),0)</f>
        <v>7.0000000000000007E-2</v>
      </c>
      <c r="AO51" s="17">
        <f xml:space="preserve">
Table_DonBan[[#This Row],[Tỷ lệ tính điểm]]*Table_DonBan[[#This Row],[Doanh thu ròng]]</f>
        <v>14000.000000000002</v>
      </c>
      <c r="AP51" s="246">
        <f>COUNTA(_xlfn._xlws.FILTER(Table_DonBan[Mã Khách],
(Table_DonBan[Mã Khách]=Table_DonBan[[#This Row],[Mã Khách]])*
(Table_DonBan[Ngày lập]&lt;=Table_DonBan[[#This Row],[Ngày lập]])
))</f>
        <v>10</v>
      </c>
      <c r="AQ51" s="244"/>
      <c r="AR51" s="245">
        <f>Table_DonBan[[#This Row],[ĐK - Phân loại]]*Table_DonBan[[#This Row],[ĐK - Thời gian]]*Table_DonBan[[#This Row],[ĐK - Giá trị]]*Table_DonBan[[#This Row],[ĐK - Số lượng]]*Table_DonBan[[#This Row],[ĐK - Sinh nhật]]*Table_DonBan[[#This Row],[ĐK - Ngày mua cuối]]</f>
        <v>1</v>
      </c>
      <c r="AS51" s="245">
        <f xml:space="preserve">
IF(ISBLANK(Table_DonBan[[#This Row],[Chương trình]]),1,
IF(VLOOKUP(Table_DonBan[[#This Row],[Chương trình]],Table_ChuongTrinh[[Mã Chương trình]:[Đối tượng CK]],Sheet_ChuongTrinh!$C$1,0) = "Đơn hàng",1,0))</f>
        <v>1</v>
      </c>
      <c r="AT5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1" s="245">
        <f>IF(ISBLANK(Table_DonBan[[#This Row],[Chương trình]]),
1,
IF(ISBLANK(VLOOKUP(Table_DonBan[[#This Row],[Chương trình]],Table_ChuongTrinh[],Sheet_ChuongTrinh!$J$1,0)),
1,
IF(Table_DonBan[[#This Row],[Tiền hàng]]&gt;= VLOOKUP(Table_DonBan[[#This Row],[Chương trình]],Table_ChuongTrinh[],Sheet_ChuongTrinh!$J$1,0),
1,
0)))</f>
        <v>1</v>
      </c>
      <c r="AV5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51" ht="18" customHeight="1" x14ac:dyDescent="0.3">
      <c r="T52" s="248"/>
      <c r="U52" s="51" t="str">
        <f>CONCATENATE("BAN-",Table_DonBan[[#This Row],[Mã Khách]],"-",MOD(YEAR(Table_DonBan[[#This Row],[Ngày lập]]),100)*10000+MONTH(Table_DonBan[[#This Row],[Ngày lập]])*100+DAY(Table_DonBan[[#This Row],[Ngày lập]]),"-",Table_DonBan[[#This Row],[TT]])</f>
        <v>BAN-KH1-250509-</v>
      </c>
      <c r="V52" s="411">
        <v>45786</v>
      </c>
      <c r="W52" s="411"/>
      <c r="X52" s="411"/>
      <c r="Y52" s="249" t="s">
        <v>1195</v>
      </c>
      <c r="Z52" s="244"/>
      <c r="AA52" s="244"/>
      <c r="AB52" s="17">
        <f>IFERROR(SUM(_xlfn._xlws.FILTER(Table_Main[Giá trị bán trước VAT],
(Table_Main[Đơn bán]=Table_DonBan[[#This Row],[Mã Đơn bán]]),
)),0)</f>
        <v>10600000</v>
      </c>
      <c r="AC52" s="17">
        <f>IFERROR(SUM(_xlfn._xlws.FILTER(Table_Main[VAT],
(Table_Main[Đơn bán]=Table_DonBan[[#This Row],[Mã Đơn bán]]),
)),0)</f>
        <v>0</v>
      </c>
      <c r="AD52" s="17" cm="1">
        <f t="array" ref="AD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E52" s="418"/>
      <c r="AF52" s="246"/>
      <c r="AG52"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2" s="48">
        <f>(AB52/ABS(AB52))
*IFERROR(
IF(
ISBLANK(
VLOOKUP(
AF52,
Table_ChuongTrinh[],
COUNTA(Table_ChuongTrinh[[#Headers],[Mã Chương trình]:[Tỷ lệ CK]]),
0)
),
VLOOKUP(
AF52,
Table_ChuongTrinh[],
COUNTA(Table_ChuongTrinh[[#Headers],[Mã Chương trình]:[Giá trị CK]]),
0),
VLOOKUP(
AF52,
Table_ChuongTrinh[],
COUNTA(Table_ChuongTrinh[[#Headers],[Mã Chương trình]:[Tỷ lệ CK]]),
0)*ABS(AB52)
),
0)+AE52</f>
        <v>0</v>
      </c>
      <c r="AI52" s="17">
        <f>IFERROR(Table_DonBan[[#This Row],[VAT hàng]]-Table_DonBan[[#This Row],[VAT hàng]]*Table_DonBan[[#This Row],[Giá trị CK]]/Table_DonBan[[#This Row],[Tiền hàng]],0)</f>
        <v>0</v>
      </c>
      <c r="AJ52" s="17">
        <f>+Table_DonBan[[#This Row],[Tiền hàng]]-Table_DonBan[[#This Row],[Giá trị CK]]</f>
        <v>10600000</v>
      </c>
      <c r="AK52" s="17">
        <f>Table_DonBan[[#This Row],[Doanh thu ròng]]</f>
        <v>10600000</v>
      </c>
      <c r="AL52" s="17">
        <f>Table_DonBan[[#This Row],[Tiền hàng]]+Table_DonBan[[#This Row],[Tổng VAT]]-Table_DonBan[[#This Row],[Giá trị CK]]</f>
        <v>10600000</v>
      </c>
      <c r="AM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N52" s="536">
        <f>+IFERROR(
MAX(_xlfn._xlws.FILTER(Table_KHThanThiet_ChinhSach[Tỷ lệ điểm thưởng],
(Table_KHThanThiet_ChinhSach[Doanh thu tối thiểu]&lt;=Table_DonBan[[#This Row],[Doanh thu tính điểm]])
)),0)</f>
        <v>0.03</v>
      </c>
      <c r="AO52" s="17">
        <f xml:space="preserve">
Table_DonBan[[#This Row],[Tỷ lệ tính điểm]]*Table_DonBan[[#This Row],[Doanh thu ròng]]</f>
        <v>318000</v>
      </c>
      <c r="AP52" s="246">
        <f>COUNTA(_xlfn._xlws.FILTER(Table_DonBan[Mã Khách],
(Table_DonBan[Mã Khách]=Table_DonBan[[#This Row],[Mã Khách]])*
(Table_DonBan[Ngày lập]&lt;=Table_DonBan[[#This Row],[Ngày lập]])
))</f>
        <v>6</v>
      </c>
      <c r="AQ52" s="244"/>
      <c r="AR52" s="245">
        <f>Table_DonBan[[#This Row],[ĐK - Phân loại]]*Table_DonBan[[#This Row],[ĐK - Thời gian]]*Table_DonBan[[#This Row],[ĐK - Giá trị]]*Table_DonBan[[#This Row],[ĐK - Số lượng]]*Table_DonBan[[#This Row],[ĐK - Sinh nhật]]*Table_DonBan[[#This Row],[ĐK - Ngày mua cuối]]</f>
        <v>1</v>
      </c>
      <c r="AS52" s="245">
        <f xml:space="preserve">
IF(ISBLANK(Table_DonBan[[#This Row],[Chương trình]]),1,
IF(VLOOKUP(Table_DonBan[[#This Row],[Chương trình]],Table_ChuongTrinh[[Mã Chương trình]:[Đối tượng CK]],Sheet_ChuongTrinh!$C$1,0) = "Đơn hàng",1,0))</f>
        <v>1</v>
      </c>
      <c r="AT52"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2" s="245">
        <f>IF(ISBLANK(Table_DonBan[[#This Row],[Chương trình]]),
1,
IF(ISBLANK(VLOOKUP(Table_DonBan[[#This Row],[Chương trình]],Table_ChuongTrinh[],Sheet_ChuongTrinh!$J$1,0)),
1,
IF(Table_DonBan[[#This Row],[Tiền hàng]]&gt;= VLOOKUP(Table_DonBan[[#This Row],[Chương trình]],Table_ChuongTrinh[],Sheet_ChuongTrinh!$J$1,0),
1,
0)))</f>
        <v>1</v>
      </c>
      <c r="AV52"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2"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2"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2"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51" ht="18" customHeight="1" x14ac:dyDescent="0.3">
      <c r="T53" s="248"/>
      <c r="U53" s="51" t="str">
        <f>CONCATENATE("BAN-",Table_DonBan[[#This Row],[Mã Khách]],"-",MOD(YEAR(Table_DonBan[[#This Row],[Ngày lập]]),100)*10000+MONTH(Table_DonBan[[#This Row],[Ngày lập]])*100+DAY(Table_DonBan[[#This Row],[Ngày lập]]),"-",Table_DonBan[[#This Row],[TT]])</f>
        <v>BAN-KH1-250507-</v>
      </c>
      <c r="V53" s="411">
        <v>45784</v>
      </c>
      <c r="W53" s="411"/>
      <c r="X53" s="411"/>
      <c r="Y53" s="249" t="s">
        <v>1195</v>
      </c>
      <c r="Z53" s="244"/>
      <c r="AA53" s="244"/>
      <c r="AB53" s="17">
        <f>IFERROR(SUM(_xlfn._xlws.FILTER(Table_Main[Giá trị bán trước VAT],
(Table_Main[Đơn bán]=Table_DonBan[[#This Row],[Mã Đơn bán]]),
)),0)</f>
        <v>17000000</v>
      </c>
      <c r="AC53" s="17">
        <f>IFERROR(SUM(_xlfn._xlws.FILTER(Table_Main[VAT],
(Table_Main[Đơn bán]=Table_DonBan[[#This Row],[Mã Đơn bán]]),
)),0)</f>
        <v>0</v>
      </c>
      <c r="AD53" s="17" cm="1">
        <f t="array" ref="AD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E53" s="418"/>
      <c r="AF53" s="246"/>
      <c r="AG53"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3" s="48">
        <f>(AB53/ABS(AB53))
*IFERROR(
IF(
ISBLANK(
VLOOKUP(
AF53,
Table_ChuongTrinh[],
COUNTA(Table_ChuongTrinh[[#Headers],[Mã Chương trình]:[Tỷ lệ CK]]),
0)
),
VLOOKUP(
AF53,
Table_ChuongTrinh[],
COUNTA(Table_ChuongTrinh[[#Headers],[Mã Chương trình]:[Giá trị CK]]),
0),
VLOOKUP(
AF53,
Table_ChuongTrinh[],
COUNTA(Table_ChuongTrinh[[#Headers],[Mã Chương trình]:[Tỷ lệ CK]]),
0)*ABS(AB53)
),
0)+AE53</f>
        <v>0</v>
      </c>
      <c r="AI53" s="17">
        <f>IFERROR(Table_DonBan[[#This Row],[VAT hàng]]-Table_DonBan[[#This Row],[VAT hàng]]*Table_DonBan[[#This Row],[Giá trị CK]]/Table_DonBan[[#This Row],[Tiền hàng]],0)</f>
        <v>0</v>
      </c>
      <c r="AJ53" s="17">
        <f>+Table_DonBan[[#This Row],[Tiền hàng]]-Table_DonBan[[#This Row],[Giá trị CK]]</f>
        <v>17000000</v>
      </c>
      <c r="AK53" s="17">
        <f>Table_DonBan[[#This Row],[Doanh thu ròng]]</f>
        <v>17000000</v>
      </c>
      <c r="AL53" s="17">
        <f>Table_DonBan[[#This Row],[Tiền hàng]]+Table_DonBan[[#This Row],[Tổng VAT]]-Table_DonBan[[#This Row],[Giá trị CK]]</f>
        <v>17000000</v>
      </c>
      <c r="AM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N53" s="536">
        <f>+IFERROR(
MAX(_xlfn._xlws.FILTER(Table_KHThanThiet_ChinhSach[Tỷ lệ điểm thưởng],
(Table_KHThanThiet_ChinhSach[Doanh thu tối thiểu]&lt;=Table_DonBan[[#This Row],[Doanh thu tính điểm]])
)),0)</f>
        <v>0.01</v>
      </c>
      <c r="AO53" s="17">
        <f xml:space="preserve">
Table_DonBan[[#This Row],[Tỷ lệ tính điểm]]*Table_DonBan[[#This Row],[Doanh thu ròng]]</f>
        <v>170000</v>
      </c>
      <c r="AP53" s="246">
        <f>COUNTA(_xlfn._xlws.FILTER(Table_DonBan[Mã Khách],
(Table_DonBan[Mã Khách]=Table_DonBan[[#This Row],[Mã Khách]])*
(Table_DonBan[Ngày lập]&lt;=Table_DonBan[[#This Row],[Ngày lập]])
))</f>
        <v>5</v>
      </c>
      <c r="AQ53" s="244"/>
      <c r="AR53" s="245">
        <f>Table_DonBan[[#This Row],[ĐK - Phân loại]]*Table_DonBan[[#This Row],[ĐK - Thời gian]]*Table_DonBan[[#This Row],[ĐK - Giá trị]]*Table_DonBan[[#This Row],[ĐK - Số lượng]]*Table_DonBan[[#This Row],[ĐK - Sinh nhật]]*Table_DonBan[[#This Row],[ĐK - Ngày mua cuối]]</f>
        <v>1</v>
      </c>
      <c r="AS53" s="245">
        <f xml:space="preserve">
IF(ISBLANK(Table_DonBan[[#This Row],[Chương trình]]),1,
IF(VLOOKUP(Table_DonBan[[#This Row],[Chương trình]],Table_ChuongTrinh[[Mã Chương trình]:[Đối tượng CK]],Sheet_ChuongTrinh!$C$1,0) = "Đơn hàng",1,0))</f>
        <v>1</v>
      </c>
      <c r="AT53"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3" s="245">
        <f>IF(ISBLANK(Table_DonBan[[#This Row],[Chương trình]]),
1,
IF(ISBLANK(VLOOKUP(Table_DonBan[[#This Row],[Chương trình]],Table_ChuongTrinh[],Sheet_ChuongTrinh!$J$1,0)),
1,
IF(Table_DonBan[[#This Row],[Tiền hàng]]&gt;= VLOOKUP(Table_DonBan[[#This Row],[Chương trình]],Table_ChuongTrinh[],Sheet_ChuongTrinh!$J$1,0),
1,
0)))</f>
        <v>1</v>
      </c>
      <c r="AV53"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3"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3"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3"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51" ht="18" customHeight="1" x14ac:dyDescent="0.3">
      <c r="T54" s="248"/>
      <c r="U54" s="51" t="str">
        <f>CONCATENATE("BAN-",Table_DonBan[[#This Row],[Mã Khách]],"-",MOD(YEAR(Table_DonBan[[#This Row],[Ngày lập]]),100)*10000+MONTH(Table_DonBan[[#This Row],[Ngày lập]])*100+DAY(Table_DonBan[[#This Row],[Ngày lập]]),"-",Table_DonBan[[#This Row],[TT]])</f>
        <v>BAN-KH2-250502-</v>
      </c>
      <c r="V54" s="411">
        <v>45779</v>
      </c>
      <c r="W54" s="411"/>
      <c r="X54" s="411"/>
      <c r="Y54" s="249" t="s">
        <v>1196</v>
      </c>
      <c r="Z54" s="244"/>
      <c r="AA54" s="244"/>
      <c r="AB54" s="17">
        <f>IFERROR(SUM(_xlfn._xlws.FILTER(Table_Main[Giá trị bán trước VAT],
(Table_Main[Đơn bán]=Table_DonBan[[#This Row],[Mã Đơn bán]]),
)),0)</f>
        <v>4800000</v>
      </c>
      <c r="AC54" s="17">
        <f>IFERROR(SUM(_xlfn._xlws.FILTER(Table_Main[VAT],
(Table_Main[Đơn bán]=Table_DonBan[[#This Row],[Mã Đơn bán]]),
)),0)</f>
        <v>0</v>
      </c>
      <c r="AD54" s="17" cm="1">
        <f t="array" ref="AD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E54" s="418"/>
      <c r="AF54" s="246"/>
      <c r="AG54"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4" s="48">
        <f>(AB54/ABS(AB54))
*IFERROR(
IF(
ISBLANK(
VLOOKUP(
AF54,
Table_ChuongTrinh[],
COUNTA(Table_ChuongTrinh[[#Headers],[Mã Chương trình]:[Tỷ lệ CK]]),
0)
),
VLOOKUP(
AF54,
Table_ChuongTrinh[],
COUNTA(Table_ChuongTrinh[[#Headers],[Mã Chương trình]:[Giá trị CK]]),
0),
VLOOKUP(
AF54,
Table_ChuongTrinh[],
COUNTA(Table_ChuongTrinh[[#Headers],[Mã Chương trình]:[Tỷ lệ CK]]),
0)*ABS(AB54)
),
0)+AE54</f>
        <v>0</v>
      </c>
      <c r="AI54" s="17">
        <f>IFERROR(Table_DonBan[[#This Row],[VAT hàng]]-Table_DonBan[[#This Row],[VAT hàng]]*Table_DonBan[[#This Row],[Giá trị CK]]/Table_DonBan[[#This Row],[Tiền hàng]],0)</f>
        <v>0</v>
      </c>
      <c r="AJ54" s="17">
        <f>+Table_DonBan[[#This Row],[Tiền hàng]]-Table_DonBan[[#This Row],[Giá trị CK]]</f>
        <v>4800000</v>
      </c>
      <c r="AK54" s="17">
        <f>Table_DonBan[[#This Row],[Doanh thu ròng]]</f>
        <v>4800000</v>
      </c>
      <c r="AL54" s="17">
        <f>Table_DonBan[[#This Row],[Tiền hàng]]+Table_DonBan[[#This Row],[Tổng VAT]]-Table_DonBan[[#This Row],[Giá trị CK]]</f>
        <v>4800000</v>
      </c>
      <c r="AM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N54" s="536">
        <f>+IFERROR(
MAX(_xlfn._xlws.FILTER(Table_KHThanThiet_ChinhSach[Tỷ lệ điểm thưởng],
(Table_KHThanThiet_ChinhSach[Doanh thu tối thiểu]&lt;=Table_DonBan[[#This Row],[Doanh thu tính điểm]])
)),0)</f>
        <v>7.0000000000000007E-2</v>
      </c>
      <c r="AO54" s="17">
        <f xml:space="preserve">
Table_DonBan[[#This Row],[Tỷ lệ tính điểm]]*Table_DonBan[[#This Row],[Doanh thu ròng]]</f>
        <v>336000.00000000006</v>
      </c>
      <c r="AP54" s="246">
        <f>COUNTA(_xlfn._xlws.FILTER(Table_DonBan[Mã Khách],
(Table_DonBan[Mã Khách]=Table_DonBan[[#This Row],[Mã Khách]])*
(Table_DonBan[Ngày lập]&lt;=Table_DonBan[[#This Row],[Ngày lập]])
))</f>
        <v>9</v>
      </c>
      <c r="AQ54" s="244"/>
      <c r="AR54" s="245">
        <f>Table_DonBan[[#This Row],[ĐK - Phân loại]]*Table_DonBan[[#This Row],[ĐK - Thời gian]]*Table_DonBan[[#This Row],[ĐK - Giá trị]]*Table_DonBan[[#This Row],[ĐK - Số lượng]]*Table_DonBan[[#This Row],[ĐK - Sinh nhật]]*Table_DonBan[[#This Row],[ĐK - Ngày mua cuối]]</f>
        <v>1</v>
      </c>
      <c r="AS54" s="245">
        <f xml:space="preserve">
IF(ISBLANK(Table_DonBan[[#This Row],[Chương trình]]),1,
IF(VLOOKUP(Table_DonBan[[#This Row],[Chương trình]],Table_ChuongTrinh[[Mã Chương trình]:[Đối tượng CK]],Sheet_ChuongTrinh!$C$1,0) = "Đơn hàng",1,0))</f>
        <v>1</v>
      </c>
      <c r="AT54"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4" s="245">
        <f>IF(ISBLANK(Table_DonBan[[#This Row],[Chương trình]]),
1,
IF(ISBLANK(VLOOKUP(Table_DonBan[[#This Row],[Chương trình]],Table_ChuongTrinh[],Sheet_ChuongTrinh!$J$1,0)),
1,
IF(Table_DonBan[[#This Row],[Tiền hàng]]&gt;= VLOOKUP(Table_DonBan[[#This Row],[Chương trình]],Table_ChuongTrinh[],Sheet_ChuongTrinh!$J$1,0),
1,
0)))</f>
        <v>1</v>
      </c>
      <c r="AV54"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4"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4"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4"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51" ht="18" customHeight="1" x14ac:dyDescent="0.3">
      <c r="T55" s="248"/>
      <c r="U55" s="51" t="str">
        <f>CONCATENATE("BAN-",Table_DonBan[[#This Row],[Mã Khách]],"-",MOD(YEAR(Table_DonBan[[#This Row],[Ngày lập]]),100)*10000+MONTH(Table_DonBan[[#This Row],[Ngày lập]])*100+DAY(Table_DonBan[[#This Row],[Ngày lập]]),"-",Table_DonBan[[#This Row],[TT]])</f>
        <v>BAN-KH3-250430-</v>
      </c>
      <c r="V55" s="411">
        <v>45777</v>
      </c>
      <c r="W55" s="411"/>
      <c r="X55" s="411"/>
      <c r="Y55" s="249" t="s">
        <v>1197</v>
      </c>
      <c r="Z55" s="244"/>
      <c r="AA55" s="244"/>
      <c r="AB55" s="17">
        <f>IFERROR(SUM(_xlfn._xlws.FILTER(Table_Main[Giá trị bán trước VAT],
(Table_Main[Đơn bán]=Table_DonBan[[#This Row],[Mã Đơn bán]]),
)),0)</f>
        <v>19500000</v>
      </c>
      <c r="AC55" s="17">
        <f>IFERROR(SUM(_xlfn._xlws.FILTER(Table_Main[VAT],
(Table_Main[Đơn bán]=Table_DonBan[[#This Row],[Mã Đơn bán]]),
)),0)</f>
        <v>0</v>
      </c>
      <c r="AD55" s="17" cm="1">
        <f t="array" ref="AD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5" s="418"/>
      <c r="AF55" s="246"/>
      <c r="AG55"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5" s="48">
        <f>(AB55/ABS(AB55))
*IFERROR(
IF(
ISBLANK(
VLOOKUP(
AF55,
Table_ChuongTrinh[],
COUNTA(Table_ChuongTrinh[[#Headers],[Mã Chương trình]:[Tỷ lệ CK]]),
0)
),
VLOOKUP(
AF55,
Table_ChuongTrinh[],
COUNTA(Table_ChuongTrinh[[#Headers],[Mã Chương trình]:[Giá trị CK]]),
0),
VLOOKUP(
AF55,
Table_ChuongTrinh[],
COUNTA(Table_ChuongTrinh[[#Headers],[Mã Chương trình]:[Tỷ lệ CK]]),
0)*ABS(AB55)
),
0)+AE55</f>
        <v>0</v>
      </c>
      <c r="AI55" s="17">
        <f>IFERROR(Table_DonBan[[#This Row],[VAT hàng]]-Table_DonBan[[#This Row],[VAT hàng]]*Table_DonBan[[#This Row],[Giá trị CK]]/Table_DonBan[[#This Row],[Tiền hàng]],0)</f>
        <v>0</v>
      </c>
      <c r="AJ55" s="17">
        <f>+Table_DonBan[[#This Row],[Tiền hàng]]-Table_DonBan[[#This Row],[Giá trị CK]]</f>
        <v>19500000</v>
      </c>
      <c r="AK55" s="17">
        <f>Table_DonBan[[#This Row],[Doanh thu ròng]]</f>
        <v>19500000</v>
      </c>
      <c r="AL55" s="17">
        <f>Table_DonBan[[#This Row],[Tiền hàng]]+Table_DonBan[[#This Row],[Tổng VAT]]-Table_DonBan[[#This Row],[Giá trị CK]]</f>
        <v>19500000</v>
      </c>
      <c r="AM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N55" s="536">
        <f>+IFERROR(
MAX(_xlfn._xlws.FILTER(Table_KHThanThiet_ChinhSach[Tỷ lệ điểm thưởng],
(Table_KHThanThiet_ChinhSach[Doanh thu tối thiểu]&lt;=Table_DonBan[[#This Row],[Doanh thu tính điểm]])
)),0)</f>
        <v>0.03</v>
      </c>
      <c r="AO55" s="17">
        <f xml:space="preserve">
Table_DonBan[[#This Row],[Tỷ lệ tính điểm]]*Table_DonBan[[#This Row],[Doanh thu ròng]]</f>
        <v>585000</v>
      </c>
      <c r="AP55" s="246">
        <f>COUNTA(_xlfn._xlws.FILTER(Table_DonBan[Mã Khách],
(Table_DonBan[Mã Khách]=Table_DonBan[[#This Row],[Mã Khách]])*
(Table_DonBan[Ngày lập]&lt;=Table_DonBan[[#This Row],[Ngày lập]])
))</f>
        <v>5</v>
      </c>
      <c r="AQ55" s="244"/>
      <c r="AR55" s="245">
        <f>Table_DonBan[[#This Row],[ĐK - Phân loại]]*Table_DonBan[[#This Row],[ĐK - Thời gian]]*Table_DonBan[[#This Row],[ĐK - Giá trị]]*Table_DonBan[[#This Row],[ĐK - Số lượng]]*Table_DonBan[[#This Row],[ĐK - Sinh nhật]]*Table_DonBan[[#This Row],[ĐK - Ngày mua cuối]]</f>
        <v>1</v>
      </c>
      <c r="AS55" s="245">
        <f xml:space="preserve">
IF(ISBLANK(Table_DonBan[[#This Row],[Chương trình]]),1,
IF(VLOOKUP(Table_DonBan[[#This Row],[Chương trình]],Table_ChuongTrinh[[Mã Chương trình]:[Đối tượng CK]],Sheet_ChuongTrinh!$C$1,0) = "Đơn hàng",1,0))</f>
        <v>1</v>
      </c>
      <c r="AT55"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5" s="245">
        <f>IF(ISBLANK(Table_DonBan[[#This Row],[Chương trình]]),
1,
IF(ISBLANK(VLOOKUP(Table_DonBan[[#This Row],[Chương trình]],Table_ChuongTrinh[],Sheet_ChuongTrinh!$J$1,0)),
1,
IF(Table_DonBan[[#This Row],[Tiền hàng]]&gt;= VLOOKUP(Table_DonBan[[#This Row],[Chương trình]],Table_ChuongTrinh[],Sheet_ChuongTrinh!$J$1,0),
1,
0)))</f>
        <v>1</v>
      </c>
      <c r="AV55"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5"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5"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5"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51" ht="18" customHeight="1" x14ac:dyDescent="0.3">
      <c r="T56" s="248"/>
      <c r="U56" s="51" t="str">
        <f>CONCATENATE("BAN-",Table_DonBan[[#This Row],[Mã Khách]],"-",MOD(YEAR(Table_DonBan[[#This Row],[Ngày lập]]),100)*10000+MONTH(Table_DonBan[[#This Row],[Ngày lập]])*100+DAY(Table_DonBan[[#This Row],[Ngày lập]]),"-",Table_DonBan[[#This Row],[TT]])</f>
        <v>BAN-KH3-250429-</v>
      </c>
      <c r="V56" s="411">
        <v>45776</v>
      </c>
      <c r="W56" s="411"/>
      <c r="X56" s="411"/>
      <c r="Y56" s="249" t="s">
        <v>1197</v>
      </c>
      <c r="Z56" s="244"/>
      <c r="AA56" s="244"/>
      <c r="AB56" s="17">
        <f>IFERROR(SUM(_xlfn._xlws.FILTER(Table_Main[Giá trị bán trước VAT],
(Table_Main[Đơn bán]=Table_DonBan[[#This Row],[Mã Đơn bán]]),
)),0)</f>
        <v>10500000</v>
      </c>
      <c r="AC56" s="17">
        <f>IFERROR(SUM(_xlfn._xlws.FILTER(Table_Main[VAT],
(Table_Main[Đơn bán]=Table_DonBan[[#This Row],[Mã Đơn bán]]),
)),0)</f>
        <v>0</v>
      </c>
      <c r="AD56" s="17" cm="1">
        <f t="array" ref="AD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6" s="418"/>
      <c r="AF56" s="246"/>
      <c r="AG56"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6" s="48">
        <f>(AB56/ABS(AB56))
*IFERROR(
IF(
ISBLANK(
VLOOKUP(
AF56,
Table_ChuongTrinh[],
COUNTA(Table_ChuongTrinh[[#Headers],[Mã Chương trình]:[Tỷ lệ CK]]),
0)
),
VLOOKUP(
AF56,
Table_ChuongTrinh[],
COUNTA(Table_ChuongTrinh[[#Headers],[Mã Chương trình]:[Giá trị CK]]),
0),
VLOOKUP(
AF56,
Table_ChuongTrinh[],
COUNTA(Table_ChuongTrinh[[#Headers],[Mã Chương trình]:[Tỷ lệ CK]]),
0)*ABS(AB56)
),
0)+AE56</f>
        <v>0</v>
      </c>
      <c r="AI56" s="17">
        <f>IFERROR(Table_DonBan[[#This Row],[VAT hàng]]-Table_DonBan[[#This Row],[VAT hàng]]*Table_DonBan[[#This Row],[Giá trị CK]]/Table_DonBan[[#This Row],[Tiền hàng]],0)</f>
        <v>0</v>
      </c>
      <c r="AJ56" s="17">
        <f>+Table_DonBan[[#This Row],[Tiền hàng]]-Table_DonBan[[#This Row],[Giá trị CK]]</f>
        <v>10500000</v>
      </c>
      <c r="AK56" s="17">
        <f>Table_DonBan[[#This Row],[Doanh thu ròng]]</f>
        <v>10500000</v>
      </c>
      <c r="AL56" s="17">
        <f>Table_DonBan[[#This Row],[Tiền hàng]]+Table_DonBan[[#This Row],[Tổng VAT]]-Table_DonBan[[#This Row],[Giá trị CK]]</f>
        <v>10500000</v>
      </c>
      <c r="AM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N56" s="536">
        <f>+IFERROR(
MAX(_xlfn._xlws.FILTER(Table_KHThanThiet_ChinhSach[Tỷ lệ điểm thưởng],
(Table_KHThanThiet_ChinhSach[Doanh thu tối thiểu]&lt;=Table_DonBan[[#This Row],[Doanh thu tính điểm]])
)),0)</f>
        <v>0</v>
      </c>
      <c r="AO56" s="17">
        <f xml:space="preserve">
Table_DonBan[[#This Row],[Tỷ lệ tính điểm]]*Table_DonBan[[#This Row],[Doanh thu ròng]]</f>
        <v>0</v>
      </c>
      <c r="AP56" s="246">
        <f>COUNTA(_xlfn._xlws.FILTER(Table_DonBan[Mã Khách],
(Table_DonBan[Mã Khách]=Table_DonBan[[#This Row],[Mã Khách]])*
(Table_DonBan[Ngày lập]&lt;=Table_DonBan[[#This Row],[Ngày lập]])
))</f>
        <v>4</v>
      </c>
      <c r="AQ56" s="244"/>
      <c r="AR56" s="245">
        <f>Table_DonBan[[#This Row],[ĐK - Phân loại]]*Table_DonBan[[#This Row],[ĐK - Thời gian]]*Table_DonBan[[#This Row],[ĐK - Giá trị]]*Table_DonBan[[#This Row],[ĐK - Số lượng]]*Table_DonBan[[#This Row],[ĐK - Sinh nhật]]*Table_DonBan[[#This Row],[ĐK - Ngày mua cuối]]</f>
        <v>1</v>
      </c>
      <c r="AS56" s="245">
        <f xml:space="preserve">
IF(ISBLANK(Table_DonBan[[#This Row],[Chương trình]]),1,
IF(VLOOKUP(Table_DonBan[[#This Row],[Chương trình]],Table_ChuongTrinh[[Mã Chương trình]:[Đối tượng CK]],Sheet_ChuongTrinh!$C$1,0) = "Đơn hàng",1,0))</f>
        <v>1</v>
      </c>
      <c r="AT56"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6" s="245">
        <f>IF(ISBLANK(Table_DonBan[[#This Row],[Chương trình]]),
1,
IF(ISBLANK(VLOOKUP(Table_DonBan[[#This Row],[Chương trình]],Table_ChuongTrinh[],Sheet_ChuongTrinh!$J$1,0)),
1,
IF(Table_DonBan[[#This Row],[Tiền hàng]]&gt;= VLOOKUP(Table_DonBan[[#This Row],[Chương trình]],Table_ChuongTrinh[],Sheet_ChuongTrinh!$J$1,0),
1,
0)))</f>
        <v>1</v>
      </c>
      <c r="AV56"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6"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6"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6"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51" ht="18" customHeight="1" x14ac:dyDescent="0.3">
      <c r="T57" s="248"/>
      <c r="U57" s="51" t="str">
        <f>CONCATENATE("BAN-",Table_DonBan[[#This Row],[Mã Khách]],"-",MOD(YEAR(Table_DonBan[[#This Row],[Ngày lập]]),100)*10000+MONTH(Table_DonBan[[#This Row],[Ngày lập]])*100+DAY(Table_DonBan[[#This Row],[Ngày lập]]),"-",Table_DonBan[[#This Row],[TT]])</f>
        <v>BAN-KH2-250427-</v>
      </c>
      <c r="V57" s="411">
        <v>45774</v>
      </c>
      <c r="W57" s="411"/>
      <c r="X57" s="411"/>
      <c r="Y57" s="249" t="s">
        <v>1196</v>
      </c>
      <c r="Z57" s="244"/>
      <c r="AA57" s="244"/>
      <c r="AB57" s="17">
        <f>IFERROR(SUM(_xlfn._xlws.FILTER(Table_Main[Giá trị bán trước VAT],
(Table_Main[Đơn bán]=Table_DonBan[[#This Row],[Mã Đơn bán]]),
)),0)</f>
        <v>8400000</v>
      </c>
      <c r="AC57" s="17">
        <f>IFERROR(SUM(_xlfn._xlws.FILTER(Table_Main[VAT],
(Table_Main[Đơn bán]=Table_DonBan[[#This Row],[Mã Đơn bán]]),
)),0)</f>
        <v>0</v>
      </c>
      <c r="AD57" s="17" cm="1">
        <f t="array" ref="AD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E57" s="418"/>
      <c r="AF57" s="246"/>
      <c r="AG57"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7" s="48">
        <f>(AB57/ABS(AB57))
*IFERROR(
IF(
ISBLANK(
VLOOKUP(
AF57,
Table_ChuongTrinh[],
COUNTA(Table_ChuongTrinh[[#Headers],[Mã Chương trình]:[Tỷ lệ CK]]),
0)
),
VLOOKUP(
AF57,
Table_ChuongTrinh[],
COUNTA(Table_ChuongTrinh[[#Headers],[Mã Chương trình]:[Giá trị CK]]),
0),
VLOOKUP(
AF57,
Table_ChuongTrinh[],
COUNTA(Table_ChuongTrinh[[#Headers],[Mã Chương trình]:[Tỷ lệ CK]]),
0)*ABS(AB57)
),
0)+AE57</f>
        <v>0</v>
      </c>
      <c r="AI57" s="17">
        <f>IFERROR(Table_DonBan[[#This Row],[VAT hàng]]-Table_DonBan[[#This Row],[VAT hàng]]*Table_DonBan[[#This Row],[Giá trị CK]]/Table_DonBan[[#This Row],[Tiền hàng]],0)</f>
        <v>0</v>
      </c>
      <c r="AJ57" s="17">
        <f>+Table_DonBan[[#This Row],[Tiền hàng]]-Table_DonBan[[#This Row],[Giá trị CK]]</f>
        <v>8400000</v>
      </c>
      <c r="AK57" s="17">
        <f>Table_DonBan[[#This Row],[Doanh thu ròng]]</f>
        <v>8400000</v>
      </c>
      <c r="AL57" s="17">
        <f>Table_DonBan[[#This Row],[Tiền hàng]]+Table_DonBan[[#This Row],[Tổng VAT]]-Table_DonBan[[#This Row],[Giá trị CK]]</f>
        <v>8400000</v>
      </c>
      <c r="AM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N57" s="536">
        <f>+IFERROR(
MAX(_xlfn._xlws.FILTER(Table_KHThanThiet_ChinhSach[Tỷ lệ điểm thưởng],
(Table_KHThanThiet_ChinhSach[Doanh thu tối thiểu]&lt;=Table_DonBan[[#This Row],[Doanh thu tính điểm]])
)),0)</f>
        <v>0.05</v>
      </c>
      <c r="AO57" s="17">
        <f xml:space="preserve">
Table_DonBan[[#This Row],[Tỷ lệ tính điểm]]*Table_DonBan[[#This Row],[Doanh thu ròng]]</f>
        <v>420000</v>
      </c>
      <c r="AP57" s="246">
        <f>COUNTA(_xlfn._xlws.FILTER(Table_DonBan[Mã Khách],
(Table_DonBan[Mã Khách]=Table_DonBan[[#This Row],[Mã Khách]])*
(Table_DonBan[Ngày lập]&lt;=Table_DonBan[[#This Row],[Ngày lập]])
))</f>
        <v>8</v>
      </c>
      <c r="AQ57" s="244"/>
      <c r="AR57" s="245">
        <f>Table_DonBan[[#This Row],[ĐK - Phân loại]]*Table_DonBan[[#This Row],[ĐK - Thời gian]]*Table_DonBan[[#This Row],[ĐK - Giá trị]]*Table_DonBan[[#This Row],[ĐK - Số lượng]]*Table_DonBan[[#This Row],[ĐK - Sinh nhật]]*Table_DonBan[[#This Row],[ĐK - Ngày mua cuối]]</f>
        <v>1</v>
      </c>
      <c r="AS57" s="245">
        <f xml:space="preserve">
IF(ISBLANK(Table_DonBan[[#This Row],[Chương trình]]),1,
IF(VLOOKUP(Table_DonBan[[#This Row],[Chương trình]],Table_ChuongTrinh[[Mã Chương trình]:[Đối tượng CK]],Sheet_ChuongTrinh!$C$1,0) = "Đơn hàng",1,0))</f>
        <v>1</v>
      </c>
      <c r="AT57"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7" s="245">
        <f>IF(ISBLANK(Table_DonBan[[#This Row],[Chương trình]]),
1,
IF(ISBLANK(VLOOKUP(Table_DonBan[[#This Row],[Chương trình]],Table_ChuongTrinh[],Sheet_ChuongTrinh!$J$1,0)),
1,
IF(Table_DonBan[[#This Row],[Tiền hàng]]&gt;= VLOOKUP(Table_DonBan[[#This Row],[Chương trình]],Table_ChuongTrinh[],Sheet_ChuongTrinh!$J$1,0),
1,
0)))</f>
        <v>1</v>
      </c>
      <c r="AV57"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7"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7"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7"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51" ht="18" customHeight="1" x14ac:dyDescent="0.3">
      <c r="T58" s="248"/>
      <c r="U58" s="51" t="str">
        <f>CONCATENATE("BAN-",Table_DonBan[[#This Row],[Mã Khách]],"-",MOD(YEAR(Table_DonBan[[#This Row],[Ngày lập]]),100)*10000+MONTH(Table_DonBan[[#This Row],[Ngày lập]])*100+DAY(Table_DonBan[[#This Row],[Ngày lập]]),"-",Table_DonBan[[#This Row],[TT]])</f>
        <v>BAN-KH2-250424-</v>
      </c>
      <c r="V58" s="411">
        <v>45771</v>
      </c>
      <c r="W58" s="411"/>
      <c r="X58" s="411"/>
      <c r="Y58" s="249" t="s">
        <v>1196</v>
      </c>
      <c r="Z58" s="244"/>
      <c r="AA58" s="244"/>
      <c r="AB58" s="17">
        <f>IFERROR(SUM(_xlfn._xlws.FILTER(Table_Main[Giá trị bán trước VAT],
(Table_Main[Đơn bán]=Table_DonBan[[#This Row],[Mã Đơn bán]]),
)),0)</f>
        <v>5400000</v>
      </c>
      <c r="AC58" s="17">
        <f>IFERROR(SUM(_xlfn._xlws.FILTER(Table_Main[VAT],
(Table_Main[Đơn bán]=Table_DonBan[[#This Row],[Mã Đơn bán]]),
)),0)</f>
        <v>0</v>
      </c>
      <c r="AD58" s="17" cm="1">
        <f t="array" ref="AD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E58" s="418"/>
      <c r="AF58" s="246"/>
      <c r="AG5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8" s="48">
        <f>(AB58/ABS(AB58))
*IFERROR(
IF(
ISBLANK(
VLOOKUP(
AF58,
Table_ChuongTrinh[],
COUNTA(Table_ChuongTrinh[[#Headers],[Mã Chương trình]:[Tỷ lệ CK]]),
0)
),
VLOOKUP(
AF58,
Table_ChuongTrinh[],
COUNTA(Table_ChuongTrinh[[#Headers],[Mã Chương trình]:[Giá trị CK]]),
0),
VLOOKUP(
AF58,
Table_ChuongTrinh[],
COUNTA(Table_ChuongTrinh[[#Headers],[Mã Chương trình]:[Tỷ lệ CK]]),
0)*ABS(AB58)
),
0)+AE58</f>
        <v>0</v>
      </c>
      <c r="AI58" s="17">
        <f>IFERROR(Table_DonBan[[#This Row],[VAT hàng]]-Table_DonBan[[#This Row],[VAT hàng]]*Table_DonBan[[#This Row],[Giá trị CK]]/Table_DonBan[[#This Row],[Tiền hàng]],0)</f>
        <v>0</v>
      </c>
      <c r="AJ58" s="17">
        <f>+Table_DonBan[[#This Row],[Tiền hàng]]-Table_DonBan[[#This Row],[Giá trị CK]]</f>
        <v>5400000</v>
      </c>
      <c r="AK58" s="17">
        <f>Table_DonBan[[#This Row],[Doanh thu ròng]]</f>
        <v>5400000</v>
      </c>
      <c r="AL58" s="17">
        <f>Table_DonBan[[#This Row],[Tiền hàng]]+Table_DonBan[[#This Row],[Tổng VAT]]-Table_DonBan[[#This Row],[Giá trị CK]]</f>
        <v>5400000</v>
      </c>
      <c r="AM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N58" s="536">
        <f>+IFERROR(
MAX(_xlfn._xlws.FILTER(Table_KHThanThiet_ChinhSach[Tỷ lệ điểm thưởng],
(Table_KHThanThiet_ChinhSach[Doanh thu tối thiểu]&lt;=Table_DonBan[[#This Row],[Doanh thu tính điểm]])
)),0)</f>
        <v>0.05</v>
      </c>
      <c r="AO58" s="17">
        <f xml:space="preserve">
Table_DonBan[[#This Row],[Tỷ lệ tính điểm]]*Table_DonBan[[#This Row],[Doanh thu ròng]]</f>
        <v>270000</v>
      </c>
      <c r="AP58" s="246">
        <f>COUNTA(_xlfn._xlws.FILTER(Table_DonBan[Mã Khách],
(Table_DonBan[Mã Khách]=Table_DonBan[[#This Row],[Mã Khách]])*
(Table_DonBan[Ngày lập]&lt;=Table_DonBan[[#This Row],[Ngày lập]])
))</f>
        <v>7</v>
      </c>
      <c r="AQ58" s="244"/>
      <c r="AR58" s="245">
        <f>Table_DonBan[[#This Row],[ĐK - Phân loại]]*Table_DonBan[[#This Row],[ĐK - Thời gian]]*Table_DonBan[[#This Row],[ĐK - Giá trị]]*Table_DonBan[[#This Row],[ĐK - Số lượng]]*Table_DonBan[[#This Row],[ĐK - Sinh nhật]]*Table_DonBan[[#This Row],[ĐK - Ngày mua cuối]]</f>
        <v>1</v>
      </c>
      <c r="AS58" s="245">
        <f xml:space="preserve">
IF(ISBLANK(Table_DonBan[[#This Row],[Chương trình]]),1,
IF(VLOOKUP(Table_DonBan[[#This Row],[Chương trình]],Table_ChuongTrinh[[Mã Chương trình]:[Đối tượng CK]],Sheet_ChuongTrinh!$C$1,0) = "Đơn hàng",1,0))</f>
        <v>1</v>
      </c>
      <c r="AT5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8" s="245">
        <f>IF(ISBLANK(Table_DonBan[[#This Row],[Chương trình]]),
1,
IF(ISBLANK(VLOOKUP(Table_DonBan[[#This Row],[Chương trình]],Table_ChuongTrinh[],Sheet_ChuongTrinh!$J$1,0)),
1,
IF(Table_DonBan[[#This Row],[Tiền hàng]]&gt;= VLOOKUP(Table_DonBan[[#This Row],[Chương trình]],Table_ChuongTrinh[],Sheet_ChuongTrinh!$J$1,0),
1,
0)))</f>
        <v>1</v>
      </c>
      <c r="AV5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51" ht="18" customHeight="1" x14ac:dyDescent="0.3">
      <c r="T59" s="248"/>
      <c r="U59" s="51" t="str">
        <f>CONCATENATE("BAN-",Table_DonBan[[#This Row],[Mã Khách]],"-",MOD(YEAR(Table_DonBan[[#This Row],[Ngày lập]]),100)*10000+MONTH(Table_DonBan[[#This Row],[Ngày lập]])*100+DAY(Table_DonBan[[#This Row],[Ngày lập]]),"-",Table_DonBan[[#This Row],[TT]])</f>
        <v>BAN-KH3-250417-</v>
      </c>
      <c r="V59" s="411">
        <v>45764</v>
      </c>
      <c r="W59" s="411"/>
      <c r="X59" s="411"/>
      <c r="Y59" s="249" t="s">
        <v>1197</v>
      </c>
      <c r="Z59" s="244"/>
      <c r="AA59" s="244"/>
      <c r="AB59" s="17">
        <f>IFERROR(SUM(_xlfn._xlws.FILTER(Table_Main[Giá trị bán trước VAT],
(Table_Main[Đơn bán]=Table_DonBan[[#This Row],[Mã Đơn bán]]),
)),0)</f>
        <v>2300000</v>
      </c>
      <c r="AC59" s="17">
        <f>IFERROR(SUM(_xlfn._xlws.FILTER(Table_Main[VAT],
(Table_Main[Đơn bán]=Table_DonBan[[#This Row],[Mã Đơn bán]]),
)),0)</f>
        <v>0</v>
      </c>
      <c r="AD59" s="17" cm="1">
        <f t="array" ref="AD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59" s="418"/>
      <c r="AF59" s="246"/>
      <c r="AG5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59" s="48">
        <f>(AB59/ABS(AB59))
*IFERROR(
IF(
ISBLANK(
VLOOKUP(
AF59,
Table_ChuongTrinh[],
COUNTA(Table_ChuongTrinh[[#Headers],[Mã Chương trình]:[Tỷ lệ CK]]),
0)
),
VLOOKUP(
AF59,
Table_ChuongTrinh[],
COUNTA(Table_ChuongTrinh[[#Headers],[Mã Chương trình]:[Giá trị CK]]),
0),
VLOOKUP(
AF59,
Table_ChuongTrinh[],
COUNTA(Table_ChuongTrinh[[#Headers],[Mã Chương trình]:[Tỷ lệ CK]]),
0)*ABS(AB59)
),
0)+AE59</f>
        <v>0</v>
      </c>
      <c r="AI59" s="17">
        <f>IFERROR(Table_DonBan[[#This Row],[VAT hàng]]-Table_DonBan[[#This Row],[VAT hàng]]*Table_DonBan[[#This Row],[Giá trị CK]]/Table_DonBan[[#This Row],[Tiền hàng]],0)</f>
        <v>0</v>
      </c>
      <c r="AJ59" s="17">
        <f>+Table_DonBan[[#This Row],[Tiền hàng]]-Table_DonBan[[#This Row],[Giá trị CK]]</f>
        <v>2300000</v>
      </c>
      <c r="AK59" s="17">
        <f>Table_DonBan[[#This Row],[Doanh thu ròng]]</f>
        <v>2300000</v>
      </c>
      <c r="AL59" s="17">
        <f>Table_DonBan[[#This Row],[Tiền hàng]]+Table_DonBan[[#This Row],[Tổng VAT]]-Table_DonBan[[#This Row],[Giá trị CK]]</f>
        <v>2300000</v>
      </c>
      <c r="AM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N59" s="536">
        <f>+IFERROR(
MAX(_xlfn._xlws.FILTER(Table_KHThanThiet_ChinhSach[Tỷ lệ điểm thưởng],
(Table_KHThanThiet_ChinhSach[Doanh thu tối thiểu]&lt;=Table_DonBan[[#This Row],[Doanh thu tính điểm]])
)),0)</f>
        <v>0</v>
      </c>
      <c r="AO59" s="17">
        <f xml:space="preserve">
Table_DonBan[[#This Row],[Tỷ lệ tính điểm]]*Table_DonBan[[#This Row],[Doanh thu ròng]]</f>
        <v>0</v>
      </c>
      <c r="AP59" s="246">
        <f>COUNTA(_xlfn._xlws.FILTER(Table_DonBan[Mã Khách],
(Table_DonBan[Mã Khách]=Table_DonBan[[#This Row],[Mã Khách]])*
(Table_DonBan[Ngày lập]&lt;=Table_DonBan[[#This Row],[Ngày lập]])
))</f>
        <v>3</v>
      </c>
      <c r="AQ59" s="244"/>
      <c r="AR59" s="245">
        <f>Table_DonBan[[#This Row],[ĐK - Phân loại]]*Table_DonBan[[#This Row],[ĐK - Thời gian]]*Table_DonBan[[#This Row],[ĐK - Giá trị]]*Table_DonBan[[#This Row],[ĐK - Số lượng]]*Table_DonBan[[#This Row],[ĐK - Sinh nhật]]*Table_DonBan[[#This Row],[ĐK - Ngày mua cuối]]</f>
        <v>1</v>
      </c>
      <c r="AS59" s="245">
        <f xml:space="preserve">
IF(ISBLANK(Table_DonBan[[#This Row],[Chương trình]]),1,
IF(VLOOKUP(Table_DonBan[[#This Row],[Chương trình]],Table_ChuongTrinh[[Mã Chương trình]:[Đối tượng CK]],Sheet_ChuongTrinh!$C$1,0) = "Đơn hàng",1,0))</f>
        <v>1</v>
      </c>
      <c r="AT5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59" s="245">
        <f>IF(ISBLANK(Table_DonBan[[#This Row],[Chương trình]]),
1,
IF(ISBLANK(VLOOKUP(Table_DonBan[[#This Row],[Chương trình]],Table_ChuongTrinh[],Sheet_ChuongTrinh!$J$1,0)),
1,
IF(Table_DonBan[[#This Row],[Tiền hàng]]&gt;= VLOOKUP(Table_DonBan[[#This Row],[Chương trình]],Table_ChuongTrinh[],Sheet_ChuongTrinh!$J$1,0),
1,
0)))</f>
        <v>1</v>
      </c>
      <c r="AV5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5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5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5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51" ht="18" customHeight="1" x14ac:dyDescent="0.3">
      <c r="T60" s="248"/>
      <c r="U60" s="51" t="str">
        <f>CONCATENATE("BAN-",Table_DonBan[[#This Row],[Mã Khách]],"-",MOD(YEAR(Table_DonBan[[#This Row],[Ngày lập]]),100)*10000+MONTH(Table_DonBan[[#This Row],[Ngày lập]])*100+DAY(Table_DonBan[[#This Row],[Ngày lập]]),"-",Table_DonBan[[#This Row],[TT]])</f>
        <v>BAN-KH2-250415-</v>
      </c>
      <c r="V60" s="411">
        <v>45762</v>
      </c>
      <c r="W60" s="411"/>
      <c r="X60" s="411"/>
      <c r="Y60" s="249" t="s">
        <v>1196</v>
      </c>
      <c r="Z60" s="244"/>
      <c r="AA60" s="244"/>
      <c r="AB60" s="17">
        <f>IFERROR(SUM(_xlfn._xlws.FILTER(Table_Main[Giá trị bán trước VAT],
(Table_Main[Đơn bán]=Table_DonBan[[#This Row],[Mã Đơn bán]]),
)),0)</f>
        <v>3300000</v>
      </c>
      <c r="AC60" s="17">
        <f>IFERROR(SUM(_xlfn._xlws.FILTER(Table_Main[VAT],
(Table_Main[Đơn bán]=Table_DonBan[[#This Row],[Mã Đơn bán]]),
)),0)</f>
        <v>0</v>
      </c>
      <c r="AD60" s="17" cm="1">
        <f t="array" ref="AD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E60" s="418"/>
      <c r="AF60" s="246"/>
      <c r="AG6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0" s="48">
        <f>(AB60/ABS(AB60))
*IFERROR(
IF(
ISBLANK(
VLOOKUP(
AF60,
Table_ChuongTrinh[],
COUNTA(Table_ChuongTrinh[[#Headers],[Mã Chương trình]:[Tỷ lệ CK]]),
0)
),
VLOOKUP(
AF60,
Table_ChuongTrinh[],
COUNTA(Table_ChuongTrinh[[#Headers],[Mã Chương trình]:[Giá trị CK]]),
0),
VLOOKUP(
AF60,
Table_ChuongTrinh[],
COUNTA(Table_ChuongTrinh[[#Headers],[Mã Chương trình]:[Tỷ lệ CK]]),
0)*ABS(AB60)
),
0)+AE60</f>
        <v>0</v>
      </c>
      <c r="AI60" s="17">
        <f>IFERROR(Table_DonBan[[#This Row],[VAT hàng]]-Table_DonBan[[#This Row],[VAT hàng]]*Table_DonBan[[#This Row],[Giá trị CK]]/Table_DonBan[[#This Row],[Tiền hàng]],0)</f>
        <v>0</v>
      </c>
      <c r="AJ60" s="17">
        <f>+Table_DonBan[[#This Row],[Tiền hàng]]-Table_DonBan[[#This Row],[Giá trị CK]]</f>
        <v>3300000</v>
      </c>
      <c r="AK60" s="17">
        <f>Table_DonBan[[#This Row],[Doanh thu ròng]]</f>
        <v>3300000</v>
      </c>
      <c r="AL60" s="17">
        <f>Table_DonBan[[#This Row],[Tiền hàng]]+Table_DonBan[[#This Row],[Tổng VAT]]-Table_DonBan[[#This Row],[Giá trị CK]]</f>
        <v>3300000</v>
      </c>
      <c r="AM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N60" s="536">
        <f>+IFERROR(
MAX(_xlfn._xlws.FILTER(Table_KHThanThiet_ChinhSach[Tỷ lệ điểm thưởng],
(Table_KHThanThiet_ChinhSach[Doanh thu tối thiểu]&lt;=Table_DonBan[[#This Row],[Doanh thu tính điểm]])
)),0)</f>
        <v>0.05</v>
      </c>
      <c r="AO60" s="17">
        <f xml:space="preserve">
Table_DonBan[[#This Row],[Tỷ lệ tính điểm]]*Table_DonBan[[#This Row],[Doanh thu ròng]]</f>
        <v>165000</v>
      </c>
      <c r="AP60" s="246">
        <f>COUNTA(_xlfn._xlws.FILTER(Table_DonBan[Mã Khách],
(Table_DonBan[Mã Khách]=Table_DonBan[[#This Row],[Mã Khách]])*
(Table_DonBan[Ngày lập]&lt;=Table_DonBan[[#This Row],[Ngày lập]])
))</f>
        <v>6</v>
      </c>
      <c r="AQ60" s="244"/>
      <c r="AR60" s="245">
        <f>Table_DonBan[[#This Row],[ĐK - Phân loại]]*Table_DonBan[[#This Row],[ĐK - Thời gian]]*Table_DonBan[[#This Row],[ĐK - Giá trị]]*Table_DonBan[[#This Row],[ĐK - Số lượng]]*Table_DonBan[[#This Row],[ĐK - Sinh nhật]]*Table_DonBan[[#This Row],[ĐK - Ngày mua cuối]]</f>
        <v>1</v>
      </c>
      <c r="AS60" s="245">
        <f xml:space="preserve">
IF(ISBLANK(Table_DonBan[[#This Row],[Chương trình]]),1,
IF(VLOOKUP(Table_DonBan[[#This Row],[Chương trình]],Table_ChuongTrinh[[Mã Chương trình]:[Đối tượng CK]],Sheet_ChuongTrinh!$C$1,0) = "Đơn hàng",1,0))</f>
        <v>1</v>
      </c>
      <c r="AT6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0" s="245">
        <f>IF(ISBLANK(Table_DonBan[[#This Row],[Chương trình]]),
1,
IF(ISBLANK(VLOOKUP(Table_DonBan[[#This Row],[Chương trình]],Table_ChuongTrinh[],Sheet_ChuongTrinh!$J$1,0)),
1,
IF(Table_DonBan[[#This Row],[Tiền hàng]]&gt;= VLOOKUP(Table_DonBan[[#This Row],[Chương trình]],Table_ChuongTrinh[],Sheet_ChuongTrinh!$J$1,0),
1,
0)))</f>
        <v>1</v>
      </c>
      <c r="AV6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51" ht="18" customHeight="1" x14ac:dyDescent="0.3">
      <c r="T61" s="248"/>
      <c r="U61" s="51" t="str">
        <f>CONCATENATE("BAN-",Table_DonBan[[#This Row],[Mã Khách]],"-",MOD(YEAR(Table_DonBan[[#This Row],[Ngày lập]]),100)*10000+MONTH(Table_DonBan[[#This Row],[Ngày lập]])*100+DAY(Table_DonBan[[#This Row],[Ngày lập]]),"-",Table_DonBan[[#This Row],[TT]])</f>
        <v>BAN-KH2-250414-</v>
      </c>
      <c r="V61" s="411">
        <v>45761</v>
      </c>
      <c r="W61" s="411"/>
      <c r="X61" s="411"/>
      <c r="Y61" s="249" t="s">
        <v>1196</v>
      </c>
      <c r="Z61" s="244"/>
      <c r="AA61" s="244"/>
      <c r="AB61" s="17">
        <f>IFERROR(SUM(_xlfn._xlws.FILTER(Table_Main[Giá trị bán trước VAT],
(Table_Main[Đơn bán]=Table_DonBan[[#This Row],[Mã Đơn bán]]),
)),0)</f>
        <v>3900000</v>
      </c>
      <c r="AC61" s="17">
        <f>IFERROR(SUM(_xlfn._xlws.FILTER(Table_Main[VAT],
(Table_Main[Đơn bán]=Table_DonBan[[#This Row],[Mã Đơn bán]]),
)),0)</f>
        <v>0</v>
      </c>
      <c r="AD61" s="17" cm="1">
        <f t="array" ref="AD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E61" s="418"/>
      <c r="AF61" s="246"/>
      <c r="AG6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1" s="48">
        <f>(AB61/ABS(AB61))
*IFERROR(
IF(
ISBLANK(
VLOOKUP(
AF61,
Table_ChuongTrinh[],
COUNTA(Table_ChuongTrinh[[#Headers],[Mã Chương trình]:[Tỷ lệ CK]]),
0)
),
VLOOKUP(
AF61,
Table_ChuongTrinh[],
COUNTA(Table_ChuongTrinh[[#Headers],[Mã Chương trình]:[Giá trị CK]]),
0),
VLOOKUP(
AF61,
Table_ChuongTrinh[],
COUNTA(Table_ChuongTrinh[[#Headers],[Mã Chương trình]:[Tỷ lệ CK]]),
0)*ABS(AB61)
),
0)+AE61</f>
        <v>0</v>
      </c>
      <c r="AI61" s="17">
        <f>IFERROR(Table_DonBan[[#This Row],[VAT hàng]]-Table_DonBan[[#This Row],[VAT hàng]]*Table_DonBan[[#This Row],[Giá trị CK]]/Table_DonBan[[#This Row],[Tiền hàng]],0)</f>
        <v>0</v>
      </c>
      <c r="AJ61" s="17">
        <f>+Table_DonBan[[#This Row],[Tiền hàng]]-Table_DonBan[[#This Row],[Giá trị CK]]</f>
        <v>3900000</v>
      </c>
      <c r="AK61" s="17">
        <f>Table_DonBan[[#This Row],[Doanh thu ròng]]</f>
        <v>3900000</v>
      </c>
      <c r="AL61" s="17">
        <f>Table_DonBan[[#This Row],[Tiền hàng]]+Table_DonBan[[#This Row],[Tổng VAT]]-Table_DonBan[[#This Row],[Giá trị CK]]</f>
        <v>3900000</v>
      </c>
      <c r="AM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N61" s="536">
        <f>+IFERROR(
MAX(_xlfn._xlws.FILTER(Table_KHThanThiet_ChinhSach[Tỷ lệ điểm thưởng],
(Table_KHThanThiet_ChinhSach[Doanh thu tối thiểu]&lt;=Table_DonBan[[#This Row],[Doanh thu tính điểm]])
)),0)</f>
        <v>0.05</v>
      </c>
      <c r="AO61" s="17">
        <f xml:space="preserve">
Table_DonBan[[#This Row],[Tỷ lệ tính điểm]]*Table_DonBan[[#This Row],[Doanh thu ròng]]</f>
        <v>195000</v>
      </c>
      <c r="AP61" s="246">
        <f>COUNTA(_xlfn._xlws.FILTER(Table_DonBan[Mã Khách],
(Table_DonBan[Mã Khách]=Table_DonBan[[#This Row],[Mã Khách]])*
(Table_DonBan[Ngày lập]&lt;=Table_DonBan[[#This Row],[Ngày lập]])
))</f>
        <v>5</v>
      </c>
      <c r="AQ61" s="244"/>
      <c r="AR61" s="245">
        <f>Table_DonBan[[#This Row],[ĐK - Phân loại]]*Table_DonBan[[#This Row],[ĐK - Thời gian]]*Table_DonBan[[#This Row],[ĐK - Giá trị]]*Table_DonBan[[#This Row],[ĐK - Số lượng]]*Table_DonBan[[#This Row],[ĐK - Sinh nhật]]*Table_DonBan[[#This Row],[ĐK - Ngày mua cuối]]</f>
        <v>1</v>
      </c>
      <c r="AS61" s="245">
        <f xml:space="preserve">
IF(ISBLANK(Table_DonBan[[#This Row],[Chương trình]]),1,
IF(VLOOKUP(Table_DonBan[[#This Row],[Chương trình]],Table_ChuongTrinh[[Mã Chương trình]:[Đối tượng CK]],Sheet_ChuongTrinh!$C$1,0) = "Đơn hàng",1,0))</f>
        <v>1</v>
      </c>
      <c r="AT6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1" s="245">
        <f>IF(ISBLANK(Table_DonBan[[#This Row],[Chương trình]]),
1,
IF(ISBLANK(VLOOKUP(Table_DonBan[[#This Row],[Chương trình]],Table_ChuongTrinh[],Sheet_ChuongTrinh!$J$1,0)),
1,
IF(Table_DonBan[[#This Row],[Tiền hàng]]&gt;= VLOOKUP(Table_DonBan[[#This Row],[Chương trình]],Table_ChuongTrinh[],Sheet_ChuongTrinh!$J$1,0),
1,
0)))</f>
        <v>1</v>
      </c>
      <c r="AV6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51" ht="18" customHeight="1" x14ac:dyDescent="0.3">
      <c r="T62" s="248"/>
      <c r="U62" s="51" t="str">
        <f>CONCATENATE("BAN-",Table_DonBan[[#This Row],[Mã Khách]],"-",MOD(YEAR(Table_DonBan[[#This Row],[Ngày lập]]),100)*10000+MONTH(Table_DonBan[[#This Row],[Ngày lập]])*100+DAY(Table_DonBan[[#This Row],[Ngày lập]]),"-",Table_DonBan[[#This Row],[TT]])</f>
        <v>BAN-KH1-250411-</v>
      </c>
      <c r="V62" s="411">
        <v>45758</v>
      </c>
      <c r="W62" s="411"/>
      <c r="X62" s="411"/>
      <c r="Y62" s="249" t="s">
        <v>1195</v>
      </c>
      <c r="Z62" s="244"/>
      <c r="AA62" s="244"/>
      <c r="AB62" s="17">
        <f>IFERROR(SUM(_xlfn._xlws.FILTER(Table_Main[Giá trị bán trước VAT],
(Table_Main[Đơn bán]=Table_DonBan[[#This Row],[Mã Đơn bán]]),
)),0)</f>
        <v>2700000</v>
      </c>
      <c r="AC62" s="17">
        <f>IFERROR(SUM(_xlfn._xlws.FILTER(Table_Main[VAT],
(Table_Main[Đơn bán]=Table_DonBan[[#This Row],[Mã Đơn bán]]),
)),0)</f>
        <v>0</v>
      </c>
      <c r="AD62" s="17" cm="1">
        <f t="array" ref="AD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2" s="418"/>
      <c r="AF62" s="246"/>
      <c r="AG62"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2" s="48">
        <f>(AB62/ABS(AB62))
*IFERROR(
IF(
ISBLANK(
VLOOKUP(
AF62,
Table_ChuongTrinh[],
COUNTA(Table_ChuongTrinh[[#Headers],[Mã Chương trình]:[Tỷ lệ CK]]),
0)
),
VLOOKUP(
AF62,
Table_ChuongTrinh[],
COUNTA(Table_ChuongTrinh[[#Headers],[Mã Chương trình]:[Giá trị CK]]),
0),
VLOOKUP(
AF62,
Table_ChuongTrinh[],
COUNTA(Table_ChuongTrinh[[#Headers],[Mã Chương trình]:[Tỷ lệ CK]]),
0)*ABS(AB62)
),
0)+AE62</f>
        <v>0</v>
      </c>
      <c r="AI62" s="17">
        <f>IFERROR(Table_DonBan[[#This Row],[VAT hàng]]-Table_DonBan[[#This Row],[VAT hàng]]*Table_DonBan[[#This Row],[Giá trị CK]]/Table_DonBan[[#This Row],[Tiền hàng]],0)</f>
        <v>0</v>
      </c>
      <c r="AJ62" s="17">
        <f>+Table_DonBan[[#This Row],[Tiền hàng]]-Table_DonBan[[#This Row],[Giá trị CK]]</f>
        <v>2700000</v>
      </c>
      <c r="AK62" s="17">
        <f>Table_DonBan[[#This Row],[Doanh thu ròng]]</f>
        <v>2700000</v>
      </c>
      <c r="AL62" s="17">
        <f>Table_DonBan[[#This Row],[Tiền hàng]]+Table_DonBan[[#This Row],[Tổng VAT]]-Table_DonBan[[#This Row],[Giá trị CK]]</f>
        <v>2700000</v>
      </c>
      <c r="AM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N62" s="536">
        <f>+IFERROR(
MAX(_xlfn._xlws.FILTER(Table_KHThanThiet_ChinhSach[Tỷ lệ điểm thưởng],
(Table_KHThanThiet_ChinhSach[Doanh thu tối thiểu]&lt;=Table_DonBan[[#This Row],[Doanh thu tính điểm]])
)),0)</f>
        <v>0.01</v>
      </c>
      <c r="AO62" s="17">
        <f xml:space="preserve">
Table_DonBan[[#This Row],[Tỷ lệ tính điểm]]*Table_DonBan[[#This Row],[Doanh thu ròng]]</f>
        <v>27000</v>
      </c>
      <c r="AP62" s="246">
        <f>COUNTA(_xlfn._xlws.FILTER(Table_DonBan[Mã Khách],
(Table_DonBan[Mã Khách]=Table_DonBan[[#This Row],[Mã Khách]])*
(Table_DonBan[Ngày lập]&lt;=Table_DonBan[[#This Row],[Ngày lập]])
))</f>
        <v>4</v>
      </c>
      <c r="AQ62" s="244"/>
      <c r="AR62" s="245">
        <f>Table_DonBan[[#This Row],[ĐK - Phân loại]]*Table_DonBan[[#This Row],[ĐK - Thời gian]]*Table_DonBan[[#This Row],[ĐK - Giá trị]]*Table_DonBan[[#This Row],[ĐK - Số lượng]]*Table_DonBan[[#This Row],[ĐK - Sinh nhật]]*Table_DonBan[[#This Row],[ĐK - Ngày mua cuối]]</f>
        <v>1</v>
      </c>
      <c r="AS62" s="245">
        <f xml:space="preserve">
IF(ISBLANK(Table_DonBan[[#This Row],[Chương trình]]),1,
IF(VLOOKUP(Table_DonBan[[#This Row],[Chương trình]],Table_ChuongTrinh[[Mã Chương trình]:[Đối tượng CK]],Sheet_ChuongTrinh!$C$1,0) = "Đơn hàng",1,0))</f>
        <v>1</v>
      </c>
      <c r="AT62"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2" s="245">
        <f>IF(ISBLANK(Table_DonBan[[#This Row],[Chương trình]]),
1,
IF(ISBLANK(VLOOKUP(Table_DonBan[[#This Row],[Chương trình]],Table_ChuongTrinh[],Sheet_ChuongTrinh!$J$1,0)),
1,
IF(Table_DonBan[[#This Row],[Tiền hàng]]&gt;= VLOOKUP(Table_DonBan[[#This Row],[Chương trình]],Table_ChuongTrinh[],Sheet_ChuongTrinh!$J$1,0),
1,
0)))</f>
        <v>1</v>
      </c>
      <c r="AV62"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2"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2"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2"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51" ht="18" customHeight="1" x14ac:dyDescent="0.3">
      <c r="T63" s="248"/>
      <c r="U63" s="51" t="str">
        <f>CONCATENATE("BAN-",Table_DonBan[[#This Row],[Mã Khách]],"-",MOD(YEAR(Table_DonBan[[#This Row],[Ngày lập]]),100)*10000+MONTH(Table_DonBan[[#This Row],[Ngày lập]])*100+DAY(Table_DonBan[[#This Row],[Ngày lập]]),"-",Table_DonBan[[#This Row],[TT]])</f>
        <v>BAN-KH3-250409-</v>
      </c>
      <c r="V63" s="411">
        <v>45756</v>
      </c>
      <c r="W63" s="411"/>
      <c r="X63" s="411"/>
      <c r="Y63" s="249" t="s">
        <v>1197</v>
      </c>
      <c r="Z63" s="244"/>
      <c r="AA63" s="244"/>
      <c r="AB63" s="17">
        <f>IFERROR(SUM(_xlfn._xlws.FILTER(Table_Main[Giá trị bán trước VAT],
(Table_Main[Đơn bán]=Table_DonBan[[#This Row],[Mã Đơn bán]]),
)),0)</f>
        <v>4200000</v>
      </c>
      <c r="AC63" s="17">
        <f>IFERROR(SUM(_xlfn._xlws.FILTER(Table_Main[VAT],
(Table_Main[Đơn bán]=Table_DonBan[[#This Row],[Mã Đơn bán]]),
)),0)</f>
        <v>0</v>
      </c>
      <c r="AD63" s="17" cm="1">
        <f t="array" ref="AD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3" s="418"/>
      <c r="AF63" s="246"/>
      <c r="AG63"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3" s="48">
        <f>(AB63/ABS(AB63))
*IFERROR(
IF(
ISBLANK(
VLOOKUP(
AF63,
Table_ChuongTrinh[],
COUNTA(Table_ChuongTrinh[[#Headers],[Mã Chương trình]:[Tỷ lệ CK]]),
0)
),
VLOOKUP(
AF63,
Table_ChuongTrinh[],
COUNTA(Table_ChuongTrinh[[#Headers],[Mã Chương trình]:[Giá trị CK]]),
0),
VLOOKUP(
AF63,
Table_ChuongTrinh[],
COUNTA(Table_ChuongTrinh[[#Headers],[Mã Chương trình]:[Tỷ lệ CK]]),
0)*ABS(AB63)
),
0)+AE63</f>
        <v>0</v>
      </c>
      <c r="AI63" s="17">
        <f>IFERROR(Table_DonBan[[#This Row],[VAT hàng]]-Table_DonBan[[#This Row],[VAT hàng]]*Table_DonBan[[#This Row],[Giá trị CK]]/Table_DonBan[[#This Row],[Tiền hàng]],0)</f>
        <v>0</v>
      </c>
      <c r="AJ63" s="17">
        <f>+Table_DonBan[[#This Row],[Tiền hàng]]-Table_DonBan[[#This Row],[Giá trị CK]]</f>
        <v>4200000</v>
      </c>
      <c r="AK63" s="17">
        <f>Table_DonBan[[#This Row],[Doanh thu ròng]]</f>
        <v>4200000</v>
      </c>
      <c r="AL63" s="17">
        <f>Table_DonBan[[#This Row],[Tiền hàng]]+Table_DonBan[[#This Row],[Tổng VAT]]-Table_DonBan[[#This Row],[Giá trị CK]]</f>
        <v>4200000</v>
      </c>
      <c r="AM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N63" s="536">
        <f>+IFERROR(
MAX(_xlfn._xlws.FILTER(Table_KHThanThiet_ChinhSach[Tỷ lệ điểm thưởng],
(Table_KHThanThiet_ChinhSach[Doanh thu tối thiểu]&lt;=Table_DonBan[[#This Row],[Doanh thu tính điểm]])
)),0)</f>
        <v>0</v>
      </c>
      <c r="AO63" s="17">
        <f xml:space="preserve">
Table_DonBan[[#This Row],[Tỷ lệ tính điểm]]*Table_DonBan[[#This Row],[Doanh thu ròng]]</f>
        <v>0</v>
      </c>
      <c r="AP63" s="246">
        <f>COUNTA(_xlfn._xlws.FILTER(Table_DonBan[Mã Khách],
(Table_DonBan[Mã Khách]=Table_DonBan[[#This Row],[Mã Khách]])*
(Table_DonBan[Ngày lập]&lt;=Table_DonBan[[#This Row],[Ngày lập]])
))</f>
        <v>2</v>
      </c>
      <c r="AQ63" s="244"/>
      <c r="AR63" s="245">
        <f>Table_DonBan[[#This Row],[ĐK - Phân loại]]*Table_DonBan[[#This Row],[ĐK - Thời gian]]*Table_DonBan[[#This Row],[ĐK - Giá trị]]*Table_DonBan[[#This Row],[ĐK - Số lượng]]*Table_DonBan[[#This Row],[ĐK - Sinh nhật]]*Table_DonBan[[#This Row],[ĐK - Ngày mua cuối]]</f>
        <v>1</v>
      </c>
      <c r="AS63" s="245">
        <f xml:space="preserve">
IF(ISBLANK(Table_DonBan[[#This Row],[Chương trình]]),1,
IF(VLOOKUP(Table_DonBan[[#This Row],[Chương trình]],Table_ChuongTrinh[[Mã Chương trình]:[Đối tượng CK]],Sheet_ChuongTrinh!$C$1,0) = "Đơn hàng",1,0))</f>
        <v>1</v>
      </c>
      <c r="AT63"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3" s="245">
        <f>IF(ISBLANK(Table_DonBan[[#This Row],[Chương trình]]),
1,
IF(ISBLANK(VLOOKUP(Table_DonBan[[#This Row],[Chương trình]],Table_ChuongTrinh[],Sheet_ChuongTrinh!$J$1,0)),
1,
IF(Table_DonBan[[#This Row],[Tiền hàng]]&gt;= VLOOKUP(Table_DonBan[[#This Row],[Chương trình]],Table_ChuongTrinh[],Sheet_ChuongTrinh!$J$1,0),
1,
0)))</f>
        <v>1</v>
      </c>
      <c r="AV63"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3"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3"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3"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51" ht="18" customHeight="1" x14ac:dyDescent="0.3">
      <c r="T64" s="248"/>
      <c r="U64" s="51" t="str">
        <f>CONCATENATE("BAN-",Table_DonBan[[#This Row],[Mã Khách]],"-",MOD(YEAR(Table_DonBan[[#This Row],[Ngày lập]]),100)*10000+MONTH(Table_DonBan[[#This Row],[Ngày lập]])*100+DAY(Table_DonBan[[#This Row],[Ngày lập]]),"-",Table_DonBan[[#This Row],[TT]])</f>
        <v>BAN-KH2-250408-</v>
      </c>
      <c r="V64" s="411">
        <v>45755</v>
      </c>
      <c r="W64" s="411"/>
      <c r="X64" s="411"/>
      <c r="Y64" s="249" t="s">
        <v>1196</v>
      </c>
      <c r="Z64" s="244"/>
      <c r="AA64" s="244"/>
      <c r="AB64" s="17">
        <f>IFERROR(SUM(_xlfn._xlws.FILTER(Table_Main[Giá trị bán trước VAT],
(Table_Main[Đơn bán]=Table_DonBan[[#This Row],[Mã Đơn bán]]),
)),0)</f>
        <v>1900000</v>
      </c>
      <c r="AC64" s="17">
        <f>IFERROR(SUM(_xlfn._xlws.FILTER(Table_Main[VAT],
(Table_Main[Đơn bán]=Table_DonBan[[#This Row],[Mã Đơn bán]]),
)),0)</f>
        <v>0</v>
      </c>
      <c r="AD64" s="17" cm="1">
        <f t="array" ref="AD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E64" s="418"/>
      <c r="AF64" s="246"/>
      <c r="AG64"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4" s="48">
        <f>(AB64/ABS(AB64))
*IFERROR(
IF(
ISBLANK(
VLOOKUP(
AF64,
Table_ChuongTrinh[],
COUNTA(Table_ChuongTrinh[[#Headers],[Mã Chương trình]:[Tỷ lệ CK]]),
0)
),
VLOOKUP(
AF64,
Table_ChuongTrinh[],
COUNTA(Table_ChuongTrinh[[#Headers],[Mã Chương trình]:[Giá trị CK]]),
0),
VLOOKUP(
AF64,
Table_ChuongTrinh[],
COUNTA(Table_ChuongTrinh[[#Headers],[Mã Chương trình]:[Tỷ lệ CK]]),
0)*ABS(AB64)
),
0)+AE64</f>
        <v>0</v>
      </c>
      <c r="AI64" s="17">
        <f>IFERROR(Table_DonBan[[#This Row],[VAT hàng]]-Table_DonBan[[#This Row],[VAT hàng]]*Table_DonBan[[#This Row],[Giá trị CK]]/Table_DonBan[[#This Row],[Tiền hàng]],0)</f>
        <v>0</v>
      </c>
      <c r="AJ64" s="17">
        <f>+Table_DonBan[[#This Row],[Tiền hàng]]-Table_DonBan[[#This Row],[Giá trị CK]]</f>
        <v>1900000</v>
      </c>
      <c r="AK64" s="17">
        <f>Table_DonBan[[#This Row],[Doanh thu ròng]]</f>
        <v>1900000</v>
      </c>
      <c r="AL64" s="17">
        <f>Table_DonBan[[#This Row],[Tiền hàng]]+Table_DonBan[[#This Row],[Tổng VAT]]-Table_DonBan[[#This Row],[Giá trị CK]]</f>
        <v>1900000</v>
      </c>
      <c r="AM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N64" s="536">
        <f>+IFERROR(
MAX(_xlfn._xlws.FILTER(Table_KHThanThiet_ChinhSach[Tỷ lệ điểm thưởng],
(Table_KHThanThiet_ChinhSach[Doanh thu tối thiểu]&lt;=Table_DonBan[[#This Row],[Doanh thu tính điểm]])
)),0)</f>
        <v>0.05</v>
      </c>
      <c r="AO64" s="17">
        <f xml:space="preserve">
Table_DonBan[[#This Row],[Tỷ lệ tính điểm]]*Table_DonBan[[#This Row],[Doanh thu ròng]]</f>
        <v>95000</v>
      </c>
      <c r="AP64" s="246">
        <f>COUNTA(_xlfn._xlws.FILTER(Table_DonBan[Mã Khách],
(Table_DonBan[Mã Khách]=Table_DonBan[[#This Row],[Mã Khách]])*
(Table_DonBan[Ngày lập]&lt;=Table_DonBan[[#This Row],[Ngày lập]])
))</f>
        <v>4</v>
      </c>
      <c r="AQ64" s="244"/>
      <c r="AR64" s="245">
        <f>Table_DonBan[[#This Row],[ĐK - Phân loại]]*Table_DonBan[[#This Row],[ĐK - Thời gian]]*Table_DonBan[[#This Row],[ĐK - Giá trị]]*Table_DonBan[[#This Row],[ĐK - Số lượng]]*Table_DonBan[[#This Row],[ĐK - Sinh nhật]]*Table_DonBan[[#This Row],[ĐK - Ngày mua cuối]]</f>
        <v>1</v>
      </c>
      <c r="AS64" s="245">
        <f xml:space="preserve">
IF(ISBLANK(Table_DonBan[[#This Row],[Chương trình]]),1,
IF(VLOOKUP(Table_DonBan[[#This Row],[Chương trình]],Table_ChuongTrinh[[Mã Chương trình]:[Đối tượng CK]],Sheet_ChuongTrinh!$C$1,0) = "Đơn hàng",1,0))</f>
        <v>1</v>
      </c>
      <c r="AT64"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4" s="245">
        <f>IF(ISBLANK(Table_DonBan[[#This Row],[Chương trình]]),
1,
IF(ISBLANK(VLOOKUP(Table_DonBan[[#This Row],[Chương trình]],Table_ChuongTrinh[],Sheet_ChuongTrinh!$J$1,0)),
1,
IF(Table_DonBan[[#This Row],[Tiền hàng]]&gt;= VLOOKUP(Table_DonBan[[#This Row],[Chương trình]],Table_ChuongTrinh[],Sheet_ChuongTrinh!$J$1,0),
1,
0)))</f>
        <v>1</v>
      </c>
      <c r="AV64"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4"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4"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4"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51" ht="18" customHeight="1" x14ac:dyDescent="0.3">
      <c r="T65" s="248"/>
      <c r="U65" s="51" t="str">
        <f>CONCATENATE("BAN-",Table_DonBan[[#This Row],[Mã Khách]],"-",MOD(YEAR(Table_DonBan[[#This Row],[Ngày lập]]),100)*10000+MONTH(Table_DonBan[[#This Row],[Ngày lập]])*100+DAY(Table_DonBan[[#This Row],[Ngày lập]]),"-",Table_DonBan[[#This Row],[TT]])</f>
        <v>BAN-KH1-250403-</v>
      </c>
      <c r="V65" s="411">
        <v>45750</v>
      </c>
      <c r="W65" s="411"/>
      <c r="X65" s="411"/>
      <c r="Y65" s="249" t="s">
        <v>1195</v>
      </c>
      <c r="Z65" s="244"/>
      <c r="AA65" s="244"/>
      <c r="AB65" s="17">
        <f>IFERROR(SUM(_xlfn._xlws.FILTER(Table_Main[Giá trị bán trước VAT],
(Table_Main[Đơn bán]=Table_DonBan[[#This Row],[Mã Đơn bán]]),
)),0)</f>
        <v>8400000</v>
      </c>
      <c r="AC65" s="17">
        <f>IFERROR(SUM(_xlfn._xlws.FILTER(Table_Main[VAT],
(Table_Main[Đơn bán]=Table_DonBan[[#This Row],[Mã Đơn bán]]),
)),0)</f>
        <v>0</v>
      </c>
      <c r="AD65" s="17" cm="1">
        <f t="array" ref="AD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5" s="418"/>
      <c r="AF65" s="246"/>
      <c r="AG65"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5" s="48">
        <f>(AB65/ABS(AB65))
*IFERROR(
IF(
ISBLANK(
VLOOKUP(
AF65,
Table_ChuongTrinh[],
COUNTA(Table_ChuongTrinh[[#Headers],[Mã Chương trình]:[Tỷ lệ CK]]),
0)
),
VLOOKUP(
AF65,
Table_ChuongTrinh[],
COUNTA(Table_ChuongTrinh[[#Headers],[Mã Chương trình]:[Giá trị CK]]),
0),
VLOOKUP(
AF65,
Table_ChuongTrinh[],
COUNTA(Table_ChuongTrinh[[#Headers],[Mã Chương trình]:[Tỷ lệ CK]]),
0)*ABS(AB65)
),
0)+AE65</f>
        <v>0</v>
      </c>
      <c r="AI65" s="17">
        <f>IFERROR(Table_DonBan[[#This Row],[VAT hàng]]-Table_DonBan[[#This Row],[VAT hàng]]*Table_DonBan[[#This Row],[Giá trị CK]]/Table_DonBan[[#This Row],[Tiền hàng]],0)</f>
        <v>0</v>
      </c>
      <c r="AJ65" s="17">
        <f>+Table_DonBan[[#This Row],[Tiền hàng]]-Table_DonBan[[#This Row],[Giá trị CK]]</f>
        <v>8400000</v>
      </c>
      <c r="AK65" s="17">
        <f>Table_DonBan[[#This Row],[Doanh thu ròng]]</f>
        <v>8400000</v>
      </c>
      <c r="AL65" s="17">
        <f>Table_DonBan[[#This Row],[Tiền hàng]]+Table_DonBan[[#This Row],[Tổng VAT]]-Table_DonBan[[#This Row],[Giá trị CK]]</f>
        <v>8400000</v>
      </c>
      <c r="AM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N65" s="536">
        <f>+IFERROR(
MAX(_xlfn._xlws.FILTER(Table_KHThanThiet_ChinhSach[Tỷ lệ điểm thưởng],
(Table_KHThanThiet_ChinhSach[Doanh thu tối thiểu]&lt;=Table_DonBan[[#This Row],[Doanh thu tính điểm]])
)),0)</f>
        <v>0</v>
      </c>
      <c r="AO65" s="17">
        <f xml:space="preserve">
Table_DonBan[[#This Row],[Tỷ lệ tính điểm]]*Table_DonBan[[#This Row],[Doanh thu ròng]]</f>
        <v>0</v>
      </c>
      <c r="AP65" s="246">
        <f>COUNTA(_xlfn._xlws.FILTER(Table_DonBan[Mã Khách],
(Table_DonBan[Mã Khách]=Table_DonBan[[#This Row],[Mã Khách]])*
(Table_DonBan[Ngày lập]&lt;=Table_DonBan[[#This Row],[Ngày lập]])
))</f>
        <v>3</v>
      </c>
      <c r="AQ65" s="244"/>
      <c r="AR65" s="245">
        <f>Table_DonBan[[#This Row],[ĐK - Phân loại]]*Table_DonBan[[#This Row],[ĐK - Thời gian]]*Table_DonBan[[#This Row],[ĐK - Giá trị]]*Table_DonBan[[#This Row],[ĐK - Số lượng]]*Table_DonBan[[#This Row],[ĐK - Sinh nhật]]*Table_DonBan[[#This Row],[ĐK - Ngày mua cuối]]</f>
        <v>1</v>
      </c>
      <c r="AS65" s="245">
        <f xml:space="preserve">
IF(ISBLANK(Table_DonBan[[#This Row],[Chương trình]]),1,
IF(VLOOKUP(Table_DonBan[[#This Row],[Chương trình]],Table_ChuongTrinh[[Mã Chương trình]:[Đối tượng CK]],Sheet_ChuongTrinh!$C$1,0) = "Đơn hàng",1,0))</f>
        <v>1</v>
      </c>
      <c r="AT65"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5" s="245">
        <f>IF(ISBLANK(Table_DonBan[[#This Row],[Chương trình]]),
1,
IF(ISBLANK(VLOOKUP(Table_DonBan[[#This Row],[Chương trình]],Table_ChuongTrinh[],Sheet_ChuongTrinh!$J$1,0)),
1,
IF(Table_DonBan[[#This Row],[Tiền hàng]]&gt;= VLOOKUP(Table_DonBan[[#This Row],[Chương trình]],Table_ChuongTrinh[],Sheet_ChuongTrinh!$J$1,0),
1,
0)))</f>
        <v>1</v>
      </c>
      <c r="AV65"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5"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5"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5"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51" ht="18" customHeight="1" x14ac:dyDescent="0.3">
      <c r="T66" s="248"/>
      <c r="U66" s="51" t="str">
        <f>CONCATENATE("BAN-",Table_DonBan[[#This Row],[Mã Khách]],"-",MOD(YEAR(Table_DonBan[[#This Row],[Ngày lập]]),100)*10000+MONTH(Table_DonBan[[#This Row],[Ngày lập]])*100+DAY(Table_DonBan[[#This Row],[Ngày lập]]),"-",Table_DonBan[[#This Row],[TT]])</f>
        <v>BAN-KH2-250330-</v>
      </c>
      <c r="V66" s="411">
        <v>45746</v>
      </c>
      <c r="W66" s="411"/>
      <c r="X66" s="411"/>
      <c r="Y66" s="249" t="s">
        <v>1196</v>
      </c>
      <c r="Z66" s="244"/>
      <c r="AA66" s="244"/>
      <c r="AB66" s="17">
        <f>IFERROR(SUM(_xlfn._xlws.FILTER(Table_Main[Giá trị bán trước VAT],
(Table_Main[Đơn bán]=Table_DonBan[[#This Row],[Mã Đơn bán]]),
)),0)</f>
        <v>15500000</v>
      </c>
      <c r="AC66" s="17">
        <f>IFERROR(SUM(_xlfn._xlws.FILTER(Table_Main[VAT],
(Table_Main[Đơn bán]=Table_DonBan[[#This Row],[Mã Đơn bán]]),
)),0)</f>
        <v>0</v>
      </c>
      <c r="AD66" s="17" cm="1">
        <f t="array" ref="AD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6" s="418"/>
      <c r="AF66" s="246"/>
      <c r="AG66"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6" s="48">
        <f>(AB66/ABS(AB66))
*IFERROR(
IF(
ISBLANK(
VLOOKUP(
AF66,
Table_ChuongTrinh[],
COUNTA(Table_ChuongTrinh[[#Headers],[Mã Chương trình]:[Tỷ lệ CK]]),
0)
),
VLOOKUP(
AF66,
Table_ChuongTrinh[],
COUNTA(Table_ChuongTrinh[[#Headers],[Mã Chương trình]:[Giá trị CK]]),
0),
VLOOKUP(
AF66,
Table_ChuongTrinh[],
COUNTA(Table_ChuongTrinh[[#Headers],[Mã Chương trình]:[Tỷ lệ CK]]),
0)*ABS(AB66)
),
0)+AE66</f>
        <v>0</v>
      </c>
      <c r="AI66" s="17">
        <f>IFERROR(Table_DonBan[[#This Row],[VAT hàng]]-Table_DonBan[[#This Row],[VAT hàng]]*Table_DonBan[[#This Row],[Giá trị CK]]/Table_DonBan[[#This Row],[Tiền hàng]],0)</f>
        <v>0</v>
      </c>
      <c r="AJ66" s="17">
        <f>+Table_DonBan[[#This Row],[Tiền hàng]]-Table_DonBan[[#This Row],[Giá trị CK]]</f>
        <v>15500000</v>
      </c>
      <c r="AK66" s="17">
        <f>Table_DonBan[[#This Row],[Doanh thu ròng]]</f>
        <v>15500000</v>
      </c>
      <c r="AL66" s="17">
        <f>Table_DonBan[[#This Row],[Tiền hàng]]+Table_DonBan[[#This Row],[Tổng VAT]]-Table_DonBan[[#This Row],[Giá trị CK]]</f>
        <v>15500000</v>
      </c>
      <c r="AM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N66" s="536">
        <f>+IFERROR(
MAX(_xlfn._xlws.FILTER(Table_KHThanThiet_ChinhSach[Tỷ lệ điểm thưởng],
(Table_KHThanThiet_ChinhSach[Doanh thu tối thiểu]&lt;=Table_DonBan[[#This Row],[Doanh thu tính điểm]])
)),0)</f>
        <v>0.03</v>
      </c>
      <c r="AO66" s="17">
        <f xml:space="preserve">
Table_DonBan[[#This Row],[Tỷ lệ tính điểm]]*Table_DonBan[[#This Row],[Doanh thu ròng]]</f>
        <v>465000</v>
      </c>
      <c r="AP66" s="246">
        <f>COUNTA(_xlfn._xlws.FILTER(Table_DonBan[Mã Khách],
(Table_DonBan[Mã Khách]=Table_DonBan[[#This Row],[Mã Khách]])*
(Table_DonBan[Ngày lập]&lt;=Table_DonBan[[#This Row],[Ngày lập]])
))</f>
        <v>3</v>
      </c>
      <c r="AQ66" s="244"/>
      <c r="AR66" s="245">
        <f>Table_DonBan[[#This Row],[ĐK - Phân loại]]*Table_DonBan[[#This Row],[ĐK - Thời gian]]*Table_DonBan[[#This Row],[ĐK - Giá trị]]*Table_DonBan[[#This Row],[ĐK - Số lượng]]*Table_DonBan[[#This Row],[ĐK - Sinh nhật]]*Table_DonBan[[#This Row],[ĐK - Ngày mua cuối]]</f>
        <v>1</v>
      </c>
      <c r="AS66" s="245">
        <f xml:space="preserve">
IF(ISBLANK(Table_DonBan[[#This Row],[Chương trình]]),1,
IF(VLOOKUP(Table_DonBan[[#This Row],[Chương trình]],Table_ChuongTrinh[[Mã Chương trình]:[Đối tượng CK]],Sheet_ChuongTrinh!$C$1,0) = "Đơn hàng",1,0))</f>
        <v>1</v>
      </c>
      <c r="AT66"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6" s="245">
        <f>IF(ISBLANK(Table_DonBan[[#This Row],[Chương trình]]),
1,
IF(ISBLANK(VLOOKUP(Table_DonBan[[#This Row],[Chương trình]],Table_ChuongTrinh[],Sheet_ChuongTrinh!$J$1,0)),
1,
IF(Table_DonBan[[#This Row],[Tiền hàng]]&gt;= VLOOKUP(Table_DonBan[[#This Row],[Chương trình]],Table_ChuongTrinh[],Sheet_ChuongTrinh!$J$1,0),
1,
0)))</f>
        <v>1</v>
      </c>
      <c r="AV66"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6"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6"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6"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51" ht="18" customHeight="1" x14ac:dyDescent="0.3">
      <c r="T67" s="248"/>
      <c r="U67" s="51" t="str">
        <f>CONCATENATE("BAN-",Table_DonBan[[#This Row],[Mã Khách]],"-",MOD(YEAR(Table_DonBan[[#This Row],[Ngày lập]]),100)*10000+MONTH(Table_DonBan[[#This Row],[Ngày lập]])*100+DAY(Table_DonBan[[#This Row],[Ngày lập]]),"-",Table_DonBan[[#This Row],[TT]])</f>
        <v>BAN-KH1-250327-</v>
      </c>
      <c r="V67" s="411">
        <v>45743</v>
      </c>
      <c r="W67" s="411"/>
      <c r="X67" s="411"/>
      <c r="Y67" s="249" t="s">
        <v>1195</v>
      </c>
      <c r="Z67" s="244"/>
      <c r="AA67" s="244"/>
      <c r="AB67" s="17">
        <f>IFERROR(SUM(_xlfn._xlws.FILTER(Table_Main[Giá trị bán trước VAT],
(Table_Main[Đơn bán]=Table_DonBan[[#This Row],[Mã Đơn bán]]),
)),0)</f>
        <v>4200000</v>
      </c>
      <c r="AC67" s="17">
        <f>IFERROR(SUM(_xlfn._xlws.FILTER(Table_Main[VAT],
(Table_Main[Đơn bán]=Table_DonBan[[#This Row],[Mã Đơn bán]]),
)),0)</f>
        <v>0</v>
      </c>
      <c r="AD67" s="17" cm="1">
        <f t="array" ref="AD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7" s="418"/>
      <c r="AF67" s="246"/>
      <c r="AG67"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7" s="48">
        <f>(AB67/ABS(AB67))
*IFERROR(
IF(
ISBLANK(
VLOOKUP(
AF67,
Table_ChuongTrinh[],
COUNTA(Table_ChuongTrinh[[#Headers],[Mã Chương trình]:[Tỷ lệ CK]]),
0)
),
VLOOKUP(
AF67,
Table_ChuongTrinh[],
COUNTA(Table_ChuongTrinh[[#Headers],[Mã Chương trình]:[Giá trị CK]]),
0),
VLOOKUP(
AF67,
Table_ChuongTrinh[],
COUNTA(Table_ChuongTrinh[[#Headers],[Mã Chương trình]:[Tỷ lệ CK]]),
0)*ABS(AB67)
),
0)+AE67</f>
        <v>0</v>
      </c>
      <c r="AI67" s="17">
        <f>IFERROR(Table_DonBan[[#This Row],[VAT hàng]]-Table_DonBan[[#This Row],[VAT hàng]]*Table_DonBan[[#This Row],[Giá trị CK]]/Table_DonBan[[#This Row],[Tiền hàng]],0)</f>
        <v>0</v>
      </c>
      <c r="AJ67" s="17">
        <f>+Table_DonBan[[#This Row],[Tiền hàng]]-Table_DonBan[[#This Row],[Giá trị CK]]</f>
        <v>4200000</v>
      </c>
      <c r="AK67" s="17">
        <f>Table_DonBan[[#This Row],[Doanh thu ròng]]</f>
        <v>4200000</v>
      </c>
      <c r="AL67" s="17">
        <f>Table_DonBan[[#This Row],[Tiền hàng]]+Table_DonBan[[#This Row],[Tổng VAT]]-Table_DonBan[[#This Row],[Giá trị CK]]</f>
        <v>4200000</v>
      </c>
      <c r="AM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N67" s="536">
        <f>+IFERROR(
MAX(_xlfn._xlws.FILTER(Table_KHThanThiet_ChinhSach[Tỷ lệ điểm thưởng],
(Table_KHThanThiet_ChinhSach[Doanh thu tối thiểu]&lt;=Table_DonBan[[#This Row],[Doanh thu tính điểm]])
)),0)</f>
        <v>0</v>
      </c>
      <c r="AO67" s="17">
        <f xml:space="preserve">
Table_DonBan[[#This Row],[Tỷ lệ tính điểm]]*Table_DonBan[[#This Row],[Doanh thu ròng]]</f>
        <v>0</v>
      </c>
      <c r="AP67" s="246">
        <f>COUNTA(_xlfn._xlws.FILTER(Table_DonBan[Mã Khách],
(Table_DonBan[Mã Khách]=Table_DonBan[[#This Row],[Mã Khách]])*
(Table_DonBan[Ngày lập]&lt;=Table_DonBan[[#This Row],[Ngày lập]])
))</f>
        <v>2</v>
      </c>
      <c r="AQ67" s="244"/>
      <c r="AR67" s="245">
        <f>Table_DonBan[[#This Row],[ĐK - Phân loại]]*Table_DonBan[[#This Row],[ĐK - Thời gian]]*Table_DonBan[[#This Row],[ĐK - Giá trị]]*Table_DonBan[[#This Row],[ĐK - Số lượng]]*Table_DonBan[[#This Row],[ĐK - Sinh nhật]]*Table_DonBan[[#This Row],[ĐK - Ngày mua cuối]]</f>
        <v>1</v>
      </c>
      <c r="AS67" s="245">
        <f xml:space="preserve">
IF(ISBLANK(Table_DonBan[[#This Row],[Chương trình]]),1,
IF(VLOOKUP(Table_DonBan[[#This Row],[Chương trình]],Table_ChuongTrinh[[Mã Chương trình]:[Đối tượng CK]],Sheet_ChuongTrinh!$C$1,0) = "Đơn hàng",1,0))</f>
        <v>1</v>
      </c>
      <c r="AT67"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7" s="245">
        <f>IF(ISBLANK(Table_DonBan[[#This Row],[Chương trình]]),
1,
IF(ISBLANK(VLOOKUP(Table_DonBan[[#This Row],[Chương trình]],Table_ChuongTrinh[],Sheet_ChuongTrinh!$J$1,0)),
1,
IF(Table_DonBan[[#This Row],[Tiền hàng]]&gt;= VLOOKUP(Table_DonBan[[#This Row],[Chương trình]],Table_ChuongTrinh[],Sheet_ChuongTrinh!$J$1,0),
1,
0)))</f>
        <v>1</v>
      </c>
      <c r="AV67"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7"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7"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7"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51" ht="18" customHeight="1" x14ac:dyDescent="0.3">
      <c r="T68" s="248"/>
      <c r="U68" s="51" t="str">
        <f>CONCATENATE("BAN-",Table_DonBan[[#This Row],[Mã Khách]],"-",MOD(YEAR(Table_DonBan[[#This Row],[Ngày lập]]),100)*10000+MONTH(Table_DonBan[[#This Row],[Ngày lập]])*100+DAY(Table_DonBan[[#This Row],[Ngày lập]]),"-",Table_DonBan[[#This Row],[TT]])</f>
        <v>BAN-KH3-250325-</v>
      </c>
      <c r="V68" s="411">
        <v>45741</v>
      </c>
      <c r="W68" s="411"/>
      <c r="X68" s="411"/>
      <c r="Y68" s="249" t="s">
        <v>1197</v>
      </c>
      <c r="Z68" s="244"/>
      <c r="AA68" s="244"/>
      <c r="AB68" s="17">
        <f>IFERROR(SUM(_xlfn._xlws.FILTER(Table_Main[Giá trị bán trước VAT],
(Table_Main[Đơn bán]=Table_DonBan[[#This Row],[Mã Đơn bán]]),
)),0)</f>
        <v>3000000</v>
      </c>
      <c r="AC68" s="17">
        <f>IFERROR(SUM(_xlfn._xlws.FILTER(Table_Main[VAT],
(Table_Main[Đơn bán]=Table_DonBan[[#This Row],[Mã Đơn bán]]),
)),0)</f>
        <v>0</v>
      </c>
      <c r="AD68" s="17" cm="1">
        <f t="array" ref="AD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8" s="418"/>
      <c r="AF68" s="246"/>
      <c r="AG68"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8" s="48">
        <f>(AB68/ABS(AB68))
*IFERROR(
IF(
ISBLANK(
VLOOKUP(
AF68,
Table_ChuongTrinh[],
COUNTA(Table_ChuongTrinh[[#Headers],[Mã Chương trình]:[Tỷ lệ CK]]),
0)
),
VLOOKUP(
AF68,
Table_ChuongTrinh[],
COUNTA(Table_ChuongTrinh[[#Headers],[Mã Chương trình]:[Giá trị CK]]),
0),
VLOOKUP(
AF68,
Table_ChuongTrinh[],
COUNTA(Table_ChuongTrinh[[#Headers],[Mã Chương trình]:[Tỷ lệ CK]]),
0)*ABS(AB68)
),
0)+AE68</f>
        <v>0</v>
      </c>
      <c r="AI68" s="17">
        <f>IFERROR(Table_DonBan[[#This Row],[VAT hàng]]-Table_DonBan[[#This Row],[VAT hàng]]*Table_DonBan[[#This Row],[Giá trị CK]]/Table_DonBan[[#This Row],[Tiền hàng]],0)</f>
        <v>0</v>
      </c>
      <c r="AJ68" s="17">
        <f>+Table_DonBan[[#This Row],[Tiền hàng]]-Table_DonBan[[#This Row],[Giá trị CK]]</f>
        <v>3000000</v>
      </c>
      <c r="AK68" s="17">
        <f>Table_DonBan[[#This Row],[Doanh thu ròng]]</f>
        <v>3000000</v>
      </c>
      <c r="AL68" s="17">
        <f>Table_DonBan[[#This Row],[Tiền hàng]]+Table_DonBan[[#This Row],[Tổng VAT]]-Table_DonBan[[#This Row],[Giá trị CK]]</f>
        <v>3000000</v>
      </c>
      <c r="AM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68" s="536">
        <f>+IFERROR(
MAX(_xlfn._xlws.FILTER(Table_KHThanThiet_ChinhSach[Tỷ lệ điểm thưởng],
(Table_KHThanThiet_ChinhSach[Doanh thu tối thiểu]&lt;=Table_DonBan[[#This Row],[Doanh thu tính điểm]])
)),0)</f>
        <v>0</v>
      </c>
      <c r="AO68" s="17">
        <f xml:space="preserve">
Table_DonBan[[#This Row],[Tỷ lệ tính điểm]]*Table_DonBan[[#This Row],[Doanh thu ròng]]</f>
        <v>0</v>
      </c>
      <c r="AP68" s="246">
        <f>COUNTA(_xlfn._xlws.FILTER(Table_DonBan[Mã Khách],
(Table_DonBan[Mã Khách]=Table_DonBan[[#This Row],[Mã Khách]])*
(Table_DonBan[Ngày lập]&lt;=Table_DonBan[[#This Row],[Ngày lập]])
))</f>
        <v>1</v>
      </c>
      <c r="AQ68" s="244"/>
      <c r="AR68" s="245">
        <f>Table_DonBan[[#This Row],[ĐK - Phân loại]]*Table_DonBan[[#This Row],[ĐK - Thời gian]]*Table_DonBan[[#This Row],[ĐK - Giá trị]]*Table_DonBan[[#This Row],[ĐK - Số lượng]]*Table_DonBan[[#This Row],[ĐK - Sinh nhật]]*Table_DonBan[[#This Row],[ĐK - Ngày mua cuối]]</f>
        <v>1</v>
      </c>
      <c r="AS68" s="245">
        <f xml:space="preserve">
IF(ISBLANK(Table_DonBan[[#This Row],[Chương trình]]),1,
IF(VLOOKUP(Table_DonBan[[#This Row],[Chương trình]],Table_ChuongTrinh[[Mã Chương trình]:[Đối tượng CK]],Sheet_ChuongTrinh!$C$1,0) = "Đơn hàng",1,0))</f>
        <v>1</v>
      </c>
      <c r="AT68"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8" s="245">
        <f>IF(ISBLANK(Table_DonBan[[#This Row],[Chương trình]]),
1,
IF(ISBLANK(VLOOKUP(Table_DonBan[[#This Row],[Chương trình]],Table_ChuongTrinh[],Sheet_ChuongTrinh!$J$1,0)),
1,
IF(Table_DonBan[[#This Row],[Tiền hàng]]&gt;= VLOOKUP(Table_DonBan[[#This Row],[Chương trình]],Table_ChuongTrinh[],Sheet_ChuongTrinh!$J$1,0),
1,
0)))</f>
        <v>1</v>
      </c>
      <c r="AV68"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8"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8"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8"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51" ht="18" customHeight="1" x14ac:dyDescent="0.3">
      <c r="T69" s="248"/>
      <c r="U69" s="51" t="str">
        <f>CONCATENATE("BAN-",Table_DonBan[[#This Row],[Mã Khách]],"-",MOD(YEAR(Table_DonBan[[#This Row],[Ngày lập]]),100)*10000+MONTH(Table_DonBan[[#This Row],[Ngày lập]])*100+DAY(Table_DonBan[[#This Row],[Ngày lập]]),"-",Table_DonBan[[#This Row],[TT]])</f>
        <v>BAN-KH1-250320-</v>
      </c>
      <c r="V69" s="411">
        <v>45736</v>
      </c>
      <c r="W69" s="411"/>
      <c r="X69" s="411"/>
      <c r="Y69" s="249" t="s">
        <v>1195</v>
      </c>
      <c r="Z69" s="244"/>
      <c r="AA69" s="244"/>
      <c r="AB69" s="17">
        <f>IFERROR(SUM(_xlfn._xlws.FILTER(Table_Main[Giá trị bán trước VAT],
(Table_Main[Đơn bán]=Table_DonBan[[#This Row],[Mã Đơn bán]]),
)),0)</f>
        <v>100000</v>
      </c>
      <c r="AC69" s="17">
        <f>IFERROR(SUM(_xlfn._xlws.FILTER(Table_Main[VAT],
(Table_Main[Đơn bán]=Table_DonBan[[#This Row],[Mã Đơn bán]]),
)),0)</f>
        <v>0</v>
      </c>
      <c r="AD69" s="17" cm="1">
        <f t="array" ref="AD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69" s="418"/>
      <c r="AF69" s="246"/>
      <c r="AG69"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69" s="48">
        <f>(AB69/ABS(AB69))
*IFERROR(
IF(
ISBLANK(
VLOOKUP(
AF69,
Table_ChuongTrinh[],
COUNTA(Table_ChuongTrinh[[#Headers],[Mã Chương trình]:[Tỷ lệ CK]]),
0)
),
VLOOKUP(
AF69,
Table_ChuongTrinh[],
COUNTA(Table_ChuongTrinh[[#Headers],[Mã Chương trình]:[Giá trị CK]]),
0),
VLOOKUP(
AF69,
Table_ChuongTrinh[],
COUNTA(Table_ChuongTrinh[[#Headers],[Mã Chương trình]:[Tỷ lệ CK]]),
0)*ABS(AB69)
),
0)+AE69</f>
        <v>0</v>
      </c>
      <c r="AI69" s="17">
        <f>IFERROR(Table_DonBan[[#This Row],[VAT hàng]]-Table_DonBan[[#This Row],[VAT hàng]]*Table_DonBan[[#This Row],[Giá trị CK]]/Table_DonBan[[#This Row],[Tiền hàng]],0)</f>
        <v>0</v>
      </c>
      <c r="AJ69" s="17">
        <f>+Table_DonBan[[#This Row],[Tiền hàng]]-Table_DonBan[[#This Row],[Giá trị CK]]</f>
        <v>100000</v>
      </c>
      <c r="AK69" s="17">
        <f>Table_DonBan[[#This Row],[Doanh thu ròng]]</f>
        <v>100000</v>
      </c>
      <c r="AL69" s="17">
        <f>Table_DonBan[[#This Row],[Tiền hàng]]+Table_DonBan[[#This Row],[Tổng VAT]]-Table_DonBan[[#This Row],[Giá trị CK]]</f>
        <v>100000</v>
      </c>
      <c r="AM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69" s="536">
        <f>+IFERROR(
MAX(_xlfn._xlws.FILTER(Table_KHThanThiet_ChinhSach[Tỷ lệ điểm thưởng],
(Table_KHThanThiet_ChinhSach[Doanh thu tối thiểu]&lt;=Table_DonBan[[#This Row],[Doanh thu tính điểm]])
)),0)</f>
        <v>0</v>
      </c>
      <c r="AO69" s="17">
        <f xml:space="preserve">
Table_DonBan[[#This Row],[Tỷ lệ tính điểm]]*Table_DonBan[[#This Row],[Doanh thu ròng]]</f>
        <v>0</v>
      </c>
      <c r="AP69" s="246">
        <f>COUNTA(_xlfn._xlws.FILTER(Table_DonBan[Mã Khách],
(Table_DonBan[Mã Khách]=Table_DonBan[[#This Row],[Mã Khách]])*
(Table_DonBan[Ngày lập]&lt;=Table_DonBan[[#This Row],[Ngày lập]])
))</f>
        <v>1</v>
      </c>
      <c r="AQ69" s="244"/>
      <c r="AR69" s="245">
        <f>Table_DonBan[[#This Row],[ĐK - Phân loại]]*Table_DonBan[[#This Row],[ĐK - Thời gian]]*Table_DonBan[[#This Row],[ĐK - Giá trị]]*Table_DonBan[[#This Row],[ĐK - Số lượng]]*Table_DonBan[[#This Row],[ĐK - Sinh nhật]]*Table_DonBan[[#This Row],[ĐK - Ngày mua cuối]]</f>
        <v>1</v>
      </c>
      <c r="AS69" s="245">
        <f xml:space="preserve">
IF(ISBLANK(Table_DonBan[[#This Row],[Chương trình]]),1,
IF(VLOOKUP(Table_DonBan[[#This Row],[Chương trình]],Table_ChuongTrinh[[Mã Chương trình]:[Đối tượng CK]],Sheet_ChuongTrinh!$C$1,0) = "Đơn hàng",1,0))</f>
        <v>1</v>
      </c>
      <c r="AT69"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69" s="245">
        <f>IF(ISBLANK(Table_DonBan[[#This Row],[Chương trình]]),
1,
IF(ISBLANK(VLOOKUP(Table_DonBan[[#This Row],[Chương trình]],Table_ChuongTrinh[],Sheet_ChuongTrinh!$J$1,0)),
1,
IF(Table_DonBan[[#This Row],[Tiền hàng]]&gt;= VLOOKUP(Table_DonBan[[#This Row],[Chương trình]],Table_ChuongTrinh[],Sheet_ChuongTrinh!$J$1,0),
1,
0)))</f>
        <v>1</v>
      </c>
      <c r="AV69"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69"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69"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69"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51" ht="18" customHeight="1" x14ac:dyDescent="0.3">
      <c r="T70" s="248"/>
      <c r="U70" s="51" t="str">
        <f>CONCATENATE("BAN-",Table_DonBan[[#This Row],[Mã Khách]],"-",MOD(YEAR(Table_DonBan[[#This Row],[Ngày lập]]),100)*10000+MONTH(Table_DonBan[[#This Row],[Ngày lập]])*100+DAY(Table_DonBan[[#This Row],[Ngày lập]]),"-",Table_DonBan[[#This Row],[TT]])</f>
        <v>BAN-KH2-250319-</v>
      </c>
      <c r="V70" s="411">
        <v>45735</v>
      </c>
      <c r="W70" s="411"/>
      <c r="X70" s="411"/>
      <c r="Y70" s="249" t="s">
        <v>1196</v>
      </c>
      <c r="Z70" s="244"/>
      <c r="AA70" s="244"/>
      <c r="AB70" s="17">
        <f>IFERROR(SUM(_xlfn._xlws.FILTER(Table_Main[Giá trị bán trước VAT],
(Table_Main[Đơn bán]=Table_DonBan[[#This Row],[Mã Đơn bán]]),
)),0)</f>
        <v>24000000</v>
      </c>
      <c r="AC70" s="17">
        <f>IFERROR(SUM(_xlfn._xlws.FILTER(Table_Main[VAT],
(Table_Main[Đơn bán]=Table_DonBan[[#This Row],[Mã Đơn bán]]),
)),0)</f>
        <v>0</v>
      </c>
      <c r="AD70" s="17" cm="1">
        <f t="array" ref="AD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70" s="418"/>
      <c r="AF70" s="246"/>
      <c r="AG70"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70" s="48">
        <f>(AB70/ABS(AB70))
*IFERROR(
IF(
ISBLANK(
VLOOKUP(
AF70,
Table_ChuongTrinh[],
COUNTA(Table_ChuongTrinh[[#Headers],[Mã Chương trình]:[Tỷ lệ CK]]),
0)
),
VLOOKUP(
AF70,
Table_ChuongTrinh[],
COUNTA(Table_ChuongTrinh[[#Headers],[Mã Chương trình]:[Giá trị CK]]),
0),
VLOOKUP(
AF70,
Table_ChuongTrinh[],
COUNTA(Table_ChuongTrinh[[#Headers],[Mã Chương trình]:[Tỷ lệ CK]]),
0)*ABS(AB70)
),
0)+AE70</f>
        <v>0</v>
      </c>
      <c r="AI70" s="17">
        <f>IFERROR(Table_DonBan[[#This Row],[VAT hàng]]-Table_DonBan[[#This Row],[VAT hàng]]*Table_DonBan[[#This Row],[Giá trị CK]]/Table_DonBan[[#This Row],[Tiền hàng]],0)</f>
        <v>0</v>
      </c>
      <c r="AJ70" s="17">
        <f>+Table_DonBan[[#This Row],[Tiền hàng]]-Table_DonBan[[#This Row],[Giá trị CK]]</f>
        <v>24000000</v>
      </c>
      <c r="AK70" s="17">
        <f>Table_DonBan[[#This Row],[Doanh thu ròng]]</f>
        <v>24000000</v>
      </c>
      <c r="AL70" s="17">
        <f>Table_DonBan[[#This Row],[Tiền hàng]]+Table_DonBan[[#This Row],[Tổng VAT]]-Table_DonBan[[#This Row],[Giá trị CK]]</f>
        <v>24000000</v>
      </c>
      <c r="AM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N70" s="536">
        <f>+IFERROR(
MAX(_xlfn._xlws.FILTER(Table_KHThanThiet_ChinhSach[Tỷ lệ điểm thưởng],
(Table_KHThanThiet_ChinhSach[Doanh thu tối thiểu]&lt;=Table_DonBan[[#This Row],[Doanh thu tính điểm]])
)),0)</f>
        <v>0</v>
      </c>
      <c r="AO70" s="17">
        <f xml:space="preserve">
Table_DonBan[[#This Row],[Tỷ lệ tính điểm]]*Table_DonBan[[#This Row],[Doanh thu ròng]]</f>
        <v>0</v>
      </c>
      <c r="AP70" s="246">
        <f>COUNTA(_xlfn._xlws.FILTER(Table_DonBan[Mã Khách],
(Table_DonBan[Mã Khách]=Table_DonBan[[#This Row],[Mã Khách]])*
(Table_DonBan[Ngày lập]&lt;=Table_DonBan[[#This Row],[Ngày lập]])
))</f>
        <v>2</v>
      </c>
      <c r="AQ70" s="244"/>
      <c r="AR70" s="245">
        <f>Table_DonBan[[#This Row],[ĐK - Phân loại]]*Table_DonBan[[#This Row],[ĐK - Thời gian]]*Table_DonBan[[#This Row],[ĐK - Giá trị]]*Table_DonBan[[#This Row],[ĐK - Số lượng]]*Table_DonBan[[#This Row],[ĐK - Sinh nhật]]*Table_DonBan[[#This Row],[ĐK - Ngày mua cuối]]</f>
        <v>1</v>
      </c>
      <c r="AS70" s="245">
        <f xml:space="preserve">
IF(ISBLANK(Table_DonBan[[#This Row],[Chương trình]]),1,
IF(VLOOKUP(Table_DonBan[[#This Row],[Chương trình]],Table_ChuongTrinh[[Mã Chương trình]:[Đối tượng CK]],Sheet_ChuongTrinh!$C$1,0) = "Đơn hàng",1,0))</f>
        <v>1</v>
      </c>
      <c r="AT70"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70" s="245">
        <f>IF(ISBLANK(Table_DonBan[[#This Row],[Chương trình]]),
1,
IF(ISBLANK(VLOOKUP(Table_DonBan[[#This Row],[Chương trình]],Table_ChuongTrinh[],Sheet_ChuongTrinh!$J$1,0)),
1,
IF(Table_DonBan[[#This Row],[Tiền hàng]]&gt;= VLOOKUP(Table_DonBan[[#This Row],[Chương trình]],Table_ChuongTrinh[],Sheet_ChuongTrinh!$J$1,0),
1,
0)))</f>
        <v>1</v>
      </c>
      <c r="AV70"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70"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70"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70"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51" ht="18" customHeight="1" x14ac:dyDescent="0.3">
      <c r="T71" s="248"/>
      <c r="U71" s="51" t="str">
        <f>CONCATENATE("BAN-",Table_DonBan[[#This Row],[Mã Khách]],"-",MOD(YEAR(Table_DonBan[[#This Row],[Ngày lập]]),100)*10000+MONTH(Table_DonBan[[#This Row],[Ngày lập]])*100+DAY(Table_DonBan[[#This Row],[Ngày lập]]),"-",Table_DonBan[[#This Row],[TT]])</f>
        <v>BAN-KH2-250313-</v>
      </c>
      <c r="V71" s="411">
        <v>45729</v>
      </c>
      <c r="W71" s="411"/>
      <c r="X71" s="411"/>
      <c r="Y71" s="249" t="s">
        <v>1196</v>
      </c>
      <c r="Z71" s="244"/>
      <c r="AA71" s="244"/>
      <c r="AB71" s="17">
        <f>IFERROR(SUM(_xlfn._xlws.FILTER(Table_Main[Giá trị bán trước VAT],
(Table_Main[Đơn bán]=Table_DonBan[[#This Row],[Mã Đơn bán]]),
)),0)</f>
        <v>3900000</v>
      </c>
      <c r="AC71" s="17">
        <f>IFERROR(SUM(_xlfn._xlws.FILTER(Table_Main[VAT],
(Table_Main[Đơn bán]=Table_DonBan[[#This Row],[Mã Đơn bán]]),
)),0)</f>
        <v>0</v>
      </c>
      <c r="AD71" s="17" cm="1">
        <f t="array" ref="AD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E71" s="418"/>
      <c r="AF71" s="246"/>
      <c r="AG71" s="535">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H71" s="48">
        <f>(AB71/ABS(AB71))
*IFERROR(
IF(
ISBLANK(
VLOOKUP(
AF71,
Table_ChuongTrinh[],
COUNTA(Table_ChuongTrinh[[#Headers],[Mã Chương trình]:[Tỷ lệ CK]]),
0)
),
VLOOKUP(
AF71,
Table_ChuongTrinh[],
COUNTA(Table_ChuongTrinh[[#Headers],[Mã Chương trình]:[Giá trị CK]]),
0),
VLOOKUP(
AF71,
Table_ChuongTrinh[],
COUNTA(Table_ChuongTrinh[[#Headers],[Mã Chương trình]:[Tỷ lệ CK]]),
0)*ABS(AB71)
),
0)+AE71</f>
        <v>0</v>
      </c>
      <c r="AI71" s="17">
        <f>IFERROR(Table_DonBan[[#This Row],[VAT hàng]]-Table_DonBan[[#This Row],[VAT hàng]]*Table_DonBan[[#This Row],[Giá trị CK]]/Table_DonBan[[#This Row],[Tiền hàng]],0)</f>
        <v>0</v>
      </c>
      <c r="AJ71" s="17">
        <f>+Table_DonBan[[#This Row],[Tiền hàng]]-Table_DonBan[[#This Row],[Giá trị CK]]</f>
        <v>3900000</v>
      </c>
      <c r="AK71" s="17">
        <f>Table_DonBan[[#This Row],[Doanh thu ròng]]</f>
        <v>3900000</v>
      </c>
      <c r="AL71" s="17">
        <f>Table_DonBan[[#This Row],[Tiền hàng]]+Table_DonBan[[#This Row],[Tổng VAT]]-Table_DonBan[[#This Row],[Giá trị CK]]</f>
        <v>3900000</v>
      </c>
      <c r="AM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N71" s="536">
        <f>+IFERROR(
MAX(_xlfn._xlws.FILTER(Table_KHThanThiet_ChinhSach[Tỷ lệ điểm thưởng],
(Table_KHThanThiet_ChinhSach[Doanh thu tối thiểu]&lt;=Table_DonBan[[#This Row],[Doanh thu tính điểm]])
)),0)</f>
        <v>0</v>
      </c>
      <c r="AO71" s="17">
        <f xml:space="preserve">
Table_DonBan[[#This Row],[Tỷ lệ tính điểm]]*Table_DonBan[[#This Row],[Doanh thu ròng]]</f>
        <v>0</v>
      </c>
      <c r="AP71" s="246">
        <f>COUNTA(_xlfn._xlws.FILTER(Table_DonBan[Mã Khách],
(Table_DonBan[Mã Khách]=Table_DonBan[[#This Row],[Mã Khách]])*
(Table_DonBan[Ngày lập]&lt;=Table_DonBan[[#This Row],[Ngày lập]])
))</f>
        <v>1</v>
      </c>
      <c r="AQ71" s="244"/>
      <c r="AR71" s="245">
        <f>Table_DonBan[[#This Row],[ĐK - Phân loại]]*Table_DonBan[[#This Row],[ĐK - Thời gian]]*Table_DonBan[[#This Row],[ĐK - Giá trị]]*Table_DonBan[[#This Row],[ĐK - Số lượng]]*Table_DonBan[[#This Row],[ĐK - Sinh nhật]]*Table_DonBan[[#This Row],[ĐK - Ngày mua cuối]]</f>
        <v>1</v>
      </c>
      <c r="AS71" s="245">
        <f xml:space="preserve">
IF(ISBLANK(Table_DonBan[[#This Row],[Chương trình]]),1,
IF(VLOOKUP(Table_DonBan[[#This Row],[Chương trình]],Table_ChuongTrinh[[Mã Chương trình]:[Đối tượng CK]],Sheet_ChuongTrinh!$C$1,0) = "Đơn hàng",1,0))</f>
        <v>1</v>
      </c>
      <c r="AT71" s="245">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U71" s="245">
        <f>IF(ISBLANK(Table_DonBan[[#This Row],[Chương trình]]),
1,
IF(ISBLANK(VLOOKUP(Table_DonBan[[#This Row],[Chương trình]],Table_ChuongTrinh[],Sheet_ChuongTrinh!$J$1,0)),
1,
IF(Table_DonBan[[#This Row],[Tiền hàng]]&gt;= VLOOKUP(Table_DonBan[[#This Row],[Chương trình]],Table_ChuongTrinh[],Sheet_ChuongTrinh!$J$1,0),
1,
0)))</f>
        <v>1</v>
      </c>
      <c r="AV71" s="245">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W71" s="245">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X71" s="245">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Y71" s="537">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1efedDumPj4sF0LORJJM3pW23PZJO/f0IPfzBDRVhE89gH7stvSrUeEZo3cumVeO/vt7fb9ivGSwOzUsqpXOFA==" saltValue="RdxsUTpVU3C7XnRpu5tDfw==" spinCount="100000" sheet="1" scenarios="1" formatCells="0" formatColumns="0" formatRows="0" insertColumns="0" insertRows="0" deleteColumns="0" deleteRows="0" sort="0" autoFilter="0" pivotTables="0"/>
  <protectedRanges>
    <protectedRange sqref="AY1:XFD1 AZ2:XFD3 AQ10:AX28 T10:T14 S10:S28 AZ8:XFD28 AQ29:AY46 BA29:XFD1048576 S8:AX9 S2:AX3 T72:AY1048576 U10:AP46 AP47:AV71 U47:AM71 T16:T71 AY47:AY71 AY4:XFD7" name="Range1"/>
    <protectedRange sqref="P33 E11:E13 D10:F10 F37:O37 G10:H14 F16:H29 F14 P16:R32 F1:Q3 F30:F32 F34:F36 I10:O29 C3 P34:R34 P10:Q15 R36:R43 P36:Q40 G38:N43 O38:O40 O43:Q43 O41:Q41 D1:D3 C1 C9:E9 G9:Q9 S29:S1048576 F44:R1048576 B10:C1048576 D14:E1048576 R1:R14 B5 B1:B4 B6:B9 P5:Q5 P4:Q4 P6:Q8 C5:D5 C4:D4 C6:D8 F4:F7" name="Range1_1"/>
    <protectedRange sqref="F33 Q33:R33" name="Range1_1_1"/>
    <protectedRange sqref="F8" name="Range1_1_3"/>
    <protectedRange sqref="AC47:AE71" name="Range1_2"/>
    <protectedRange sqref="AI47:AK71" name="Range1_3"/>
    <protectedRange sqref="AW47:AX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24" priority="13">
      <formula>$H17=0</formula>
    </cfRule>
  </conditionalFormatting>
  <conditionalFormatting sqref="P33">
    <cfRule type="expression" dxfId="423" priority="12">
      <formula>$H$33=0</formula>
    </cfRule>
  </conditionalFormatting>
  <conditionalFormatting sqref="AF46">
    <cfRule type="expression" dxfId="422" priority="2">
      <formula>$AR$46=0</formula>
    </cfRule>
  </conditionalFormatting>
  <conditionalFormatting sqref="AF48:AF71">
    <cfRule type="expression" dxfId="421" priority="771">
      <formula>#REF!=0</formula>
    </cfRule>
  </conditionalFormatting>
  <conditionalFormatting sqref="P4:Q4">
    <cfRule type="expression" dxfId="420" priority="834">
      <formula>MATCH($P$4,$U$48:$U$71,0)</formula>
    </cfRule>
  </conditionalFormatting>
  <dataValidations count="14">
    <dataValidation type="list" allowBlank="1" showInputMessage="1" showErrorMessage="1" sqref="AF45:AF46 G17:G28 P33" xr:uid="{1A4A1E2F-8BF1-413B-9F19-13DEBA41E839}">
      <formula1>MaChuongTrinh</formula1>
    </dataValidation>
    <dataValidation type="list" allowBlank="1" showInputMessage="1" showErrorMessage="1" sqref="Y45:Y46" xr:uid="{262EFF9A-29A8-4696-A139-EF8DBDD3520B}">
      <formula1>MaKhachHang</formula1>
    </dataValidation>
    <dataValidation type="list" allowBlank="1" showInputMessage="1" showErrorMessage="1" sqref="Z45:Z46" xr:uid="{6692479C-D38F-4902-BCCC-F1ED162D6D92}">
      <formula1>MaNhanVien</formula1>
    </dataValidation>
    <dataValidation type="list" allowBlank="1" showInputMessage="1" showErrorMessage="1" sqref="AA45:AA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Y48:Y71" xr:uid="{17BB0627-AD52-42A3-9704-B75907087A49}">
      <formula1>MaKhachHang</formula1>
    </dataValidation>
    <dataValidation type="list" allowBlank="1" showInputMessage="1" sqref="Z48:Z71" xr:uid="{6C62CF4A-0114-49D1-9D9F-3C2D8CA9D9CC}">
      <formula1>MaNhanVien</formula1>
    </dataValidation>
    <dataValidation type="list" allowBlank="1" showInputMessage="1" sqref="AA48:AA71" xr:uid="{9B440006-E58C-4244-B011-62DC0F82B99F}">
      <formula1>MaKenh</formula1>
    </dataValidation>
    <dataValidation type="list" allowBlank="1" showInputMessage="1" sqref="AF48:AF71" xr:uid="{3D679D18-75AA-4823-813C-6A4FD660991C}">
      <formula1>MaChuongTrinh</formula1>
    </dataValidation>
    <dataValidation type="custom" allowBlank="1" showInputMessage="1" showErrorMessage="1" sqref="O10:P10" xr:uid="{706A4A22-B8C1-4A6C-A618-01A1DA203B84}">
      <formula1>O10&lt;&gt;BT:BT</formula1>
    </dataValidation>
    <dataValidation type="custom" allowBlank="1" showInputMessage="1" showErrorMessage="1" sqref="Q10:R10" xr:uid="{35423751-BF6B-478A-8977-A1B156D65DC3}">
      <formula1>Q10&lt;&gt;BU:BU</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42</xdr:col>
                    <xdr:colOff>161925</xdr:colOff>
                    <xdr:row>0</xdr:row>
                    <xdr:rowOff>85725</xdr:rowOff>
                  </from>
                  <to>
                    <xdr:col>50</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50</xdr:col>
                    <xdr:colOff>295275</xdr:colOff>
                    <xdr:row>0</xdr:row>
                    <xdr:rowOff>85725</xdr:rowOff>
                  </from>
                  <to>
                    <xdr:col>51</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27</xdr:col>
                    <xdr:colOff>9525</xdr:colOff>
                    <xdr:row>0</xdr:row>
                    <xdr:rowOff>152400</xdr:rowOff>
                  </from>
                  <to>
                    <xdr:col>27</xdr:col>
                    <xdr:colOff>600075</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27</xdr:col>
                    <xdr:colOff>476250</xdr:colOff>
                    <xdr:row>0</xdr:row>
                    <xdr:rowOff>152400</xdr:rowOff>
                  </from>
                  <to>
                    <xdr:col>28</xdr:col>
                    <xdr:colOff>381000</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28</xdr:col>
                    <xdr:colOff>257175</xdr:colOff>
                    <xdr:row>0</xdr:row>
                    <xdr:rowOff>152400</xdr:rowOff>
                  </from>
                  <to>
                    <xdr:col>29</xdr:col>
                    <xdr:colOff>161925</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29</xdr:col>
                    <xdr:colOff>47625</xdr:colOff>
                    <xdr:row>0</xdr:row>
                    <xdr:rowOff>152400</xdr:rowOff>
                  </from>
                  <to>
                    <xdr:col>29</xdr:col>
                    <xdr:colOff>400050</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26</xdr:col>
                    <xdr:colOff>581025</xdr:colOff>
                    <xdr:row>0</xdr:row>
                    <xdr:rowOff>104775</xdr:rowOff>
                  </from>
                  <to>
                    <xdr:col>29</xdr:col>
                    <xdr:colOff>514350</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24</xdr:col>
                    <xdr:colOff>247650</xdr:colOff>
                    <xdr:row>0</xdr:row>
                    <xdr:rowOff>104775</xdr:rowOff>
                  </from>
                  <to>
                    <xdr:col>26</xdr:col>
                    <xdr:colOff>533400</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24</xdr:col>
                    <xdr:colOff>333375</xdr:colOff>
                    <xdr:row>0</xdr:row>
                    <xdr:rowOff>200025</xdr:rowOff>
                  </from>
                  <to>
                    <xdr:col>25</xdr:col>
                    <xdr:colOff>114300</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25</xdr:col>
                    <xdr:colOff>161925</xdr:colOff>
                    <xdr:row>0</xdr:row>
                    <xdr:rowOff>200025</xdr:rowOff>
                  </from>
                  <to>
                    <xdr:col>25</xdr:col>
                    <xdr:colOff>628650</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25</xdr:col>
                    <xdr:colOff>676275</xdr:colOff>
                    <xdr:row>0</xdr:row>
                    <xdr:rowOff>200025</xdr:rowOff>
                  </from>
                  <to>
                    <xdr:col>26</xdr:col>
                    <xdr:colOff>457200</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42</xdr:col>
                    <xdr:colOff>9525</xdr:colOff>
                    <xdr:row>44</xdr:row>
                    <xdr:rowOff>95250</xdr:rowOff>
                  </from>
                  <to>
                    <xdr:col>50</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1C28E9F8-9639-4AF1-8DAE-8C7858C0B2F9}">
            <xm:f>Security!$A$1="NO VBA"</xm:f>
            <x14:dxf>
              <font>
                <color theme="0"/>
              </font>
              <border>
                <vertical/>
                <horizontal/>
              </border>
            </x14:dxf>
          </x14:cfRule>
          <xm:sqref>A9:E9 G9:XFD9 AP47 A10:XFD44 A48:S1048576 AZ47:XFD1048576 T72:AY1048576 AP48:AY71 T48:U71 A45:V47 Y45:XFD46 Y47:AL71 A1:XFD8</xm:sqref>
        </x14:conditionalFormatting>
        <x14:conditionalFormatting xmlns:xm="http://schemas.microsoft.com/office/excel/2006/main">
          <x14:cfRule type="expression" priority="5" id="{BA35EF14-362F-445D-A117-9F372E1F5D87}">
            <xm:f>Security!$A$1="NO VBA"</xm:f>
            <x14:dxf>
              <font>
                <color theme="0"/>
              </font>
              <border>
                <vertical/>
                <horizontal/>
              </border>
            </x14:dxf>
          </x14:cfRule>
          <xm:sqref>AQ47:AV47 AY47</xm:sqref>
        </x14:conditionalFormatting>
        <x14:conditionalFormatting xmlns:xm="http://schemas.microsoft.com/office/excel/2006/main">
          <x14:cfRule type="expression" priority="3" id="{CB3E9970-6E5B-442F-AFF0-F720F4EE4E78}">
            <xm:f>Security!$A$1="NO VBA"</xm:f>
            <x14:dxf>
              <font>
                <color theme="0"/>
              </font>
              <border>
                <vertical/>
                <horizontal/>
              </border>
            </x14:dxf>
          </x14:cfRule>
          <xm:sqref>AW47:AX47</xm:sqref>
        </x14:conditionalFormatting>
        <x14:conditionalFormatting xmlns:xm="http://schemas.microsoft.com/office/excel/2006/main">
          <x14:cfRule type="expression" priority="1" id="{603BE37D-FEA9-4A0C-8367-897851E07A73}">
            <xm:f>Security!$A$1="NO VBA"</xm:f>
            <x14:dxf>
              <font>
                <color theme="0"/>
              </font>
              <border>
                <vertical/>
                <horizontal/>
              </border>
            </x14:dxf>
          </x14:cfRule>
          <xm:sqref>W45:X47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workbookViewId="0">
      <selection activeCell="Y59" sqref="T59:Y59"/>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7"/>
      <c r="B1" s="56" t="str">
        <f>EULA!$B11</f>
        <v>Công ty ABC XYZ</v>
      </c>
      <c r="C1" s="311"/>
      <c r="D1" s="280"/>
      <c r="E1" s="280"/>
      <c r="F1" s="280"/>
      <c r="G1" s="280"/>
      <c r="H1" s="280"/>
      <c r="I1" s="57" t="s">
        <v>736</v>
      </c>
      <c r="J1" s="247"/>
      <c r="K1" s="247"/>
      <c r="L1" s="247"/>
      <c r="M1" s="247"/>
      <c r="N1" s="247"/>
      <c r="O1" s="247"/>
      <c r="P1" s="247"/>
      <c r="Q1" s="247"/>
      <c r="R1" s="247"/>
      <c r="S1" s="247"/>
      <c r="T1" s="247"/>
      <c r="U1" s="247"/>
      <c r="V1" s="247"/>
      <c r="W1" s="247"/>
      <c r="X1" s="247"/>
      <c r="Y1" s="247"/>
      <c r="Z1" s="247"/>
      <c r="AA1" s="247"/>
      <c r="AB1" s="247"/>
    </row>
    <row r="2" spans="1:36" hidden="1" outlineLevel="2" x14ac:dyDescent="0.3">
      <c r="A2" s="271"/>
      <c r="B2" s="274"/>
      <c r="C2" s="1" t="s">
        <v>719</v>
      </c>
      <c r="D2" s="281"/>
      <c r="E2" s="274"/>
      <c r="F2" s="274"/>
      <c r="G2" s="274"/>
      <c r="H2" s="295"/>
      <c r="I2" s="295"/>
      <c r="J2" s="295"/>
      <c r="K2" s="295"/>
      <c r="L2" s="271"/>
      <c r="M2" s="271"/>
      <c r="N2" s="271"/>
      <c r="O2" s="271"/>
      <c r="P2" s="271"/>
      <c r="Q2" s="271"/>
      <c r="R2" s="271"/>
      <c r="S2" s="271"/>
      <c r="T2" s="271"/>
      <c r="U2" s="271"/>
      <c r="V2" s="271"/>
      <c r="W2" s="271"/>
      <c r="X2" s="271"/>
      <c r="Y2" s="271"/>
      <c r="Z2" s="271"/>
      <c r="AA2" s="271"/>
      <c r="AB2" s="241"/>
    </row>
    <row r="3" spans="1:36" hidden="1" outlineLevel="2" x14ac:dyDescent="0.3">
      <c r="A3" s="271"/>
      <c r="B3" s="274"/>
      <c r="C3" s="1" t="s">
        <v>737</v>
      </c>
      <c r="D3" s="281"/>
      <c r="E3" s="274"/>
      <c r="F3" s="274"/>
      <c r="G3" s="274"/>
      <c r="H3" s="274"/>
      <c r="I3" s="274"/>
      <c r="J3" s="274"/>
      <c r="K3" s="274"/>
      <c r="L3" s="271"/>
      <c r="M3" s="271"/>
      <c r="N3" s="271"/>
      <c r="O3" s="271"/>
      <c r="P3" s="271"/>
      <c r="Q3" s="271"/>
      <c r="R3" s="271"/>
      <c r="S3" s="271"/>
      <c r="T3" s="271"/>
      <c r="U3" s="271"/>
      <c r="V3" s="271"/>
      <c r="W3" s="271"/>
      <c r="X3" s="271"/>
      <c r="Y3" s="271"/>
      <c r="Z3" s="271"/>
      <c r="AA3" s="271"/>
      <c r="AB3" s="241"/>
    </row>
    <row r="4" spans="1:36" hidden="1" outlineLevel="1" x14ac:dyDescent="0.3">
      <c r="A4" s="271"/>
      <c r="B4" s="564" t="str">
        <f>EULA!$B14</f>
        <v>[Địa chỉ]</v>
      </c>
      <c r="C4" s="565"/>
      <c r="D4" s="564" t="str">
        <f>EULA!$B14</f>
        <v>[Địa chỉ]</v>
      </c>
      <c r="E4" s="564" t="str">
        <f>EULA!$B14</f>
        <v>[Địa chỉ]</v>
      </c>
      <c r="F4" s="1" t="s">
        <v>738</v>
      </c>
      <c r="G4" s="274"/>
      <c r="H4" s="566" t="str">
        <f>CONCATENATE("GIAO-",D2,"-",MOD(YEAR(H5),100)*10000+MONTH(H5)*100+DAY(H5),"-",J4)</f>
        <v>GIAO--100-1</v>
      </c>
      <c r="I4" s="567"/>
      <c r="J4" s="282">
        <v>1</v>
      </c>
      <c r="K4" s="271"/>
      <c r="L4" s="271"/>
      <c r="M4" s="271"/>
      <c r="N4" s="271"/>
      <c r="O4" s="271"/>
      <c r="P4" s="271"/>
      <c r="Q4" s="271"/>
      <c r="R4" s="271"/>
      <c r="S4" s="271"/>
      <c r="T4" s="271"/>
      <c r="U4" s="271"/>
      <c r="V4" s="271"/>
      <c r="W4" s="271"/>
      <c r="X4" s="271"/>
      <c r="Y4" s="271"/>
      <c r="Z4" s="271"/>
      <c r="AA4" s="271"/>
      <c r="AB4" s="271"/>
    </row>
    <row r="5" spans="1:36" hidden="1" outlineLevel="1" x14ac:dyDescent="0.3">
      <c r="A5" s="271"/>
      <c r="B5" s="564" t="str">
        <f>EULA!$B15</f>
        <v>[Mã số thuế]</v>
      </c>
      <c r="C5" s="565"/>
      <c r="D5" s="564" t="str">
        <f>EULA!$B15</f>
        <v>[Mã số thuế]</v>
      </c>
      <c r="E5" s="564" t="str">
        <f>EULA!$B15</f>
        <v>[Mã số thuế]</v>
      </c>
      <c r="F5" s="1" t="s">
        <v>534</v>
      </c>
      <c r="G5" s="274"/>
      <c r="H5" s="568"/>
      <c r="I5" s="569"/>
      <c r="J5" s="271"/>
      <c r="K5" s="271"/>
      <c r="L5" s="271"/>
      <c r="M5" s="271"/>
      <c r="N5" s="271"/>
      <c r="O5" s="271"/>
      <c r="P5" s="271"/>
      <c r="Q5" s="271"/>
      <c r="R5" s="271"/>
      <c r="S5" s="271"/>
      <c r="T5" s="271"/>
      <c r="U5" s="271"/>
      <c r="V5" s="271"/>
      <c r="W5" s="271"/>
      <c r="X5" s="271"/>
      <c r="Y5" s="271"/>
      <c r="Z5" s="271"/>
      <c r="AA5" s="271"/>
      <c r="AB5" s="271"/>
    </row>
    <row r="6" spans="1:36" hidden="1" outlineLevel="1" x14ac:dyDescent="0.3">
      <c r="A6" s="271"/>
      <c r="B6" s="564" t="str">
        <f>EULA!$B16</f>
        <v>[SĐT - Fax]</v>
      </c>
      <c r="C6" s="565"/>
      <c r="D6" s="564" t="str">
        <f>EULA!$B16</f>
        <v>[SĐT - Fax]</v>
      </c>
      <c r="E6" s="564" t="str">
        <f>EULA!$B16</f>
        <v>[SĐT - Fax]</v>
      </c>
      <c r="F6" s="1" t="s">
        <v>172</v>
      </c>
      <c r="G6" s="274"/>
      <c r="H6" s="581" t="str">
        <f>IFERROR(VLOOKUP(D2,Sheet_KhachHang!B6:C8,Sheet_KhachHang!$C$1,0),"")</f>
        <v/>
      </c>
      <c r="I6" s="571"/>
      <c r="J6" s="271"/>
      <c r="K6" s="271"/>
      <c r="L6" s="271"/>
      <c r="M6" s="271"/>
      <c r="N6" s="271"/>
      <c r="O6" s="271"/>
      <c r="P6" s="271"/>
      <c r="Q6" s="271"/>
      <c r="R6" s="271"/>
      <c r="S6" s="271"/>
      <c r="T6" s="271"/>
      <c r="U6" s="271"/>
      <c r="V6" s="271"/>
      <c r="W6" s="271"/>
      <c r="X6" s="271"/>
      <c r="Y6" s="271"/>
      <c r="Z6" s="271"/>
      <c r="AA6" s="271"/>
      <c r="AB6" s="271"/>
    </row>
    <row r="7" spans="1:36" hidden="1" outlineLevel="1" x14ac:dyDescent="0.3">
      <c r="A7" s="271"/>
      <c r="B7" s="564" t="str">
        <f>EULA!$B17</f>
        <v>[Website - Page]</v>
      </c>
      <c r="C7" s="565"/>
      <c r="D7" s="564" t="str">
        <f>EULA!$B17</f>
        <v>[Website - Page]</v>
      </c>
      <c r="E7" s="564" t="str">
        <f>EULA!$B17</f>
        <v>[Website - Page]</v>
      </c>
      <c r="F7" s="1" t="s">
        <v>739</v>
      </c>
      <c r="G7" s="274"/>
      <c r="H7" s="573" t="str">
        <f>IFERROR(
VLOOKUP(D3,Table_NhaCungCap[[Mã Đối tác]:[Tên Đối tác]],2,0),
"")</f>
        <v/>
      </c>
      <c r="I7" s="571"/>
      <c r="J7" s="271"/>
      <c r="K7" s="271"/>
      <c r="L7" s="271"/>
      <c r="M7" s="271"/>
      <c r="N7" s="271"/>
      <c r="O7" s="271"/>
      <c r="P7" s="271"/>
      <c r="Q7" s="271"/>
      <c r="R7" s="271"/>
      <c r="S7" s="271"/>
      <c r="T7" s="271"/>
      <c r="U7" s="271"/>
      <c r="V7" s="271"/>
      <c r="W7" s="271"/>
      <c r="X7" s="271"/>
      <c r="Y7" s="271"/>
      <c r="Z7" s="271"/>
      <c r="AA7" s="271"/>
      <c r="AB7" s="241"/>
    </row>
    <row r="8" spans="1:36" hidden="1" outlineLevel="1" x14ac:dyDescent="0.3">
      <c r="A8" s="271"/>
      <c r="B8" s="185" t="str">
        <f>EULA!$B18</f>
        <v>[STK - Ngân hàng]</v>
      </c>
      <c r="C8" s="287"/>
      <c r="D8" s="274"/>
      <c r="E8" s="274"/>
      <c r="F8" s="1" t="s">
        <v>740</v>
      </c>
      <c r="G8" s="274"/>
      <c r="H8" s="572"/>
      <c r="I8" s="571"/>
      <c r="J8" s="271"/>
      <c r="K8" s="271"/>
      <c r="L8" s="271"/>
      <c r="M8" s="271"/>
      <c r="N8" s="271"/>
      <c r="O8" s="271"/>
      <c r="P8" s="271"/>
      <c r="Q8" s="271"/>
      <c r="R8" s="271"/>
      <c r="S8" s="271"/>
      <c r="T8" s="271"/>
      <c r="U8" s="271"/>
      <c r="V8" s="271"/>
      <c r="W8" s="271"/>
      <c r="X8" s="271"/>
      <c r="Y8" s="271"/>
      <c r="Z8" s="271"/>
      <c r="AA8" s="271"/>
      <c r="AB8" s="241"/>
    </row>
    <row r="9" spans="1:36" ht="42" hidden="1" customHeight="1" outlineLevel="1" x14ac:dyDescent="0.3">
      <c r="A9" s="271"/>
      <c r="B9" s="274"/>
      <c r="C9" s="1" t="s">
        <v>741</v>
      </c>
      <c r="D9" s="281"/>
      <c r="E9" s="274"/>
      <c r="F9" s="274"/>
      <c r="G9" s="274"/>
      <c r="H9" s="295"/>
      <c r="I9" s="429" t="str" cm="1">
        <f t="array" ref="I9">Code128(H4)</f>
        <v>ÌGIAO--1ÇÂÈ-1=Î</v>
      </c>
      <c r="J9" s="295"/>
      <c r="K9" s="295"/>
      <c r="L9" s="271"/>
      <c r="M9" s="271"/>
      <c r="N9" s="271"/>
      <c r="O9" s="271"/>
      <c r="P9" s="271"/>
      <c r="Q9" s="271"/>
      <c r="R9" s="271"/>
      <c r="S9" s="271"/>
      <c r="T9" s="271"/>
      <c r="U9" s="271"/>
      <c r="V9" s="271"/>
      <c r="W9" s="271"/>
      <c r="X9" s="271"/>
      <c r="Y9" s="271"/>
      <c r="Z9" s="271"/>
      <c r="AA9" s="271"/>
      <c r="AB9" s="241"/>
    </row>
    <row r="10" spans="1:36" ht="17.25" hidden="1" customHeight="1" outlineLevel="2" x14ac:dyDescent="0.3">
      <c r="A10" s="271"/>
      <c r="B10" s="274"/>
      <c r="C10" s="1" t="s">
        <v>927</v>
      </c>
      <c r="D10" s="281"/>
      <c r="E10" s="274"/>
      <c r="F10" s="274"/>
      <c r="G10" s="274"/>
      <c r="H10" s="295"/>
      <c r="I10" s="429"/>
      <c r="J10" s="295"/>
      <c r="K10" s="295"/>
      <c r="L10" s="271"/>
      <c r="M10" s="271"/>
      <c r="N10" s="271"/>
      <c r="O10" s="271"/>
      <c r="P10" s="271"/>
      <c r="Q10" s="271"/>
      <c r="R10" s="271"/>
      <c r="S10" s="271"/>
      <c r="T10" s="271"/>
      <c r="U10" s="271"/>
      <c r="V10" s="271"/>
      <c r="W10" s="271"/>
      <c r="X10" s="271"/>
      <c r="Y10" s="271"/>
      <c r="Z10" s="271"/>
      <c r="AA10" s="271"/>
      <c r="AB10" s="241"/>
    </row>
    <row r="11" spans="1:36" hidden="1" outlineLevel="1" x14ac:dyDescent="0.3">
      <c r="A11" s="271"/>
      <c r="B11" s="58" t="s">
        <v>722</v>
      </c>
      <c r="C11" s="312"/>
      <c r="D11" s="283"/>
      <c r="E11" s="283"/>
      <c r="F11" s="274"/>
      <c r="G11" s="274"/>
      <c r="H11" s="274"/>
      <c r="I11" s="274"/>
      <c r="J11" s="274"/>
      <c r="K11" s="274"/>
      <c r="L11" s="271"/>
      <c r="M11" s="271"/>
      <c r="N11" s="271"/>
      <c r="O11" s="271"/>
      <c r="P11" s="271"/>
      <c r="Q11" s="271"/>
      <c r="R11" s="271"/>
      <c r="S11" s="271"/>
      <c r="T11" s="271"/>
      <c r="U11" s="271"/>
      <c r="V11" s="271"/>
      <c r="W11" s="271"/>
      <c r="X11" s="271"/>
      <c r="Y11" s="271"/>
      <c r="Z11" s="271"/>
      <c r="AA11" s="271"/>
      <c r="AB11" s="241"/>
    </row>
    <row r="12" spans="1:36" hidden="1" outlineLevel="2" x14ac:dyDescent="0.3">
      <c r="A12" s="271"/>
      <c r="B12" s="1" t="s">
        <v>535</v>
      </c>
      <c r="C12" s="274"/>
      <c r="D12" s="274"/>
      <c r="E12" s="271"/>
      <c r="F12" s="564" t="str">
        <f>IFERROR(VLOOKUP($D$2,Table_KhachHang[#All],Sheet_KhachHang!$C$1,0),"")</f>
        <v/>
      </c>
      <c r="G12" s="565"/>
      <c r="H12" s="565"/>
      <c r="I12" s="565"/>
      <c r="J12" s="287"/>
      <c r="K12" s="287"/>
      <c r="L12" s="271"/>
      <c r="M12" s="271"/>
      <c r="N12" s="271"/>
      <c r="O12" s="271"/>
      <c r="P12" s="271"/>
      <c r="Q12" s="271"/>
      <c r="R12" s="271"/>
      <c r="S12" s="271"/>
      <c r="T12" s="271"/>
      <c r="U12" s="271"/>
      <c r="V12" s="271"/>
      <c r="W12" s="271"/>
      <c r="X12" s="271"/>
      <c r="Y12" s="271"/>
      <c r="Z12" s="271"/>
      <c r="AA12" s="271"/>
      <c r="AB12" s="241"/>
    </row>
    <row r="13" spans="1:36" hidden="1" outlineLevel="2" x14ac:dyDescent="0.3">
      <c r="A13" s="271"/>
      <c r="B13" s="1" t="s">
        <v>700</v>
      </c>
      <c r="C13" s="274"/>
      <c r="D13" s="274"/>
      <c r="E13" s="271"/>
      <c r="F13" s="564" t="str">
        <f>CONCATENATE(IFERROR(VLOOKUP($D$2,Table_KhachHang[#All],Sheet_KhachHang!$G$1,0),"")," - ",IFERROR(VLOOKUP($D$2,Table_KhachHang[#All],Sheet_KhachHang!#REF!,0),"")," - ",IFERROR(VLOOKUP($D$2,Table_KhachHang[#All],Sheet_KhachHang!$H$1,0),""))</f>
        <v xml:space="preserve"> -  - </v>
      </c>
      <c r="G13" s="565"/>
      <c r="H13" s="565"/>
      <c r="I13" s="565"/>
      <c r="J13" s="287"/>
      <c r="K13" s="287"/>
      <c r="L13" s="271"/>
      <c r="M13" s="271"/>
      <c r="N13" s="271"/>
      <c r="O13" s="271"/>
      <c r="P13" s="271"/>
      <c r="Q13" s="271"/>
      <c r="R13" s="271"/>
      <c r="S13" s="271"/>
      <c r="T13" s="271"/>
      <c r="U13" s="271"/>
      <c r="V13" s="271"/>
      <c r="W13" s="271"/>
      <c r="X13" s="271"/>
      <c r="Y13" s="271"/>
      <c r="Z13" s="271"/>
      <c r="AA13" s="271"/>
      <c r="AB13" s="241"/>
    </row>
    <row r="14" spans="1:36" hidden="1" outlineLevel="2" x14ac:dyDescent="0.3">
      <c r="A14" s="271"/>
      <c r="B14" s="1" t="s">
        <v>537</v>
      </c>
      <c r="C14" s="274"/>
      <c r="D14" s="274"/>
      <c r="E14" s="271"/>
      <c r="F14" s="564" t="str">
        <f>IFERROR(VLOOKUP($D$2,Table_KhachHang[#All],Sheet_KhachHang!$F$1,0),"")</f>
        <v/>
      </c>
      <c r="G14" s="565"/>
      <c r="H14" s="565"/>
      <c r="I14" s="565"/>
      <c r="J14" s="287"/>
      <c r="K14" s="287"/>
      <c r="L14" s="271"/>
      <c r="M14" s="271"/>
      <c r="N14" s="271"/>
      <c r="O14" s="271"/>
      <c r="P14" s="271"/>
      <c r="Q14" s="271"/>
      <c r="R14" s="271"/>
      <c r="S14" s="271"/>
      <c r="T14" s="271"/>
      <c r="U14" s="271"/>
      <c r="V14" s="271"/>
      <c r="W14" s="271"/>
      <c r="X14" s="271"/>
      <c r="Y14" s="271"/>
      <c r="Z14" s="271"/>
      <c r="AA14" s="271"/>
      <c r="AB14" s="241"/>
    </row>
    <row r="15" spans="1:36" hidden="1" outlineLevel="2" x14ac:dyDescent="0.3">
      <c r="A15" s="271"/>
      <c r="B15" s="274"/>
      <c r="C15" s="274"/>
      <c r="D15" s="274"/>
      <c r="E15" s="274"/>
      <c r="F15" s="274"/>
      <c r="G15" s="274"/>
      <c r="H15" s="274"/>
      <c r="I15" s="274"/>
      <c r="J15" s="274"/>
      <c r="K15" s="274"/>
      <c r="L15" s="271"/>
      <c r="M15" s="271"/>
      <c r="N15" s="271"/>
      <c r="O15" s="271"/>
      <c r="P15" s="271"/>
      <c r="Q15" s="271"/>
      <c r="R15" s="271"/>
      <c r="S15" s="271"/>
      <c r="T15" s="271"/>
      <c r="U15" s="271"/>
      <c r="V15" s="271"/>
      <c r="W15" s="271"/>
      <c r="X15" s="271"/>
      <c r="Y15" s="271"/>
      <c r="Z15" s="271"/>
      <c r="AA15" s="271"/>
      <c r="AB15" s="241"/>
    </row>
    <row r="16" spans="1:36" hidden="1" outlineLevel="2" x14ac:dyDescent="0.3">
      <c r="A16" s="271"/>
      <c r="B16" s="274"/>
      <c r="C16" s="274"/>
      <c r="D16" s="274"/>
      <c r="E16" s="274"/>
      <c r="F16" s="274"/>
      <c r="G16" s="274"/>
      <c r="H16" s="92" t="s">
        <v>321</v>
      </c>
      <c r="I16" s="93" t="s">
        <v>327</v>
      </c>
      <c r="J16" s="271"/>
      <c r="K16" s="40" t="s">
        <v>742</v>
      </c>
      <c r="L16" s="40" t="str" cm="1">
        <f t="array" ref="L16:AJ16">TRANSPOSE(_xlfn._xlws.SORT(_xlfn._xlws.FILTER(Table_Main[Đơn bán],(Table_Main[Vận đơn bán] ="")*(NOT(ISBLANK(Table_Main[Đơn bán]))),"")))</f>
        <v>BAN-KH1-250320-</v>
      </c>
      <c r="M16" s="271" t="str">
        <v>BAN-KH1-250327-</v>
      </c>
      <c r="N16" s="271" t="str">
        <v>BAN-KH1-250403-</v>
      </c>
      <c r="O16" s="271" t="str">
        <v>BAN-KH1-250411-</v>
      </c>
      <c r="P16" s="271" t="str">
        <v>BAN-KH1-250507-</v>
      </c>
      <c r="Q16" s="271" t="str">
        <v>BAN-KH1-250509-</v>
      </c>
      <c r="R16" s="271" t="str">
        <v>BAN-KH1-250509-</v>
      </c>
      <c r="S16" s="271" t="str">
        <v>BAN-KH1-250516-</v>
      </c>
      <c r="T16" s="271" t="str">
        <v>BAN-KH1-250519-</v>
      </c>
      <c r="U16" s="271" t="str">
        <v>BAN-KH2-250313-</v>
      </c>
      <c r="V16" s="271" t="str">
        <v>BAN-KH2-250319-</v>
      </c>
      <c r="W16" s="271" t="str">
        <v>BAN-KH2-250330-</v>
      </c>
      <c r="X16" s="271" t="str">
        <v>BAN-KH2-250408-</v>
      </c>
      <c r="Y16" s="271" t="str">
        <v>BAN-KH2-250414-</v>
      </c>
      <c r="Z16" s="271" t="str">
        <v>BAN-KH2-250415-</v>
      </c>
      <c r="AA16" s="271" t="str">
        <v>BAN-KH2-250424-</v>
      </c>
      <c r="AB16" s="241"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1"/>
      <c r="B17" s="59" t="s">
        <v>638</v>
      </c>
      <c r="C17" s="59" t="s">
        <v>682</v>
      </c>
      <c r="D17" s="59" t="s">
        <v>47</v>
      </c>
      <c r="E17" s="59" t="s">
        <v>702</v>
      </c>
      <c r="F17" s="60" t="s">
        <v>743</v>
      </c>
      <c r="G17" s="59" t="s">
        <v>744</v>
      </c>
      <c r="H17" s="60" t="s">
        <v>745</v>
      </c>
      <c r="I17" s="60" t="s">
        <v>746</v>
      </c>
      <c r="J17" s="59" t="s">
        <v>747</v>
      </c>
      <c r="K17" s="40" t="s">
        <v>748</v>
      </c>
      <c r="L17" s="40" t="str" cm="1">
        <f t="array" ref="L17:AJ17">TRANSPOSE(_xlfn._xlws.SORT(_xlfn._xlws.FILTER(Table_Main[Mã SKU],(Table_Main[Vận đơn bán] ="")*(NOT(ISBLANK(Table_Main[Đơn bán]))),"")))</f>
        <v>HH1</v>
      </c>
      <c r="M17" s="271" t="str">
        <v>HH1</v>
      </c>
      <c r="N17" s="271" t="str">
        <v>HH1</v>
      </c>
      <c r="O17" s="271" t="str">
        <v>HH1</v>
      </c>
      <c r="P17" s="271" t="str">
        <v>HH1</v>
      </c>
      <c r="Q17" s="271" t="str">
        <v>HH1</v>
      </c>
      <c r="R17" s="271" t="str">
        <v>HH1</v>
      </c>
      <c r="S17" s="271" t="str">
        <v>HH1</v>
      </c>
      <c r="T17" s="271" t="str">
        <v>HH1</v>
      </c>
      <c r="U17" s="271" t="str">
        <v>TP1</v>
      </c>
      <c r="V17" s="271" t="str">
        <v>TP1</v>
      </c>
      <c r="W17" s="271" t="str">
        <v>TP1</v>
      </c>
      <c r="X17" s="271" t="str">
        <v>TP1</v>
      </c>
      <c r="Y17" s="271" t="str">
        <v>TP1</v>
      </c>
      <c r="Z17" s="271" t="str">
        <v>TP1</v>
      </c>
      <c r="AA17" s="241" t="str">
        <v>TP1</v>
      </c>
      <c r="AB17" s="271"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1"/>
      <c r="B18" s="7" t="str">
        <f>IF(Table_PhieuGiao[[#This Row],[SKU]]&lt;&gt;"",COUNTIF(D$18:D18,"&lt;&gt;"""),"")</f>
        <v/>
      </c>
      <c r="C18" s="240"/>
      <c r="D18" s="240"/>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3"/>
      <c r="L18" s="271"/>
      <c r="M18" s="271"/>
      <c r="N18" s="271"/>
      <c r="O18" s="271"/>
      <c r="P18" s="271"/>
      <c r="Q18" s="271"/>
      <c r="R18" s="271"/>
      <c r="S18" s="271"/>
      <c r="T18" s="271"/>
      <c r="U18" s="271"/>
      <c r="V18" s="271"/>
      <c r="W18" s="271"/>
      <c r="X18" s="271"/>
      <c r="Y18" s="271"/>
      <c r="Z18" s="271"/>
      <c r="AA18" s="241"/>
      <c r="AB18" s="271"/>
    </row>
    <row r="19" spans="1:36" ht="16.5" hidden="1" outlineLevel="2" x14ac:dyDescent="0.3">
      <c r="A19" s="271"/>
      <c r="B19" s="7" t="str">
        <f>IF(Table_PhieuGiao[[#This Row],[SKU]]&lt;&gt;"",COUNTIF(D$18:D19,"&lt;&gt;"""),"")</f>
        <v/>
      </c>
      <c r="C19" s="240"/>
      <c r="D19" s="240"/>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3"/>
      <c r="L19" s="271"/>
      <c r="M19" s="271"/>
      <c r="N19" s="271"/>
      <c r="O19" s="271"/>
      <c r="P19" s="271"/>
      <c r="Q19" s="271"/>
      <c r="R19" s="271"/>
      <c r="S19" s="271"/>
      <c r="T19" s="271"/>
      <c r="U19" s="271"/>
      <c r="V19" s="271"/>
      <c r="W19" s="271"/>
      <c r="X19" s="271"/>
      <c r="Y19" s="271"/>
      <c r="Z19" s="271"/>
      <c r="AA19" s="241"/>
      <c r="AB19" s="271"/>
    </row>
    <row r="20" spans="1:36" ht="16.5" hidden="1" outlineLevel="2" x14ac:dyDescent="0.3">
      <c r="A20" s="271"/>
      <c r="B20" s="7" t="str">
        <f>IF(Table_PhieuGiao[[#This Row],[SKU]]&lt;&gt;"",COUNTIF(D$18:D20,"&lt;&gt;"""),"")</f>
        <v/>
      </c>
      <c r="C20" s="240"/>
      <c r="D20" s="240"/>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3"/>
      <c r="L20" s="271"/>
      <c r="M20" s="271"/>
      <c r="N20" s="271"/>
      <c r="O20" s="271"/>
      <c r="P20" s="271"/>
      <c r="Q20" s="271"/>
      <c r="R20" s="271"/>
      <c r="S20" s="271"/>
      <c r="T20" s="271"/>
      <c r="U20" s="271"/>
      <c r="V20" s="271"/>
      <c r="W20" s="271"/>
      <c r="X20" s="271"/>
      <c r="Y20" s="271"/>
      <c r="Z20" s="271"/>
      <c r="AA20" s="241"/>
      <c r="AB20" s="271"/>
    </row>
    <row r="21" spans="1:36" ht="16.5" hidden="1" outlineLevel="2" x14ac:dyDescent="0.3">
      <c r="A21" s="271"/>
      <c r="B21" s="7" t="str">
        <f>IF(Table_PhieuGiao[[#This Row],[SKU]]&lt;&gt;"",COUNTIF(D$18:D21,"&lt;&gt;"""),"")</f>
        <v/>
      </c>
      <c r="C21" s="240"/>
      <c r="D21" s="240"/>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3"/>
      <c r="L21" s="271"/>
      <c r="M21" s="271"/>
      <c r="N21" s="271"/>
      <c r="O21" s="271"/>
      <c r="P21" s="271"/>
      <c r="Q21" s="271"/>
      <c r="R21" s="271"/>
      <c r="S21" s="271"/>
      <c r="T21" s="271"/>
      <c r="U21" s="271"/>
      <c r="V21" s="271"/>
      <c r="W21" s="271"/>
      <c r="X21" s="271"/>
      <c r="Y21" s="271"/>
      <c r="Z21" s="271"/>
      <c r="AA21" s="241"/>
      <c r="AB21" s="271"/>
    </row>
    <row r="22" spans="1:36" ht="16.5" hidden="1" outlineLevel="2" x14ac:dyDescent="0.3">
      <c r="A22" s="271"/>
      <c r="B22" s="7" t="str">
        <f>IF(Table_PhieuGiao[[#This Row],[SKU]]&lt;&gt;"",COUNTIF(D$18:D22,"&lt;&gt;"""),"")</f>
        <v/>
      </c>
      <c r="C22" s="240"/>
      <c r="D22" s="240"/>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3"/>
      <c r="L22" s="271"/>
      <c r="M22" s="271"/>
      <c r="N22" s="271"/>
      <c r="O22" s="271"/>
      <c r="P22" s="271"/>
      <c r="Q22" s="271"/>
      <c r="R22" s="271"/>
      <c r="S22" s="271"/>
      <c r="T22" s="271"/>
      <c r="U22" s="271"/>
      <c r="V22" s="271"/>
      <c r="W22" s="271"/>
      <c r="X22" s="271"/>
      <c r="Y22" s="271"/>
      <c r="Z22" s="271"/>
      <c r="AA22" s="241"/>
      <c r="AB22" s="271"/>
    </row>
    <row r="23" spans="1:36" ht="16.5" hidden="1" outlineLevel="2" x14ac:dyDescent="0.3">
      <c r="A23" s="271"/>
      <c r="B23" s="7" t="str">
        <f>IF(Table_PhieuGiao[[#This Row],[SKU]]&lt;&gt;"",COUNTIF(D$18:D23,"&lt;&gt;"""),"")</f>
        <v/>
      </c>
      <c r="C23" s="240"/>
      <c r="D23" s="240"/>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3"/>
      <c r="L23" s="271"/>
      <c r="M23" s="271"/>
      <c r="N23" s="271"/>
      <c r="O23" s="271"/>
      <c r="P23" s="271"/>
      <c r="Q23" s="271"/>
      <c r="R23" s="271"/>
      <c r="S23" s="271"/>
      <c r="T23" s="271"/>
      <c r="U23" s="271"/>
      <c r="V23" s="271"/>
      <c r="W23" s="271"/>
      <c r="X23" s="271"/>
      <c r="Y23" s="271"/>
      <c r="Z23" s="271"/>
      <c r="AA23" s="241"/>
      <c r="AB23" s="271"/>
    </row>
    <row r="24" spans="1:36" ht="16.5" hidden="1" outlineLevel="2" x14ac:dyDescent="0.3">
      <c r="A24" s="271"/>
      <c r="B24" s="7" t="str">
        <f>IF(Table_PhieuGiao[[#This Row],[SKU]]&lt;&gt;"",COUNTIF(D$18:D24,"&lt;&gt;"""),"")</f>
        <v/>
      </c>
      <c r="C24" s="240"/>
      <c r="D24" s="240"/>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3"/>
      <c r="L24" s="271"/>
      <c r="M24" s="271"/>
      <c r="N24" s="271"/>
      <c r="O24" s="271"/>
      <c r="P24" s="271"/>
      <c r="Q24" s="271"/>
      <c r="R24" s="271"/>
      <c r="S24" s="271"/>
      <c r="T24" s="271"/>
      <c r="U24" s="271"/>
      <c r="V24" s="271"/>
      <c r="W24" s="271"/>
      <c r="X24" s="271"/>
      <c r="Y24" s="271"/>
      <c r="Z24" s="271"/>
      <c r="AA24" s="241"/>
      <c r="AB24" s="271"/>
    </row>
    <row r="25" spans="1:36" ht="16.5" hidden="1" outlineLevel="2" x14ac:dyDescent="0.3">
      <c r="A25" s="271"/>
      <c r="B25" s="7" t="str">
        <f>IF(Table_PhieuGiao[[#This Row],[SKU]]&lt;&gt;"",COUNTIF(D$18:D25,"&lt;&gt;"""),"")</f>
        <v/>
      </c>
      <c r="C25" s="240"/>
      <c r="D25" s="240"/>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3"/>
      <c r="L25" s="271"/>
      <c r="M25" s="271"/>
      <c r="N25" s="271"/>
      <c r="O25" s="271"/>
      <c r="P25" s="271"/>
      <c r="Q25" s="271"/>
      <c r="R25" s="271"/>
      <c r="S25" s="271"/>
      <c r="T25" s="271"/>
      <c r="U25" s="271"/>
      <c r="V25" s="271"/>
      <c r="W25" s="271"/>
      <c r="X25" s="271"/>
      <c r="Y25" s="271"/>
      <c r="Z25" s="271"/>
      <c r="AA25" s="241"/>
      <c r="AB25" s="271"/>
    </row>
    <row r="26" spans="1:36" ht="16.5" hidden="1" outlineLevel="2" x14ac:dyDescent="0.3">
      <c r="A26" s="271"/>
      <c r="B26" s="7" t="str">
        <f>IF(Table_PhieuGiao[[#This Row],[SKU]]&lt;&gt;"",COUNTIF(D$18:D26,"&lt;&gt;"""),"")</f>
        <v/>
      </c>
      <c r="C26" s="240"/>
      <c r="D26" s="240"/>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3"/>
      <c r="L26" s="271"/>
      <c r="M26" s="271"/>
      <c r="N26" s="271"/>
      <c r="O26" s="271"/>
      <c r="P26" s="271"/>
      <c r="Q26" s="271"/>
      <c r="R26" s="271"/>
      <c r="S26" s="271"/>
      <c r="T26" s="271"/>
      <c r="U26" s="271"/>
      <c r="V26" s="271"/>
      <c r="W26" s="271"/>
      <c r="X26" s="271"/>
      <c r="Y26" s="271"/>
      <c r="Z26" s="271"/>
      <c r="AA26" s="241"/>
      <c r="AB26" s="271"/>
    </row>
    <row r="27" spans="1:36" ht="16.5" hidden="1" outlineLevel="2" x14ac:dyDescent="0.3">
      <c r="A27" s="271"/>
      <c r="B27" s="7" t="str">
        <f>IF(Table_PhieuGiao[[#This Row],[SKU]]&lt;&gt;"",COUNTIF(D$18:D27,"&lt;&gt;"""),"")</f>
        <v/>
      </c>
      <c r="C27" s="240"/>
      <c r="D27" s="240"/>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3"/>
      <c r="L27" s="271"/>
      <c r="M27" s="271"/>
      <c r="N27" s="271"/>
      <c r="O27" s="271"/>
      <c r="P27" s="271"/>
      <c r="Q27" s="271"/>
      <c r="R27" s="271"/>
      <c r="S27" s="271"/>
      <c r="T27" s="271"/>
      <c r="U27" s="271"/>
      <c r="V27" s="271"/>
      <c r="W27" s="271"/>
      <c r="X27" s="271"/>
      <c r="Y27" s="271"/>
      <c r="Z27" s="271"/>
      <c r="AA27" s="241"/>
      <c r="AB27" s="271"/>
    </row>
    <row r="28" spans="1:36" ht="16.5" hidden="1" outlineLevel="2" x14ac:dyDescent="0.3">
      <c r="A28" s="271"/>
      <c r="B28" s="7" t="str">
        <f>IF(Table_PhieuGiao[[#This Row],[SKU]]&lt;&gt;"",COUNTIF(D$18:D28,"&lt;&gt;"""),"")</f>
        <v/>
      </c>
      <c r="C28" s="240"/>
      <c r="D28" s="240"/>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3"/>
      <c r="L28" s="271"/>
      <c r="M28" s="271"/>
      <c r="N28" s="271"/>
      <c r="O28" s="271"/>
      <c r="P28" s="271"/>
      <c r="Q28" s="271"/>
      <c r="R28" s="271"/>
      <c r="S28" s="271"/>
      <c r="T28" s="271"/>
      <c r="U28" s="271"/>
      <c r="V28" s="271"/>
      <c r="W28" s="271"/>
      <c r="X28" s="271"/>
      <c r="Y28" s="271"/>
      <c r="Z28" s="271"/>
      <c r="AA28" s="241"/>
      <c r="AB28" s="271"/>
    </row>
    <row r="29" spans="1:36" ht="16.5" hidden="1" outlineLevel="2" x14ac:dyDescent="0.3">
      <c r="A29" s="271"/>
      <c r="B29" s="7" t="str">
        <f>IF(Table_PhieuGiao[[#This Row],[SKU]]&lt;&gt;"",COUNTIF(D$18:D29,"&lt;&gt;"""),"")</f>
        <v/>
      </c>
      <c r="C29" s="240"/>
      <c r="D29" s="240"/>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3"/>
      <c r="L29" s="271"/>
      <c r="M29" s="271"/>
      <c r="N29" s="271"/>
      <c r="O29" s="271"/>
      <c r="P29" s="271"/>
      <c r="Q29" s="271"/>
      <c r="R29" s="271"/>
      <c r="S29" s="271"/>
      <c r="T29" s="271"/>
      <c r="U29" s="271"/>
      <c r="V29" s="271"/>
      <c r="W29" s="271"/>
      <c r="X29" s="271"/>
      <c r="Y29" s="271"/>
      <c r="Z29" s="271"/>
      <c r="AA29" s="241"/>
      <c r="AB29" s="271"/>
    </row>
    <row r="30" spans="1:36" hidden="1" outlineLevel="2" x14ac:dyDescent="0.3">
      <c r="A30" s="271"/>
      <c r="B30" s="274"/>
      <c r="C30" s="274"/>
      <c r="D30" s="274"/>
      <c r="E30" s="274"/>
      <c r="F30" s="274"/>
      <c r="G30" s="274"/>
      <c r="H30" s="274"/>
      <c r="I30" s="274"/>
      <c r="J30" s="274"/>
      <c r="K30" s="274"/>
      <c r="L30" s="271"/>
      <c r="M30" s="271"/>
      <c r="N30" s="271"/>
      <c r="O30" s="271"/>
      <c r="P30" s="271"/>
      <c r="Q30" s="271"/>
      <c r="R30" s="271"/>
      <c r="S30" s="271"/>
      <c r="T30" s="271"/>
      <c r="U30" s="271"/>
      <c r="V30" s="271"/>
      <c r="W30" s="271"/>
      <c r="X30" s="271"/>
      <c r="Y30" s="271"/>
      <c r="Z30" s="271"/>
      <c r="AA30" s="271"/>
      <c r="AB30" s="241"/>
    </row>
    <row r="31" spans="1:36" hidden="1" outlineLevel="1" x14ac:dyDescent="0.3">
      <c r="A31" s="271"/>
      <c r="B31" s="61" t="s">
        <v>539</v>
      </c>
      <c r="C31" s="314"/>
      <c r="D31" s="285"/>
      <c r="E31" s="285"/>
      <c r="F31" s="285"/>
      <c r="G31" s="286"/>
      <c r="H31" s="1" t="s">
        <v>729</v>
      </c>
      <c r="I31" s="409">
        <f>SUM(Table_PhieuGiao[Thành tiền giao])</f>
        <v>0</v>
      </c>
      <c r="J31" s="271"/>
      <c r="K31" s="271"/>
      <c r="L31" s="271"/>
      <c r="M31" s="271"/>
      <c r="N31" s="271"/>
      <c r="O31" s="271"/>
      <c r="P31" s="271"/>
      <c r="Q31" s="271"/>
      <c r="R31" s="271"/>
      <c r="S31" s="271"/>
      <c r="T31" s="271"/>
      <c r="U31" s="271"/>
      <c r="V31" s="271"/>
      <c r="W31" s="271"/>
      <c r="X31" s="271"/>
      <c r="Y31" s="271"/>
      <c r="Z31" s="271"/>
      <c r="AA31" s="271"/>
      <c r="AB31" s="241"/>
    </row>
    <row r="32" spans="1:36" hidden="1" outlineLevel="1" x14ac:dyDescent="0.3">
      <c r="A32" s="271"/>
      <c r="B32" s="288"/>
      <c r="C32" s="274"/>
      <c r="D32" s="274"/>
      <c r="E32" s="274"/>
      <c r="F32" s="274"/>
      <c r="G32" s="289"/>
      <c r="H32" s="1" t="s">
        <v>749</v>
      </c>
      <c r="I32" s="410">
        <f xml:space="preserve">
IF(ISBLANK(D9),0,
IF(D9 = "Bên bán", 0,
IF(ISBLANK(D10),
"Chưa bao gồm",D10)))</f>
        <v>0</v>
      </c>
      <c r="J32" s="271"/>
      <c r="K32" s="271"/>
      <c r="L32" s="271"/>
      <c r="M32" s="271"/>
      <c r="N32" s="271"/>
      <c r="O32" s="271"/>
      <c r="P32" s="271"/>
      <c r="Q32" s="271"/>
      <c r="R32" s="271"/>
      <c r="S32" s="271"/>
      <c r="T32" s="271"/>
      <c r="U32" s="271"/>
      <c r="V32" s="271"/>
      <c r="W32" s="271"/>
      <c r="X32" s="271"/>
      <c r="Y32" s="271"/>
      <c r="Z32" s="271"/>
      <c r="AA32" s="271"/>
      <c r="AB32" s="241"/>
    </row>
    <row r="33" spans="1:28" hidden="1" outlineLevel="1" x14ac:dyDescent="0.3">
      <c r="A33" s="271"/>
      <c r="B33" s="288"/>
      <c r="C33" s="274"/>
      <c r="D33" s="274"/>
      <c r="E33" s="274"/>
      <c r="F33" s="274"/>
      <c r="G33" s="289"/>
      <c r="H33" s="1" t="s">
        <v>716</v>
      </c>
      <c r="I33" s="410" cm="1">
        <f t="array" ref="I33">IFERROR(
SUMPRODUCT(
_xlfn._xlws.FILTER(Table_PhieuGiao[Tỷ trọng thành tiền],
(NOT(ISBLANK(Table_PhieuGiao[SKU])))
),
_xlfn._xlws.FILTER(VLOOKUP(Table_PhieuGiao[Đơn bán],Table_DonBan[[Mã Đơn bán]:[Giá trị CK]],Sheet_DonBan!$AH$44,0),
(NOT(ISBLANK(Table_PhieuGiao[SKU])))
)),0)</f>
        <v>0</v>
      </c>
      <c r="J33" s="271"/>
      <c r="K33" s="271"/>
      <c r="L33" s="271"/>
      <c r="M33" s="271"/>
      <c r="N33" s="271"/>
      <c r="O33" s="271"/>
      <c r="P33" s="271"/>
      <c r="Q33" s="271"/>
      <c r="R33" s="271"/>
      <c r="S33" s="271"/>
      <c r="T33" s="271"/>
      <c r="U33" s="271"/>
      <c r="V33" s="271"/>
      <c r="W33" s="271"/>
      <c r="X33" s="271"/>
      <c r="Y33" s="271"/>
      <c r="Z33" s="271"/>
      <c r="AA33" s="271"/>
      <c r="AB33" s="241"/>
    </row>
    <row r="34" spans="1:28" hidden="1" outlineLevel="1" x14ac:dyDescent="0.3">
      <c r="A34" s="271"/>
      <c r="B34" s="288"/>
      <c r="C34" s="274"/>
      <c r="D34" s="274"/>
      <c r="E34" s="274"/>
      <c r="F34" s="274"/>
      <c r="G34" s="289"/>
      <c r="H34" s="1" t="s">
        <v>731</v>
      </c>
      <c r="I34" s="410" cm="1">
        <f t="array" ref="I34">IFERROR(
SUMPRODUCT(
_xlfn._xlws.FILTER(Table_PhieuGiao[Tỷ trọng thành tiền],
(NOT(ISBLANK(Table_PhieuGiao[SKU])))
),
_xlfn._xlws.FILTER(VLOOKUP(Table_PhieuGiao[Đơn bán],Table_DonBan[[Mã Đơn bán]:[Tổng VAT]],Sheet_DonBan!$AI$44,0),
(NOT(ISBLANK(Table_PhieuGiao[SKU])))
)),0)</f>
        <v>0</v>
      </c>
      <c r="J34" s="271"/>
      <c r="K34" s="271"/>
      <c r="L34" s="271"/>
      <c r="M34" s="271"/>
      <c r="N34" s="271"/>
      <c r="O34" s="271"/>
      <c r="P34" s="271"/>
      <c r="Q34" s="271"/>
      <c r="R34" s="271"/>
      <c r="S34" s="271"/>
      <c r="T34" s="271"/>
      <c r="U34" s="271"/>
      <c r="V34" s="271"/>
      <c r="W34" s="271"/>
      <c r="X34" s="271"/>
      <c r="Y34" s="271"/>
      <c r="Z34" s="271"/>
      <c r="AA34" s="271"/>
      <c r="AB34" s="241"/>
    </row>
    <row r="35" spans="1:28" hidden="1" outlineLevel="1" x14ac:dyDescent="0.3">
      <c r="A35" s="271"/>
      <c r="B35" s="290"/>
      <c r="C35" s="291"/>
      <c r="D35" s="291"/>
      <c r="E35" s="291"/>
      <c r="F35" s="291"/>
      <c r="G35" s="292"/>
      <c r="H35" s="62" t="s">
        <v>732</v>
      </c>
      <c r="I35" s="406">
        <f>+I31+IF(ISNUMBER(I32),I32,0)-I33+I34</f>
        <v>0</v>
      </c>
      <c r="J35" s="271"/>
      <c r="K35" s="271"/>
      <c r="L35" s="271"/>
      <c r="M35" s="271"/>
      <c r="N35" s="271"/>
      <c r="O35" s="271"/>
      <c r="P35" s="271"/>
      <c r="Q35" s="271"/>
      <c r="R35" s="271"/>
      <c r="S35" s="271"/>
      <c r="T35" s="271"/>
      <c r="U35" s="271"/>
      <c r="V35" s="271"/>
      <c r="W35" s="271"/>
      <c r="X35" s="271"/>
      <c r="Y35" s="271"/>
      <c r="Z35" s="271"/>
      <c r="AA35" s="271"/>
      <c r="AB35" s="241"/>
    </row>
    <row r="36" spans="1:28" hidden="1" outlineLevel="1" x14ac:dyDescent="0.3">
      <c r="A36" s="271"/>
      <c r="B36" s="274"/>
      <c r="C36" s="274"/>
      <c r="D36" s="274"/>
      <c r="E36" s="274"/>
      <c r="F36" s="274"/>
      <c r="G36" s="274"/>
      <c r="H36" s="274"/>
      <c r="I36" s="274"/>
      <c r="J36" s="274"/>
      <c r="K36" s="274"/>
      <c r="L36" s="271"/>
      <c r="M36" s="271"/>
      <c r="N36" s="271"/>
      <c r="O36" s="271"/>
      <c r="P36" s="271"/>
      <c r="Q36" s="271"/>
      <c r="R36" s="271"/>
      <c r="S36" s="271"/>
      <c r="T36" s="271"/>
      <c r="U36" s="271"/>
      <c r="V36" s="271"/>
      <c r="W36" s="271"/>
      <c r="X36" s="271"/>
      <c r="Y36" s="271"/>
      <c r="Z36" s="271"/>
      <c r="AA36" s="271"/>
      <c r="AB36" s="241"/>
    </row>
    <row r="37" spans="1:28" hidden="1" outlineLevel="1" x14ac:dyDescent="0.3">
      <c r="A37" s="271"/>
      <c r="B37" s="274"/>
      <c r="C37" s="274"/>
      <c r="D37" s="274"/>
      <c r="E37" s="274"/>
      <c r="F37" s="274"/>
      <c r="G37" s="271"/>
      <c r="H37" s="562" t="str">
        <f>B1</f>
        <v>Công ty ABC XYZ</v>
      </c>
      <c r="I37" s="563"/>
      <c r="J37" s="315"/>
      <c r="K37" s="315"/>
      <c r="L37" s="271"/>
      <c r="M37" s="271"/>
      <c r="N37" s="271"/>
      <c r="O37" s="271"/>
      <c r="P37" s="271"/>
      <c r="Q37" s="271"/>
      <c r="R37" s="271"/>
      <c r="S37" s="271"/>
      <c r="T37" s="271"/>
      <c r="U37" s="271"/>
      <c r="V37" s="271"/>
      <c r="W37" s="271"/>
      <c r="X37" s="271"/>
      <c r="Y37" s="271"/>
      <c r="Z37" s="271"/>
      <c r="AA37" s="271"/>
      <c r="AB37" s="241"/>
    </row>
    <row r="38" spans="1:28" hidden="1" outlineLevel="1" x14ac:dyDescent="0.3">
      <c r="A38" s="271"/>
      <c r="B38" s="274"/>
      <c r="C38" s="274"/>
      <c r="D38" s="274"/>
      <c r="E38" s="274"/>
      <c r="F38" s="274"/>
      <c r="G38" s="271"/>
      <c r="H38" s="562" t="s">
        <v>750</v>
      </c>
      <c r="I38" s="563"/>
      <c r="J38" s="294"/>
      <c r="K38" s="294"/>
      <c r="L38" s="271"/>
      <c r="M38" s="271"/>
      <c r="N38" s="271"/>
      <c r="O38" s="271"/>
      <c r="P38" s="271"/>
      <c r="Q38" s="271"/>
      <c r="R38" s="271"/>
      <c r="S38" s="271"/>
      <c r="T38" s="271"/>
      <c r="U38" s="271"/>
      <c r="V38" s="271"/>
      <c r="W38" s="271"/>
      <c r="X38" s="271"/>
      <c r="Y38" s="271"/>
      <c r="Z38" s="271"/>
      <c r="AA38" s="271"/>
      <c r="AB38" s="241"/>
    </row>
    <row r="39" spans="1:28" hidden="1" outlineLevel="1" x14ac:dyDescent="0.3">
      <c r="A39" s="271"/>
      <c r="B39" s="274"/>
      <c r="C39" s="274"/>
      <c r="D39" s="274"/>
      <c r="E39" s="274"/>
      <c r="F39" s="274"/>
      <c r="G39" s="271"/>
      <c r="H39" s="560" t="str">
        <f>IFERROR(VLOOKUP(H8,Table_NhanVien[#All],Sheet_CauTruc!$T$1,0),"")</f>
        <v/>
      </c>
      <c r="I39" s="561"/>
      <c r="J39" s="295"/>
      <c r="K39" s="295"/>
      <c r="L39" s="271"/>
      <c r="M39" s="271"/>
      <c r="N39" s="271"/>
      <c r="O39" s="271"/>
      <c r="P39" s="271"/>
      <c r="Q39" s="271"/>
      <c r="R39" s="271"/>
      <c r="S39" s="271"/>
      <c r="T39" s="271"/>
      <c r="U39" s="271"/>
      <c r="V39" s="271"/>
      <c r="W39" s="271"/>
      <c r="X39" s="271"/>
      <c r="Y39" s="271"/>
      <c r="Z39" s="271"/>
      <c r="AA39" s="271"/>
      <c r="AB39" s="241"/>
    </row>
    <row r="40" spans="1:28" hidden="1" outlineLevel="1" x14ac:dyDescent="0.3">
      <c r="A40" s="271"/>
      <c r="B40" s="274"/>
      <c r="C40" s="274"/>
      <c r="D40" s="274"/>
      <c r="E40" s="274"/>
      <c r="F40" s="274"/>
      <c r="G40" s="295"/>
      <c r="H40" s="295"/>
      <c r="I40" s="295"/>
      <c r="J40" s="295"/>
      <c r="K40" s="295"/>
      <c r="L40" s="271"/>
      <c r="M40" s="271"/>
      <c r="N40" s="271"/>
      <c r="O40" s="271"/>
      <c r="P40" s="271"/>
      <c r="Q40" s="271"/>
      <c r="R40" s="271"/>
      <c r="S40" s="271"/>
      <c r="T40" s="271"/>
      <c r="U40" s="271"/>
      <c r="V40" s="271"/>
      <c r="W40" s="271"/>
      <c r="X40" s="271"/>
      <c r="Y40" s="271"/>
      <c r="Z40" s="271"/>
      <c r="AA40" s="271"/>
      <c r="AB40" s="241"/>
    </row>
    <row r="41" spans="1:28" hidden="1" outlineLevel="1" x14ac:dyDescent="0.3">
      <c r="A41" s="271"/>
      <c r="B41" s="274"/>
      <c r="C41" s="274"/>
      <c r="D41" s="274"/>
      <c r="E41" s="274"/>
      <c r="F41" s="274"/>
      <c r="G41" s="274"/>
      <c r="H41" s="274"/>
      <c r="I41" s="274"/>
      <c r="J41" s="274"/>
      <c r="K41" s="274"/>
      <c r="L41" s="271"/>
      <c r="M41" s="271"/>
      <c r="N41" s="271"/>
      <c r="O41" s="271"/>
      <c r="P41" s="271"/>
      <c r="Q41" s="271"/>
      <c r="R41" s="271"/>
      <c r="S41" s="271"/>
      <c r="T41" s="271"/>
      <c r="U41" s="271"/>
      <c r="V41" s="271"/>
      <c r="W41" s="271"/>
      <c r="X41" s="271"/>
      <c r="Y41" s="271"/>
      <c r="Z41" s="271"/>
      <c r="AA41" s="271"/>
      <c r="AB41" s="241"/>
    </row>
    <row r="42" spans="1:28" collapsed="1" x14ac:dyDescent="0.3">
      <c r="A42" s="271"/>
      <c r="B42" s="274"/>
      <c r="C42" s="274"/>
      <c r="D42" s="274"/>
      <c r="E42" s="274"/>
      <c r="F42" s="274"/>
      <c r="G42" s="274"/>
      <c r="H42" s="274"/>
      <c r="I42" s="274"/>
      <c r="J42" s="274"/>
      <c r="K42" s="274"/>
      <c r="L42" s="271"/>
      <c r="M42" s="299">
        <v>0</v>
      </c>
      <c r="N42" s="299">
        <f t="shared" ref="N42:Y42" si="0">+M42+1</f>
        <v>1</v>
      </c>
      <c r="O42" s="299">
        <f t="shared" si="0"/>
        <v>2</v>
      </c>
      <c r="P42" s="299">
        <f t="shared" si="0"/>
        <v>3</v>
      </c>
      <c r="Q42" s="299">
        <f t="shared" si="0"/>
        <v>4</v>
      </c>
      <c r="R42" s="299">
        <f t="shared" si="0"/>
        <v>5</v>
      </c>
      <c r="S42" s="299">
        <f t="shared" si="0"/>
        <v>6</v>
      </c>
      <c r="T42" s="299">
        <f t="shared" si="0"/>
        <v>7</v>
      </c>
      <c r="U42" s="299">
        <f t="shared" si="0"/>
        <v>8</v>
      </c>
      <c r="V42" s="299">
        <f t="shared" si="0"/>
        <v>9</v>
      </c>
      <c r="W42" s="299">
        <f t="shared" si="0"/>
        <v>10</v>
      </c>
      <c r="X42" s="299">
        <f t="shared" si="0"/>
        <v>11</v>
      </c>
      <c r="Y42" s="299">
        <f t="shared" si="0"/>
        <v>12</v>
      </c>
      <c r="Z42" s="247"/>
      <c r="AA42" s="247"/>
      <c r="AB42" s="241"/>
    </row>
    <row r="43" spans="1:28" x14ac:dyDescent="0.3">
      <c r="A43" s="271"/>
      <c r="B43" s="274"/>
      <c r="C43" s="274"/>
      <c r="D43" s="274"/>
      <c r="E43" s="274"/>
      <c r="F43" s="274"/>
      <c r="G43" s="274"/>
      <c r="H43" s="274"/>
      <c r="I43" s="274"/>
      <c r="J43" s="274"/>
      <c r="K43" s="274"/>
      <c r="L43" s="271"/>
      <c r="M43" s="248">
        <f>J4</f>
        <v>1</v>
      </c>
      <c r="N43" s="51" t="str">
        <f>H4</f>
        <v>GIAO--100-1</v>
      </c>
      <c r="O43" s="408">
        <f>H5</f>
        <v>0</v>
      </c>
      <c r="P43" s="408"/>
      <c r="Q43" s="244">
        <f>D3</f>
        <v>0</v>
      </c>
      <c r="R43" s="47" t="str">
        <f>H6</f>
        <v/>
      </c>
      <c r="S43" s="51" t="str">
        <f xml:space="preserve">
IFERROR(
VLOOKUP(R43,Table_KhachHang[],COUNTA(Table_KhachHang[[#Headers],[Mã KH]:[Địa chỉ]]),0),"")</f>
        <v/>
      </c>
      <c r="T43" s="48">
        <f>IF(D9 = "Bên bán",D10,0)</f>
        <v>0</v>
      </c>
      <c r="U43" s="244">
        <f>D9</f>
        <v>0</v>
      </c>
      <c r="V43" s="118"/>
      <c r="W43" s="390">
        <f>IF(U43 = "Bên bán",V43*(T43/(1+V43)),0)</f>
        <v>0</v>
      </c>
      <c r="X43" s="390">
        <f>Y43-W43</f>
        <v>0</v>
      </c>
      <c r="Y43" s="48">
        <f>IF(U43 = "Bên bán",T43,0)</f>
        <v>0</v>
      </c>
      <c r="Z43" s="245"/>
      <c r="AA43" s="245"/>
      <c r="AB43" s="241"/>
    </row>
    <row r="44" spans="1:28" x14ac:dyDescent="0.3">
      <c r="A44" s="271"/>
      <c r="B44" s="274"/>
      <c r="C44" s="274"/>
      <c r="D44" s="274"/>
      <c r="E44" s="274"/>
      <c r="F44" s="274"/>
      <c r="G44" s="274"/>
      <c r="H44" s="274"/>
      <c r="I44" s="274"/>
      <c r="J44" s="274"/>
      <c r="K44" s="274"/>
      <c r="L44" s="271"/>
      <c r="M44" s="248">
        <v>1</v>
      </c>
      <c r="N44" s="51" t="str">
        <f>CONCATENATE("GIAO-",R44,"-",MOD(YEAR(O44),100)*10000+MONTH(O44)*100+DAY(O44),"-",M44)</f>
        <v>GIAO--100-1</v>
      </c>
      <c r="O44" s="408"/>
      <c r="P44" s="408"/>
      <c r="Q44" s="244"/>
      <c r="R44" s="244"/>
      <c r="S44" s="51" t="str">
        <f xml:space="preserve">
IFERROR(
VLOOKUP(R44,Table_KhachHang[],COUNTA(Table_KhachHang[[#Headers],[Mã KH]:[Địa chỉ]]),0),"")</f>
        <v/>
      </c>
      <c r="T44" s="48"/>
      <c r="U44" s="244"/>
      <c r="V44" s="118"/>
      <c r="W44" s="390">
        <f>IF(U44 = "Bên bán",V44*(T44/(1+V44)),0)</f>
        <v>0</v>
      </c>
      <c r="X44" s="390">
        <f>Y44-W44</f>
        <v>0</v>
      </c>
      <c r="Y44" s="48">
        <f>IF(U44 = "Bên bán",T44,0)</f>
        <v>0</v>
      </c>
      <c r="Z44" s="245"/>
      <c r="AA44" s="245"/>
      <c r="AB44" s="241"/>
    </row>
    <row r="45" spans="1:28" x14ac:dyDescent="0.3">
      <c r="A45" s="271"/>
      <c r="B45" s="274"/>
      <c r="C45" s="274"/>
      <c r="D45" s="274"/>
      <c r="E45" s="274"/>
      <c r="F45" s="274"/>
      <c r="G45" s="274"/>
      <c r="H45" s="274"/>
      <c r="I45" s="274"/>
      <c r="J45" s="274"/>
      <c r="K45" s="274"/>
      <c r="L45" s="271"/>
      <c r="M45" s="46" t="s">
        <v>638</v>
      </c>
      <c r="N45" s="46" t="s">
        <v>738</v>
      </c>
      <c r="O45" s="46" t="s">
        <v>695</v>
      </c>
      <c r="P45" s="46" t="s">
        <v>751</v>
      </c>
      <c r="Q45" s="46" t="s">
        <v>752</v>
      </c>
      <c r="R45" s="46" t="s">
        <v>172</v>
      </c>
      <c r="S45" s="46" t="s">
        <v>753</v>
      </c>
      <c r="T45" s="46" t="s">
        <v>749</v>
      </c>
      <c r="U45" s="46" t="s">
        <v>741</v>
      </c>
      <c r="V45" s="46" t="s">
        <v>705</v>
      </c>
      <c r="W45" s="46" t="s">
        <v>681</v>
      </c>
      <c r="X45" s="46" t="s">
        <v>652</v>
      </c>
      <c r="Y45" s="46" t="s">
        <v>754</v>
      </c>
      <c r="Z45" s="7" t="s">
        <v>873</v>
      </c>
      <c r="AA45" s="7" t="s">
        <v>1243</v>
      </c>
      <c r="AB45" s="241"/>
    </row>
    <row r="46" spans="1:28" x14ac:dyDescent="0.3">
      <c r="A46" s="271"/>
      <c r="B46" s="274"/>
      <c r="C46" s="274"/>
      <c r="D46" s="274"/>
      <c r="E46" s="274"/>
      <c r="F46" s="274"/>
      <c r="G46" s="274"/>
      <c r="H46" s="274"/>
      <c r="I46" s="274"/>
      <c r="J46" s="274"/>
      <c r="K46" s="274"/>
      <c r="L46" s="271"/>
      <c r="M46" s="248">
        <v>1</v>
      </c>
      <c r="N46" s="51" t="str">
        <f>CONCATENATE("GIAO-",Table_VanDon[[#This Row],[Khách hàng]],"-",MOD(YEAR(Table_VanDon[[#This Row],[Ngày lập]]),100)*10000+MONTH(Table_VanDon[[#This Row],[Ngày lập]])*100+DAY(Table_VanDon[[#This Row],[Ngày lập]]),"-",Table_VanDon[[#This Row],[STT]])</f>
        <v>GIAO--100-1</v>
      </c>
      <c r="O46" s="408"/>
      <c r="P46" s="408"/>
      <c r="Q46" s="263"/>
      <c r="R46" s="240"/>
      <c r="S46" s="51" t="str">
        <f xml:space="preserve">
IFERROR(
VLOOKUP(Table_VanDon[[#This Row],[Khách hàng]],Table_KhachHang[],COUNTA(Table_KhachHang[[#Headers],[Mã KH]:[Địa chỉ]]),0),"")</f>
        <v/>
      </c>
      <c r="T46" s="15"/>
      <c r="U46" s="240"/>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5"/>
      <c r="AA46" s="316"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1"/>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63" priority="267"/>
  </conditionalFormatting>
  <conditionalFormatting sqref="H4:I4">
    <cfRule type="expression" dxfId="362"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xr:uid="{43F81AAB-C477-4AC0-9043-4EBE84C31532}">
          <x14:formula1>
            <xm:f>_xlfn.ANCHORARRAY(Sheet_DoiTac!$E7)</xm:f>
          </x14:formula1>
          <xm:sqref>Q46</xm:sqref>
        </x14:dataValidation>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0"/>
      <c r="C1" s="240"/>
      <c r="D1" s="240"/>
      <c r="E1" s="240"/>
      <c r="F1" s="240"/>
      <c r="G1" s="240"/>
      <c r="H1" s="240"/>
      <c r="I1" s="240"/>
      <c r="J1" s="240"/>
      <c r="K1" s="240"/>
      <c r="L1" s="240"/>
      <c r="M1" s="240"/>
      <c r="N1" s="240"/>
      <c r="O1" s="240"/>
      <c r="P1" s="240"/>
      <c r="Q1" s="240"/>
      <c r="R1" s="240"/>
      <c r="S1" s="240"/>
      <c r="T1" s="240"/>
      <c r="U1" s="240"/>
      <c r="V1" s="240"/>
    </row>
    <row r="2" spans="2:29" ht="18" customHeight="1" x14ac:dyDescent="0.3">
      <c r="B2" s="240"/>
      <c r="C2" s="240"/>
      <c r="D2" s="240"/>
      <c r="E2" s="240"/>
      <c r="F2" s="240"/>
      <c r="G2" s="240"/>
      <c r="H2" s="240"/>
      <c r="I2" s="240"/>
      <c r="J2" s="240"/>
      <c r="K2" s="240"/>
      <c r="L2" s="240"/>
      <c r="M2" s="240"/>
      <c r="N2" s="240"/>
      <c r="O2" s="240"/>
      <c r="P2" s="240"/>
      <c r="Q2" s="240"/>
      <c r="R2" s="240"/>
      <c r="S2" s="240"/>
      <c r="T2" s="240"/>
      <c r="U2" s="240"/>
      <c r="V2" s="240"/>
    </row>
    <row r="3" spans="2:29" ht="18" customHeight="1" x14ac:dyDescent="0.3">
      <c r="B3" s="49">
        <f>IFERROR(
IF(ISBLANK(D3),
DATE(C3,12,1),
DATE(C3,D3,1)),0)</f>
        <v>336</v>
      </c>
      <c r="C3" s="243"/>
      <c r="D3" s="243"/>
      <c r="E3" s="395"/>
      <c r="F3" s="395"/>
      <c r="G3" s="243"/>
      <c r="H3" s="243"/>
      <c r="I3" s="243"/>
      <c r="J3" s="243"/>
      <c r="K3" s="278"/>
      <c r="L3" s="394">
        <v>0</v>
      </c>
      <c r="M3" s="48">
        <f>IFERROR(L3*(K3/(1+L3)),0)</f>
        <v>0</v>
      </c>
      <c r="N3" s="48">
        <f>IF(M3&lt;0, K3,K3-M3)</f>
        <v>0</v>
      </c>
      <c r="O3" s="279"/>
      <c r="P3" s="279"/>
      <c r="Q3" s="241"/>
      <c r="R3" s="240"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0">
        <f ca="1"/>
        <v>0</v>
      </c>
      <c r="T3" s="240" t="str">
        <f ca="1"/>
        <v>TS1</v>
      </c>
      <c r="U3" s="240" t="str">
        <f ca="1"/>
        <v>TS2</v>
      </c>
      <c r="V3" s="240"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640</v>
      </c>
      <c r="F4" s="7" t="s">
        <v>641</v>
      </c>
      <c r="G4" s="7" t="s">
        <v>765</v>
      </c>
      <c r="H4" s="7" t="s">
        <v>16</v>
      </c>
      <c r="I4" s="7" t="s">
        <v>556</v>
      </c>
      <c r="J4" s="7" t="s">
        <v>551</v>
      </c>
      <c r="K4" s="7" t="s">
        <v>21</v>
      </c>
      <c r="L4" s="7" t="s">
        <v>705</v>
      </c>
      <c r="M4" s="7" t="s">
        <v>766</v>
      </c>
      <c r="N4" s="7" t="s">
        <v>653</v>
      </c>
      <c r="O4" s="7" t="s">
        <v>873</v>
      </c>
      <c r="P4" s="7" t="s">
        <v>1243</v>
      </c>
      <c r="Q4" s="240"/>
      <c r="R4" s="240"/>
      <c r="S4" s="240"/>
      <c r="T4" s="240"/>
      <c r="U4" s="240"/>
      <c r="V4" s="240"/>
    </row>
    <row r="5" spans="2:29" ht="18" customHeight="1" x14ac:dyDescent="0.3">
      <c r="B5" s="49">
        <f>IFERROR(
IF(ISBLANK(Table_LaiKhac[[#This Row],[Tháng]]),
DATE(Table_LaiKhac[[#This Row],[Năm]],12,1),
DATE(Table_LaiKhac[[#This Row],[Năm]],Table_LaiKhac[[#This Row],[Tháng]],1)),0)</f>
        <v>336</v>
      </c>
      <c r="C5" s="240"/>
      <c r="D5" s="243"/>
      <c r="E5" s="342"/>
      <c r="F5" s="342"/>
      <c r="G5" s="240"/>
      <c r="H5" s="243"/>
      <c r="I5" s="240"/>
      <c r="J5" s="243"/>
      <c r="K5" s="243"/>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3"/>
      <c r="P5" s="341">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0"/>
      <c r="R5" s="240"/>
      <c r="S5" s="240"/>
      <c r="T5" s="240"/>
      <c r="U5" s="240"/>
      <c r="V5" s="240"/>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Sheet_BaoCaoTaiChinh!$C$39:$C$43</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1"/>
      <c r="B1" s="299">
        <v>0</v>
      </c>
      <c r="C1" s="299">
        <f t="shared" ref="C1:M1" si="0">+B1+1</f>
        <v>1</v>
      </c>
      <c r="D1" s="299">
        <f t="shared" si="0"/>
        <v>2</v>
      </c>
      <c r="E1" s="299">
        <f t="shared" si="0"/>
        <v>3</v>
      </c>
      <c r="F1" s="299">
        <f t="shared" si="0"/>
        <v>4</v>
      </c>
      <c r="G1" s="299">
        <f t="shared" si="0"/>
        <v>5</v>
      </c>
      <c r="H1" s="299">
        <f t="shared" si="0"/>
        <v>6</v>
      </c>
      <c r="I1" s="299">
        <f t="shared" si="0"/>
        <v>7</v>
      </c>
      <c r="J1" s="299">
        <f t="shared" si="0"/>
        <v>8</v>
      </c>
      <c r="K1" s="299">
        <f t="shared" si="0"/>
        <v>9</v>
      </c>
      <c r="L1" s="299">
        <f t="shared" si="0"/>
        <v>10</v>
      </c>
      <c r="M1" s="299">
        <f t="shared" si="0"/>
        <v>11</v>
      </c>
      <c r="N1" s="299"/>
      <c r="O1" s="299"/>
      <c r="P1" s="299"/>
    </row>
    <row r="2" spans="1:16" ht="18" customHeight="1" x14ac:dyDescent="0.3">
      <c r="A2" s="273"/>
      <c r="B2" s="246"/>
      <c r="C2" s="246"/>
      <c r="D2" s="247"/>
      <c r="E2" s="247"/>
      <c r="F2" s="247"/>
      <c r="G2" s="247"/>
      <c r="H2" s="247"/>
      <c r="I2" s="247"/>
      <c r="J2" s="247"/>
      <c r="K2" s="247"/>
      <c r="L2" s="247"/>
      <c r="M2" s="247"/>
      <c r="N2" s="247"/>
      <c r="O2" s="247"/>
      <c r="P2" s="240"/>
    </row>
    <row r="3" spans="1:16" ht="18" customHeight="1" outlineLevel="1" x14ac:dyDescent="0.15">
      <c r="A3" s="273"/>
      <c r="B3" s="246"/>
      <c r="C3" s="246"/>
      <c r="D3" s="240"/>
      <c r="E3" s="7" t="s">
        <v>638</v>
      </c>
      <c r="F3" s="7" t="s">
        <v>767</v>
      </c>
      <c r="G3" s="240"/>
      <c r="H3" s="263"/>
      <c r="I3" s="240"/>
      <c r="J3" s="240"/>
      <c r="K3" s="246"/>
      <c r="L3" s="246"/>
      <c r="M3" s="246"/>
      <c r="N3" s="240"/>
      <c r="O3" s="240"/>
      <c r="P3" s="240"/>
    </row>
    <row r="4" spans="1:16" ht="18" customHeight="1" outlineLevel="1" x14ac:dyDescent="0.15">
      <c r="A4" s="273"/>
      <c r="B4" s="246"/>
      <c r="C4" s="246"/>
      <c r="D4" s="240"/>
      <c r="E4" s="240">
        <v>1</v>
      </c>
      <c r="F4" s="7" t="s">
        <v>403</v>
      </c>
      <c r="G4" s="240"/>
      <c r="H4" s="263"/>
      <c r="I4" s="240"/>
      <c r="J4" s="240"/>
      <c r="K4" s="246"/>
      <c r="L4" s="246"/>
      <c r="M4" s="246"/>
      <c r="N4" s="240"/>
      <c r="O4" s="240"/>
      <c r="P4" s="240"/>
    </row>
    <row r="5" spans="1:16" ht="18" customHeight="1" outlineLevel="1" x14ac:dyDescent="0.15">
      <c r="A5" s="273"/>
      <c r="B5" s="246"/>
      <c r="C5" s="246"/>
      <c r="D5" s="240"/>
      <c r="E5" s="240">
        <v>2</v>
      </c>
      <c r="F5" s="7" t="s">
        <v>405</v>
      </c>
      <c r="G5" s="240"/>
      <c r="H5" s="263"/>
      <c r="I5" s="240"/>
      <c r="J5" s="240"/>
      <c r="K5" s="246"/>
      <c r="L5" s="246"/>
      <c r="M5" s="246"/>
      <c r="N5" s="240"/>
      <c r="O5" s="240"/>
      <c r="P5" s="240"/>
    </row>
    <row r="6" spans="1:16" ht="18" customHeight="1" outlineLevel="1" x14ac:dyDescent="0.15">
      <c r="A6" s="273"/>
      <c r="B6" s="246"/>
      <c r="C6" s="246"/>
      <c r="D6" s="240"/>
      <c r="E6" s="240">
        <v>3</v>
      </c>
      <c r="F6" s="7" t="s">
        <v>406</v>
      </c>
      <c r="G6" s="240"/>
      <c r="H6" s="263"/>
      <c r="I6" s="240"/>
      <c r="J6" s="240"/>
      <c r="K6" s="246"/>
      <c r="L6" s="246"/>
      <c r="M6" s="246"/>
      <c r="N6" s="240"/>
      <c r="O6" s="240"/>
      <c r="P6" s="240"/>
    </row>
    <row r="7" spans="1:16" ht="18" customHeight="1" outlineLevel="1" x14ac:dyDescent="0.15">
      <c r="A7" s="274"/>
      <c r="B7" s="246"/>
      <c r="C7" s="246"/>
      <c r="D7" s="240"/>
      <c r="E7" s="240">
        <v>4</v>
      </c>
      <c r="F7" s="7" t="s">
        <v>407</v>
      </c>
      <c r="G7" s="240"/>
      <c r="H7" s="263"/>
      <c r="I7" s="240"/>
      <c r="J7" s="240"/>
      <c r="K7" s="246"/>
      <c r="L7" s="246"/>
      <c r="M7" s="246"/>
      <c r="N7" s="240"/>
      <c r="O7" s="240"/>
      <c r="P7" s="240"/>
    </row>
    <row r="8" spans="1:16" ht="18" customHeight="1" outlineLevel="1" x14ac:dyDescent="0.15">
      <c r="A8" s="274"/>
      <c r="B8" s="246"/>
      <c r="C8" s="246"/>
      <c r="D8" s="240"/>
      <c r="E8" s="240">
        <v>5</v>
      </c>
      <c r="F8" s="7" t="s">
        <v>408</v>
      </c>
      <c r="G8" s="240"/>
      <c r="H8" s="263"/>
      <c r="I8" s="240"/>
      <c r="J8" s="240"/>
      <c r="K8" s="246"/>
      <c r="L8" s="246"/>
      <c r="M8" s="246"/>
      <c r="N8" s="240"/>
      <c r="O8" s="240"/>
      <c r="P8" s="240"/>
    </row>
    <row r="9" spans="1:16" ht="18" customHeight="1" outlineLevel="1" x14ac:dyDescent="0.15">
      <c r="A9" s="274"/>
      <c r="B9" s="246"/>
      <c r="C9" s="246"/>
      <c r="D9" s="240"/>
      <c r="E9" s="240">
        <v>6</v>
      </c>
      <c r="F9" s="7" t="s">
        <v>409</v>
      </c>
      <c r="G9" s="240"/>
      <c r="H9" s="263"/>
      <c r="I9" s="240"/>
      <c r="J9" s="240"/>
      <c r="K9" s="246"/>
      <c r="L9" s="246"/>
      <c r="M9" s="246"/>
      <c r="N9" s="240"/>
      <c r="O9" s="240"/>
      <c r="P9" s="240"/>
    </row>
    <row r="10" spans="1:16" ht="18" customHeight="1" outlineLevel="1" x14ac:dyDescent="0.15">
      <c r="A10" s="274"/>
      <c r="B10" s="246"/>
      <c r="C10" s="246"/>
      <c r="D10" s="240"/>
      <c r="E10" s="240">
        <v>7</v>
      </c>
      <c r="F10" s="7" t="s">
        <v>307</v>
      </c>
      <c r="G10" s="240"/>
      <c r="H10" s="263"/>
      <c r="I10" s="240"/>
      <c r="J10" s="240"/>
      <c r="K10" s="246"/>
      <c r="L10" s="246"/>
      <c r="M10" s="246"/>
      <c r="N10" s="240"/>
      <c r="O10" s="240"/>
      <c r="P10" s="240"/>
    </row>
    <row r="11" spans="1:16" ht="18" customHeight="1" outlineLevel="1" x14ac:dyDescent="0.15">
      <c r="A11" s="274"/>
      <c r="B11" s="246"/>
      <c r="C11" s="246"/>
      <c r="D11" s="240"/>
      <c r="E11" s="240">
        <v>8</v>
      </c>
      <c r="F11" s="7" t="s">
        <v>412</v>
      </c>
      <c r="G11" s="240"/>
      <c r="H11" s="263"/>
      <c r="I11" s="240"/>
      <c r="J11" s="240"/>
      <c r="K11" s="246"/>
      <c r="L11" s="246"/>
      <c r="M11" s="246"/>
      <c r="N11" s="240"/>
      <c r="O11" s="240"/>
      <c r="P11" s="240"/>
    </row>
    <row r="12" spans="1:16" ht="18" customHeight="1" outlineLevel="1" x14ac:dyDescent="0.15">
      <c r="A12" s="274"/>
      <c r="B12" s="246"/>
      <c r="C12" s="246"/>
      <c r="D12" s="240"/>
      <c r="E12" s="12" t="s">
        <v>280</v>
      </c>
      <c r="F12" s="240"/>
      <c r="G12" s="240"/>
      <c r="H12" s="263"/>
      <c r="I12" s="240"/>
      <c r="J12" s="240"/>
      <c r="K12" s="246"/>
      <c r="L12" s="246"/>
      <c r="M12" s="246"/>
      <c r="N12" s="240"/>
      <c r="O12" s="240"/>
      <c r="P12" s="240"/>
    </row>
    <row r="13" spans="1:16" s="112" customFormat="1" ht="18" customHeight="1" x14ac:dyDescent="0.15">
      <c r="A13" s="275"/>
      <c r="B13" s="276"/>
      <c r="C13" s="276"/>
      <c r="D13" s="270"/>
      <c r="E13" s="270"/>
      <c r="F13" s="270"/>
      <c r="G13" s="270"/>
      <c r="H13" s="277"/>
      <c r="I13" s="270"/>
      <c r="J13" s="270"/>
      <c r="K13" s="276"/>
      <c r="L13" s="276"/>
      <c r="M13" s="276"/>
      <c r="N13" s="270"/>
      <c r="O13" s="270"/>
      <c r="P13" s="270"/>
    </row>
    <row r="14" spans="1:16" s="112" customFormat="1" ht="18" hidden="1" customHeight="1" outlineLevel="1" x14ac:dyDescent="0.15">
      <c r="A14" s="275"/>
      <c r="B14" s="276"/>
      <c r="C14" s="276"/>
      <c r="D14" s="270"/>
      <c r="E14" s="270"/>
      <c r="F14" s="270"/>
      <c r="G14" s="112" t="s">
        <v>172</v>
      </c>
      <c r="H14" s="277" t="str" cm="1">
        <f t="array" ref="H14:J14">IF(G14="Khách hàng",TRANSPOSE(_xlfn._xlws.SORT(Table_KhachHang[Mã KH])),
TRANSPOSE(_xlfn._xlws.SORT(_xlfn._xlws.FILTER(Table_NhaCungCap[Mã Đối tác],Table_NhaCungCap[Loại đối tác]=Sheet_ThuChiKD!G14,""))))</f>
        <v>KH1</v>
      </c>
      <c r="I14" s="270" t="str">
        <v>KH2</v>
      </c>
      <c r="J14" s="270" t="str">
        <v>KH3</v>
      </c>
      <c r="K14" s="276"/>
      <c r="L14" s="276"/>
      <c r="M14" s="276"/>
      <c r="N14" s="270"/>
      <c r="O14" s="270"/>
      <c r="P14" s="270"/>
    </row>
    <row r="15" spans="1:16" s="112" customFormat="1" ht="18" hidden="1" customHeight="1" outlineLevel="1" x14ac:dyDescent="0.15">
      <c r="A15" s="275"/>
      <c r="B15" s="276"/>
      <c r="C15" s="276"/>
      <c r="D15" s="270"/>
      <c r="E15" s="270"/>
      <c r="F15" s="270"/>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0" t="str">
        <v>NCC2</v>
      </c>
      <c r="J15" s="270" t="str">
        <v>NCC3</v>
      </c>
      <c r="K15" s="276"/>
      <c r="L15" s="276"/>
      <c r="M15" s="276"/>
      <c r="N15" s="270"/>
      <c r="O15" s="270"/>
      <c r="P15" s="270"/>
    </row>
    <row r="16" spans="1:16" s="112" customFormat="1" ht="18" hidden="1" customHeight="1" outlineLevel="1" x14ac:dyDescent="0.15">
      <c r="A16" s="275"/>
      <c r="B16" s="276"/>
      <c r="C16" s="276"/>
      <c r="D16" s="270"/>
      <c r="E16" s="270"/>
      <c r="F16" s="270"/>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0"/>
      <c r="J16" s="270"/>
      <c r="K16" s="276"/>
      <c r="L16" s="276"/>
      <c r="M16" s="276"/>
      <c r="N16" s="270"/>
      <c r="O16" s="270"/>
      <c r="P16" s="270"/>
    </row>
    <row r="17" spans="1:16" s="112" customFormat="1" ht="18" hidden="1" customHeight="1" outlineLevel="1" x14ac:dyDescent="0.15">
      <c r="A17" s="275"/>
      <c r="B17" s="276"/>
      <c r="C17" s="276"/>
      <c r="D17" s="270"/>
      <c r="E17" s="270"/>
      <c r="F17" s="270"/>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0"/>
      <c r="J17" s="270"/>
      <c r="K17" s="276"/>
      <c r="L17" s="276"/>
      <c r="M17" s="276"/>
      <c r="N17" s="270"/>
      <c r="O17" s="270"/>
      <c r="P17" s="270"/>
    </row>
    <row r="18" spans="1:16" s="112" customFormat="1" ht="18" hidden="1" customHeight="1" outlineLevel="1" x14ac:dyDescent="0.15">
      <c r="A18" s="275"/>
      <c r="B18" s="276"/>
      <c r="C18" s="276"/>
      <c r="D18" s="270"/>
      <c r="E18" s="270"/>
      <c r="F18" s="270"/>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0"/>
      <c r="J18" s="270"/>
      <c r="K18" s="276"/>
      <c r="L18" s="276"/>
      <c r="M18" s="276"/>
      <c r="N18" s="270"/>
      <c r="O18" s="270"/>
      <c r="P18" s="270"/>
    </row>
    <row r="19" spans="1:16" s="112" customFormat="1" ht="18" hidden="1" customHeight="1" outlineLevel="1" x14ac:dyDescent="0.15">
      <c r="A19" s="275"/>
      <c r="B19" s="276"/>
      <c r="C19" s="276"/>
      <c r="D19" s="270"/>
      <c r="E19" s="270"/>
      <c r="F19" s="270"/>
      <c r="G19" s="112" t="str">
        <f>Sheet_DoiTac!D12</f>
        <v>Dịch vụ tài chính</v>
      </c>
      <c r="H19" s="175" t="str" cm="1">
        <f t="array" ref="H19">IF(G19="Khách hàng",TRANSPOSE(_xlfn._xlws.SORT(Table_KhachHang[Mã KH])),
TRANSPOSE(_xlfn._xlws.SORT(_xlfn._xlws.FILTER(Table_NhaCungCap[Mã Đối tác],Table_NhaCungCap[Loại đối tác]=Sheet_ThuChiKD!G19,""))))</f>
        <v/>
      </c>
      <c r="I19" s="270"/>
      <c r="J19" s="270"/>
      <c r="K19" s="276"/>
      <c r="L19" s="276"/>
      <c r="M19" s="276"/>
      <c r="N19" s="270"/>
      <c r="O19" s="270"/>
      <c r="P19" s="270"/>
    </row>
    <row r="20" spans="1:16" s="112" customFormat="1" ht="18" hidden="1" customHeight="1" outlineLevel="1" x14ac:dyDescent="0.15">
      <c r="A20" s="275"/>
      <c r="B20" s="276"/>
      <c r="C20" s="276"/>
      <c r="D20" s="270"/>
      <c r="E20" s="270"/>
      <c r="F20" s="270"/>
      <c r="G20" s="112" t="str">
        <f>Sheet_DoiTac!D7</f>
        <v>Tiện ích</v>
      </c>
      <c r="H20" s="175" t="str" cm="1">
        <f t="array" ref="H20:I20">IF(G20="Khách hàng",TRANSPOSE(_xlfn._xlws.SORT(Table_KhachHang[Mã KH])),
TRANSPOSE(_xlfn._xlws.SORT(_xlfn._xlws.FILTER(Table_NhaCungCap[Mã Đối tác],Table_NhaCungCap[Loại đối tác]=Sheet_ThuChiKD!G20,""))))</f>
        <v>EVN</v>
      </c>
      <c r="I20" s="270" t="str">
        <v>NSG</v>
      </c>
      <c r="J20" s="270"/>
      <c r="K20" s="276"/>
      <c r="L20" s="276"/>
      <c r="M20" s="276"/>
      <c r="N20" s="270"/>
      <c r="O20" s="270"/>
      <c r="P20" s="270"/>
    </row>
    <row r="21" spans="1:16" s="112" customFormat="1" ht="18" hidden="1" customHeight="1" outlineLevel="1" x14ac:dyDescent="0.15">
      <c r="A21" s="275"/>
      <c r="B21" s="276"/>
      <c r="C21" s="276"/>
      <c r="D21" s="270"/>
      <c r="E21" s="270"/>
      <c r="F21" s="270"/>
      <c r="G21" s="112" t="str">
        <f>Sheet_DoiTac!D8</f>
        <v>Đầu tư Máy móc - Thiết bị</v>
      </c>
      <c r="H21" s="175" t="str" cm="1">
        <f t="array" ref="H21">IF(G21="Khách hàng",TRANSPOSE(_xlfn._xlws.SORT(Table_KhachHang[Mã KH])),
TRANSPOSE(_xlfn._xlws.SORT(_xlfn._xlws.FILTER(Table_NhaCungCap[Mã Đối tác],Table_NhaCungCap[Loại đối tác]=Sheet_ThuChiKD!G21,""))))</f>
        <v/>
      </c>
      <c r="I21" s="270"/>
      <c r="J21" s="270"/>
      <c r="K21" s="276"/>
      <c r="L21" s="276"/>
      <c r="M21" s="276"/>
      <c r="N21" s="270"/>
      <c r="O21" s="270"/>
      <c r="P21" s="270"/>
    </row>
    <row r="22" spans="1:16" s="112" customFormat="1" ht="18" hidden="1" customHeight="1" outlineLevel="1" x14ac:dyDescent="0.15">
      <c r="A22" s="275"/>
      <c r="B22" s="276"/>
      <c r="C22" s="276"/>
      <c r="D22" s="270"/>
      <c r="E22" s="270"/>
      <c r="F22" s="270"/>
      <c r="G22" s="112" t="str">
        <f>Sheet_DoiTac!D9</f>
        <v>Dịch vụ sản xuất</v>
      </c>
      <c r="H22" s="175" t="str" cm="1">
        <f t="array" ref="H22:I22">IF(G22="Khách hàng",TRANSPOSE(_xlfn._xlws.SORT(Table_KhachHang[Mã KH])),
TRANSPOSE(_xlfn._xlws.SORT(_xlfn._xlws.FILTER(Table_NhaCungCap[Mã Đối tác],Table_NhaCungCap[Loại đối tác]=Sheet_ThuChiKD!G22,""))))</f>
        <v>MT</v>
      </c>
      <c r="I22" s="270" t="str">
        <v>O&amp;M</v>
      </c>
      <c r="J22" s="270"/>
      <c r="K22" s="276"/>
      <c r="L22" s="276"/>
      <c r="M22" s="276"/>
      <c r="N22" s="270"/>
      <c r="O22" s="270"/>
      <c r="P22" s="270"/>
    </row>
    <row r="23" spans="1:16" s="112" customFormat="1" ht="18" hidden="1" customHeight="1" outlineLevel="1" x14ac:dyDescent="0.15">
      <c r="A23" s="275"/>
      <c r="B23" s="276"/>
      <c r="C23" s="276"/>
      <c r="D23" s="270"/>
      <c r="E23" s="270"/>
      <c r="F23" s="270"/>
      <c r="G23" s="112" t="str">
        <f>Sheet_DoiTac!D10</f>
        <v>Marketing - Thương mại</v>
      </c>
      <c r="H23" s="175" t="str" cm="1">
        <f t="array" ref="H23:I23">IF(G23="Khách hàng",TRANSPOSE(_xlfn._xlws.SORT(Table_KhachHang[Mã KH])),
TRANSPOSE(_xlfn._xlws.SORT(_xlfn._xlws.FILTER(Table_NhaCungCap[Mã Đối tác],Table_NhaCungCap[Loại đối tác]=Sheet_ThuChiKD!G23,""))))</f>
        <v>Ad1</v>
      </c>
      <c r="I23" s="270" t="str">
        <v>Agency1</v>
      </c>
      <c r="J23" s="270"/>
      <c r="K23" s="276"/>
      <c r="L23" s="276"/>
      <c r="M23" s="276"/>
      <c r="N23" s="270"/>
      <c r="O23" s="270"/>
      <c r="P23" s="270"/>
    </row>
    <row r="24" spans="1:16" s="112" customFormat="1" ht="18" hidden="1" customHeight="1" outlineLevel="1" x14ac:dyDescent="0.15">
      <c r="A24" s="275"/>
      <c r="B24" s="276"/>
      <c r="C24" s="276"/>
      <c r="D24" s="270"/>
      <c r="E24" s="270"/>
      <c r="F24" s="270"/>
      <c r="G24" s="112" t="str">
        <f>Sheet_DoiTac!D11</f>
        <v>Dịch vụ quản lý</v>
      </c>
      <c r="H24" s="175" t="str" cm="1">
        <f t="array" ref="H24:I24">IF(G24="Khách hàng",TRANSPOSE(_xlfn._xlws.SORT(Table_KhachHang[Mã KH])),
TRANSPOSE(_xlfn._xlws.SORT(_xlfn._xlws.FILTER(Table_NhaCungCap[Mã Đối tác],Table_NhaCungCap[Loại đối tác]=Sheet_ThuChiKD!G24,""))))</f>
        <v>Secu</v>
      </c>
      <c r="I24" s="270" t="str">
        <v>Soft1</v>
      </c>
      <c r="J24" s="270"/>
      <c r="K24" s="276"/>
      <c r="L24" s="276"/>
      <c r="M24" s="276"/>
      <c r="N24" s="270"/>
      <c r="O24" s="270"/>
      <c r="P24" s="270"/>
    </row>
    <row r="25" spans="1:16" s="112" customFormat="1" ht="18" hidden="1" customHeight="1" outlineLevel="1" x14ac:dyDescent="0.15">
      <c r="A25" s="275"/>
      <c r="B25" s="276"/>
      <c r="C25" s="276"/>
      <c r="D25" s="270"/>
      <c r="E25" s="270"/>
      <c r="F25" s="270"/>
      <c r="G25" s="112" t="s">
        <v>768</v>
      </c>
      <c r="H25" s="175" t="str" cm="1">
        <f t="array" ref="H25">IF(G25="Khách hàng",TRANSPOSE(_xlfn._xlws.SORT(Table_KhachHang[Mã KH])),
TRANSPOSE(_xlfn._xlws.SORT(_xlfn._xlws.FILTER(Table_NhaCungCap[Mã Đối tác],Table_NhaCungCap[Loại đối tác]=Sheet_ThuChiKD!G25,""))))</f>
        <v/>
      </c>
      <c r="I25" s="270"/>
      <c r="J25" s="270"/>
      <c r="K25" s="276"/>
      <c r="L25" s="276"/>
      <c r="M25" s="276"/>
      <c r="N25" s="270"/>
      <c r="O25" s="270"/>
      <c r="P25" s="270"/>
    </row>
    <row r="26" spans="1:16" s="112" customFormat="1" ht="18" hidden="1" customHeight="1" outlineLevel="1" x14ac:dyDescent="0.15">
      <c r="A26" s="275"/>
      <c r="B26" s="276"/>
      <c r="C26" s="276"/>
      <c r="D26" s="270"/>
      <c r="E26" s="270"/>
      <c r="F26" s="270"/>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0"/>
      <c r="J26" s="270"/>
      <c r="K26" s="276"/>
      <c r="L26" s="276"/>
      <c r="M26" s="276"/>
      <c r="N26" s="270"/>
      <c r="O26" s="270"/>
      <c r="P26" s="270"/>
    </row>
    <row r="27" spans="1:16" ht="18" customHeight="1" collapsed="1" x14ac:dyDescent="0.3">
      <c r="A27" s="274"/>
      <c r="B27" s="248">
        <v>1</v>
      </c>
      <c r="C27" s="51" t="str">
        <f>CONCATENATE(E27,"-",H27,"-",MOD(YEAR(D27),100)*10000+MONTH(D27)*100+DAY(D27),"-",B27)</f>
        <v>--100-1</v>
      </c>
      <c r="D27" s="393"/>
      <c r="E27" s="243"/>
      <c r="F27" s="243"/>
      <c r="G27" s="243"/>
      <c r="H27" s="243"/>
      <c r="I27" s="243"/>
      <c r="J27" s="391"/>
      <c r="K27" s="55">
        <f>IF(E27 = "THU",
VLOOKUP(I27,Table_TaiKhoan[[#All],[Mã Tài khoản]:[Phí Thanh toán]],Sheet_TaiKhoan!$E$3-Sheet_TaiKhoan!$B$3+1,0),
0)</f>
        <v>0</v>
      </c>
      <c r="L27" s="48">
        <f>J27*K27</f>
        <v>0</v>
      </c>
      <c r="M27" s="48">
        <f>J27-L27</f>
        <v>0</v>
      </c>
      <c r="N27" s="245"/>
      <c r="O27" s="240"/>
      <c r="P27" s="240"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4"/>
      <c r="B28" s="39" t="s">
        <v>638</v>
      </c>
      <c r="C28" s="46" t="s">
        <v>769</v>
      </c>
      <c r="D28" s="46" t="s">
        <v>770</v>
      </c>
      <c r="E28" s="46" t="s">
        <v>771</v>
      </c>
      <c r="F28" s="46" t="s">
        <v>767</v>
      </c>
      <c r="G28" s="46" t="s">
        <v>556</v>
      </c>
      <c r="H28" s="46" t="s">
        <v>551</v>
      </c>
      <c r="I28" s="46" t="s">
        <v>772</v>
      </c>
      <c r="J28" s="46" t="s">
        <v>773</v>
      </c>
      <c r="K28" s="46" t="s">
        <v>774</v>
      </c>
      <c r="L28" s="46" t="s">
        <v>775</v>
      </c>
      <c r="M28" s="46" t="s">
        <v>776</v>
      </c>
      <c r="N28" s="7" t="s">
        <v>873</v>
      </c>
      <c r="O28" s="240"/>
      <c r="P28" s="240"/>
    </row>
    <row r="29" spans="1:16" ht="18" customHeight="1" x14ac:dyDescent="0.3">
      <c r="A29" s="274"/>
      <c r="B29" s="539"/>
      <c r="C29" s="51" t="str">
        <f t="shared" ref="C29:C46" si="1">CONCATENATE(E29,"-",H29,"-",MOD(YEAR(D29),100)*10000+MONTH(D29)*100+DAY(D29),"-",B29)</f>
        <v>CHI-NCC1-250331-</v>
      </c>
      <c r="D29" s="392">
        <v>45747</v>
      </c>
      <c r="E29" s="243" t="s">
        <v>1227</v>
      </c>
      <c r="F29" s="243" t="s">
        <v>405</v>
      </c>
      <c r="G29" s="243"/>
      <c r="H29" s="243" t="s">
        <v>1158</v>
      </c>
      <c r="I29" s="243" t="s">
        <v>1226</v>
      </c>
      <c r="J29" s="404">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5"/>
      <c r="O29" s="240"/>
      <c r="P29" s="240"/>
    </row>
    <row r="30" spans="1:16" ht="18" customHeight="1" x14ac:dyDescent="0.3">
      <c r="B30" s="539"/>
      <c r="C30" s="51" t="str">
        <f t="shared" si="1"/>
        <v>CHI-NCC2-250331-</v>
      </c>
      <c r="D30" s="392">
        <v>45747</v>
      </c>
      <c r="E30" s="243" t="s">
        <v>1227</v>
      </c>
      <c r="F30" s="243" t="s">
        <v>405</v>
      </c>
      <c r="G30" s="243"/>
      <c r="H30" s="243" t="s">
        <v>1159</v>
      </c>
      <c r="I30" s="243" t="s">
        <v>1226</v>
      </c>
      <c r="J30" s="404">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5"/>
    </row>
    <row r="31" spans="1:16" ht="18" customHeight="1" x14ac:dyDescent="0.3">
      <c r="B31" s="539"/>
      <c r="C31" s="51" t="str">
        <f t="shared" si="1"/>
        <v>CHI-NCC3-250331-</v>
      </c>
      <c r="D31" s="392">
        <v>45747</v>
      </c>
      <c r="E31" s="243" t="s">
        <v>1227</v>
      </c>
      <c r="F31" s="243" t="s">
        <v>405</v>
      </c>
      <c r="G31" s="243"/>
      <c r="H31" s="243" t="s">
        <v>1160</v>
      </c>
      <c r="I31" s="243" t="s">
        <v>1226</v>
      </c>
      <c r="J31" s="404">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5"/>
    </row>
    <row r="32" spans="1:16" ht="18" customHeight="1" x14ac:dyDescent="0.3">
      <c r="B32" s="539"/>
      <c r="C32" s="51" t="str">
        <f t="shared" si="1"/>
        <v>CHI-NCC1-250430-</v>
      </c>
      <c r="D32" s="392">
        <v>45777</v>
      </c>
      <c r="E32" s="243" t="s">
        <v>1227</v>
      </c>
      <c r="F32" s="243" t="s">
        <v>405</v>
      </c>
      <c r="G32" s="243"/>
      <c r="H32" s="243" t="s">
        <v>1158</v>
      </c>
      <c r="I32" s="243" t="s">
        <v>1226</v>
      </c>
      <c r="J32" s="404">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5"/>
    </row>
    <row r="33" spans="2:14" ht="18" customHeight="1" x14ac:dyDescent="0.3">
      <c r="B33" s="539"/>
      <c r="C33" s="51" t="str">
        <f t="shared" si="1"/>
        <v>CHI-NCC2-250430-</v>
      </c>
      <c r="D33" s="392">
        <v>45777</v>
      </c>
      <c r="E33" s="243" t="s">
        <v>1227</v>
      </c>
      <c r="F33" s="243" t="s">
        <v>405</v>
      </c>
      <c r="G33" s="243"/>
      <c r="H33" s="243" t="s">
        <v>1159</v>
      </c>
      <c r="I33" s="243" t="s">
        <v>1226</v>
      </c>
      <c r="J33" s="404">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5"/>
    </row>
    <row r="34" spans="2:14" ht="18" customHeight="1" x14ac:dyDescent="0.3">
      <c r="B34" s="539"/>
      <c r="C34" s="51" t="str">
        <f t="shared" si="1"/>
        <v>CHI-NCC3-250430-</v>
      </c>
      <c r="D34" s="392">
        <v>45777</v>
      </c>
      <c r="E34" s="243" t="s">
        <v>1227</v>
      </c>
      <c r="F34" s="243" t="s">
        <v>405</v>
      </c>
      <c r="G34" s="243"/>
      <c r="H34" s="243" t="s">
        <v>1160</v>
      </c>
      <c r="I34" s="243" t="s">
        <v>1226</v>
      </c>
      <c r="J34" s="404">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5"/>
    </row>
    <row r="35" spans="2:14" ht="18" customHeight="1" x14ac:dyDescent="0.3">
      <c r="B35" s="539"/>
      <c r="C35" s="51" t="str">
        <f t="shared" si="1"/>
        <v>CHI-NCC1-250531-</v>
      </c>
      <c r="D35" s="392">
        <v>45808</v>
      </c>
      <c r="E35" s="243" t="s">
        <v>1227</v>
      </c>
      <c r="F35" s="243" t="s">
        <v>405</v>
      </c>
      <c r="G35" s="243"/>
      <c r="H35" s="243" t="s">
        <v>1158</v>
      </c>
      <c r="I35" s="243" t="s">
        <v>1226</v>
      </c>
      <c r="J35" s="404">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5"/>
    </row>
    <row r="36" spans="2:14" ht="18" customHeight="1" x14ac:dyDescent="0.3">
      <c r="B36" s="539"/>
      <c r="C36" s="51" t="str">
        <f t="shared" si="1"/>
        <v>CHI-NCC2-250531-</v>
      </c>
      <c r="D36" s="392">
        <v>45808</v>
      </c>
      <c r="E36" s="243" t="s">
        <v>1227</v>
      </c>
      <c r="F36" s="243" t="s">
        <v>405</v>
      </c>
      <c r="G36" s="243"/>
      <c r="H36" s="243" t="s">
        <v>1159</v>
      </c>
      <c r="I36" s="243" t="s">
        <v>1226</v>
      </c>
      <c r="J36" s="404">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5"/>
    </row>
    <row r="37" spans="2:14" ht="18" customHeight="1" x14ac:dyDescent="0.3">
      <c r="B37" s="539"/>
      <c r="C37" s="51" t="str">
        <f t="shared" si="1"/>
        <v>CHI-NCC3-250531-</v>
      </c>
      <c r="D37" s="392">
        <v>45808</v>
      </c>
      <c r="E37" s="243" t="s">
        <v>1227</v>
      </c>
      <c r="F37" s="243" t="s">
        <v>405</v>
      </c>
      <c r="G37" s="243"/>
      <c r="H37" s="243" t="s">
        <v>1160</v>
      </c>
      <c r="I37" s="243" t="s">
        <v>1226</v>
      </c>
      <c r="J37" s="404">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5"/>
    </row>
    <row r="38" spans="2:14" ht="18" customHeight="1" x14ac:dyDescent="0.3">
      <c r="B38" s="539"/>
      <c r="C38" s="51" t="str">
        <f t="shared" si="1"/>
        <v>THU-KH1-250331-</v>
      </c>
      <c r="D38" s="392">
        <v>45747</v>
      </c>
      <c r="E38" s="243" t="s">
        <v>1225</v>
      </c>
      <c r="F38" s="243" t="s">
        <v>403</v>
      </c>
      <c r="G38" s="243"/>
      <c r="H38" s="243" t="s">
        <v>1195</v>
      </c>
      <c r="I38" s="243" t="s">
        <v>1226</v>
      </c>
      <c r="J38" s="404">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5"/>
    </row>
    <row r="39" spans="2:14" ht="18" customHeight="1" x14ac:dyDescent="0.3">
      <c r="B39" s="539"/>
      <c r="C39" s="51" t="str">
        <f t="shared" si="1"/>
        <v>THU-KH2-250331-</v>
      </c>
      <c r="D39" s="392">
        <v>45747</v>
      </c>
      <c r="E39" s="243" t="s">
        <v>1225</v>
      </c>
      <c r="F39" s="243" t="s">
        <v>403</v>
      </c>
      <c r="G39" s="243"/>
      <c r="H39" s="243" t="s">
        <v>1196</v>
      </c>
      <c r="I39" s="243" t="s">
        <v>1226</v>
      </c>
      <c r="J39" s="404">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5"/>
    </row>
    <row r="40" spans="2:14" ht="18" customHeight="1" x14ac:dyDescent="0.3">
      <c r="B40" s="539"/>
      <c r="C40" s="51" t="str">
        <f t="shared" si="1"/>
        <v>THU-KH3-250331-</v>
      </c>
      <c r="D40" s="392">
        <v>45747</v>
      </c>
      <c r="E40" s="243" t="s">
        <v>1225</v>
      </c>
      <c r="F40" s="243" t="s">
        <v>403</v>
      </c>
      <c r="G40" s="243"/>
      <c r="H40" s="243" t="s">
        <v>1197</v>
      </c>
      <c r="I40" s="243" t="s">
        <v>1226</v>
      </c>
      <c r="J40" s="404">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5"/>
    </row>
    <row r="41" spans="2:14" ht="18" customHeight="1" x14ac:dyDescent="0.3">
      <c r="B41" s="539"/>
      <c r="C41" s="51" t="str">
        <f t="shared" si="1"/>
        <v>THU-KH1-250430-</v>
      </c>
      <c r="D41" s="392">
        <v>45777</v>
      </c>
      <c r="E41" s="243" t="s">
        <v>1225</v>
      </c>
      <c r="F41" s="243" t="s">
        <v>403</v>
      </c>
      <c r="G41" s="243"/>
      <c r="H41" s="243" t="s">
        <v>1195</v>
      </c>
      <c r="I41" s="243" t="s">
        <v>1226</v>
      </c>
      <c r="J41" s="404">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5"/>
    </row>
    <row r="42" spans="2:14" ht="18" customHeight="1" x14ac:dyDescent="0.3">
      <c r="B42" s="539"/>
      <c r="C42" s="51" t="str">
        <f t="shared" si="1"/>
        <v>THU-KH2-250430-</v>
      </c>
      <c r="D42" s="392">
        <v>45777</v>
      </c>
      <c r="E42" s="243" t="s">
        <v>1225</v>
      </c>
      <c r="F42" s="243" t="s">
        <v>403</v>
      </c>
      <c r="G42" s="243"/>
      <c r="H42" s="243" t="s">
        <v>1196</v>
      </c>
      <c r="I42" s="243" t="s">
        <v>1226</v>
      </c>
      <c r="J42" s="404">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5"/>
    </row>
    <row r="43" spans="2:14" ht="18" customHeight="1" x14ac:dyDescent="0.3">
      <c r="B43" s="539"/>
      <c r="C43" s="51" t="str">
        <f t="shared" si="1"/>
        <v>THU-KH3-250430-</v>
      </c>
      <c r="D43" s="392">
        <v>45777</v>
      </c>
      <c r="E43" s="243" t="s">
        <v>1225</v>
      </c>
      <c r="F43" s="243" t="s">
        <v>403</v>
      </c>
      <c r="G43" s="243"/>
      <c r="H43" s="243" t="s">
        <v>1197</v>
      </c>
      <c r="I43" s="243" t="s">
        <v>1226</v>
      </c>
      <c r="J43" s="404">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5"/>
    </row>
    <row r="44" spans="2:14" ht="18" customHeight="1" x14ac:dyDescent="0.3">
      <c r="B44" s="539"/>
      <c r="C44" s="51" t="str">
        <f t="shared" si="1"/>
        <v>THU-KH1-250531-</v>
      </c>
      <c r="D44" s="392">
        <v>45808</v>
      </c>
      <c r="E44" s="243" t="s">
        <v>1225</v>
      </c>
      <c r="F44" s="243" t="s">
        <v>403</v>
      </c>
      <c r="G44" s="243"/>
      <c r="H44" s="243" t="s">
        <v>1195</v>
      </c>
      <c r="I44" s="243" t="s">
        <v>1226</v>
      </c>
      <c r="J44" s="404">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5"/>
    </row>
    <row r="45" spans="2:14" ht="18" customHeight="1" x14ac:dyDescent="0.3">
      <c r="B45" s="539"/>
      <c r="C45" s="51" t="str">
        <f t="shared" si="1"/>
        <v>THU-KH2-250531-</v>
      </c>
      <c r="D45" s="392">
        <v>45808</v>
      </c>
      <c r="E45" s="243" t="s">
        <v>1225</v>
      </c>
      <c r="F45" s="243" t="s">
        <v>403</v>
      </c>
      <c r="G45" s="243"/>
      <c r="H45" s="243" t="s">
        <v>1196</v>
      </c>
      <c r="I45" s="243" t="s">
        <v>1226</v>
      </c>
      <c r="J45" s="404">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5"/>
    </row>
    <row r="46" spans="2:14" ht="18" customHeight="1" x14ac:dyDescent="0.3">
      <c r="B46" s="248">
        <v>1</v>
      </c>
      <c r="C46" s="51" t="str">
        <f t="shared" si="1"/>
        <v>THU-KH3-250531-1</v>
      </c>
      <c r="D46" s="392">
        <v>45808</v>
      </c>
      <c r="E46" s="243" t="s">
        <v>1225</v>
      </c>
      <c r="F46" s="243" t="s">
        <v>403</v>
      </c>
      <c r="G46" s="243"/>
      <c r="H46" s="243" t="s">
        <v>1197</v>
      </c>
      <c r="I46" s="243" t="s">
        <v>1226</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5"/>
    </row>
    <row r="47" spans="2:14" ht="18" customHeight="1" x14ac:dyDescent="0.15">
      <c r="B47" s="246"/>
      <c r="C47" s="246"/>
      <c r="D47" s="240"/>
      <c r="E47" s="240"/>
      <c r="F47" s="240"/>
      <c r="G47" s="240"/>
      <c r="H47" s="263"/>
      <c r="I47" s="240"/>
      <c r="J47" s="240"/>
      <c r="K47" s="246"/>
      <c r="L47" s="246"/>
      <c r="M47" s="246"/>
      <c r="N47" s="240"/>
    </row>
    <row r="48" spans="2:14" ht="18" customHeight="1" x14ac:dyDescent="0.15">
      <c r="B48" s="246"/>
      <c r="C48" s="246"/>
      <c r="D48" s="240"/>
      <c r="E48" s="240"/>
      <c r="F48" s="240"/>
      <c r="G48" s="240"/>
      <c r="H48" s="263"/>
      <c r="I48" s="240"/>
      <c r="J48" s="240"/>
      <c r="K48" s="246"/>
      <c r="L48" s="246"/>
      <c r="M48" s="246"/>
      <c r="N48" s="240"/>
    </row>
    <row r="49" spans="2:14" ht="18" customHeight="1" x14ac:dyDescent="0.15">
      <c r="B49" s="246"/>
      <c r="C49" s="246"/>
      <c r="D49" s="240"/>
      <c r="E49" s="240"/>
      <c r="F49" s="240"/>
      <c r="G49" s="240"/>
      <c r="H49" s="263"/>
      <c r="I49" s="240"/>
      <c r="J49" s="240"/>
      <c r="K49" s="246"/>
      <c r="L49" s="246"/>
      <c r="M49" s="246"/>
      <c r="N49" s="240"/>
    </row>
    <row r="50" spans="2:14" ht="18" customHeight="1" x14ac:dyDescent="0.15">
      <c r="B50" s="246"/>
      <c r="C50" s="246"/>
      <c r="D50" s="240"/>
      <c r="E50" s="240"/>
      <c r="F50" s="240"/>
      <c r="G50" s="240"/>
      <c r="H50" s="263"/>
      <c r="I50" s="240"/>
      <c r="J50" s="240"/>
      <c r="K50" s="246"/>
      <c r="L50" s="246"/>
      <c r="M50" s="246"/>
      <c r="N50" s="240"/>
    </row>
    <row r="51" spans="2:14" ht="18" customHeight="1" x14ac:dyDescent="0.15">
      <c r="B51" s="246"/>
      <c r="C51" s="246"/>
      <c r="D51" s="240"/>
      <c r="E51" s="240"/>
      <c r="F51" s="240"/>
      <c r="G51" s="240"/>
      <c r="H51" s="263"/>
      <c r="I51" s="240"/>
      <c r="J51" s="240"/>
      <c r="K51" s="246"/>
      <c r="L51" s="246"/>
      <c r="M51" s="246"/>
      <c r="N51" s="240"/>
    </row>
    <row r="52" spans="2:14" ht="18" customHeight="1" x14ac:dyDescent="0.15">
      <c r="B52" s="246"/>
      <c r="C52" s="246"/>
      <c r="D52" s="240"/>
      <c r="E52" s="240"/>
      <c r="F52" s="240"/>
      <c r="G52" s="240"/>
      <c r="H52" s="263"/>
      <c r="I52" s="240"/>
      <c r="J52" s="240"/>
      <c r="K52" s="246"/>
      <c r="L52" s="246"/>
      <c r="M52" s="246"/>
      <c r="N52" s="240"/>
    </row>
    <row r="53" spans="2:14" ht="18" customHeight="1" x14ac:dyDescent="0.15">
      <c r="B53" s="246"/>
      <c r="C53" s="246"/>
      <c r="D53" s="240"/>
      <c r="E53" s="240"/>
      <c r="F53" s="240"/>
      <c r="G53" s="240"/>
      <c r="H53" s="263"/>
      <c r="I53" s="240"/>
      <c r="J53" s="240"/>
      <c r="K53" s="246"/>
      <c r="L53" s="246"/>
      <c r="M53" s="246"/>
      <c r="N53" s="240"/>
    </row>
    <row r="54" spans="2:14" ht="18" customHeight="1" x14ac:dyDescent="0.15">
      <c r="B54" s="246"/>
      <c r="C54" s="246"/>
      <c r="D54" s="240"/>
      <c r="E54" s="240"/>
      <c r="F54" s="240"/>
      <c r="G54" s="240"/>
      <c r="H54" s="263"/>
      <c r="I54" s="240"/>
      <c r="J54" s="240"/>
      <c r="K54" s="246"/>
      <c r="L54" s="246"/>
      <c r="M54" s="246"/>
      <c r="N54" s="240"/>
    </row>
    <row r="55" spans="2:14" ht="18" customHeight="1" x14ac:dyDescent="0.15">
      <c r="B55" s="246"/>
      <c r="C55" s="246"/>
      <c r="D55" s="240"/>
      <c r="E55" s="240"/>
      <c r="F55" s="240"/>
      <c r="G55" s="240"/>
      <c r="H55" s="263"/>
      <c r="I55" s="240"/>
      <c r="J55" s="240"/>
      <c r="K55" s="246"/>
      <c r="L55" s="246"/>
      <c r="M55" s="246"/>
      <c r="N55" s="240"/>
    </row>
    <row r="56" spans="2:14" ht="18" customHeight="1" x14ac:dyDescent="0.15">
      <c r="B56" s="246"/>
      <c r="C56" s="246"/>
      <c r="D56" s="240"/>
      <c r="E56" s="240"/>
      <c r="F56" s="240"/>
      <c r="G56" s="240"/>
      <c r="H56" s="263"/>
      <c r="I56" s="240"/>
      <c r="J56" s="240"/>
      <c r="K56" s="246"/>
      <c r="L56" s="246"/>
      <c r="M56" s="246"/>
      <c r="N56" s="240"/>
    </row>
    <row r="57" spans="2:14" ht="18" customHeight="1" x14ac:dyDescent="0.15">
      <c r="B57" s="246"/>
      <c r="C57" s="246"/>
      <c r="D57" s="240"/>
      <c r="E57" s="240"/>
      <c r="F57" s="240"/>
      <c r="G57" s="240"/>
      <c r="H57" s="263"/>
      <c r="I57" s="240"/>
      <c r="J57" s="240"/>
      <c r="K57" s="246"/>
      <c r="L57" s="246"/>
      <c r="M57" s="246"/>
      <c r="N57" s="240"/>
    </row>
    <row r="58" spans="2:14" ht="18" customHeight="1" x14ac:dyDescent="0.15">
      <c r="B58" s="246"/>
      <c r="C58" s="246"/>
      <c r="D58" s="240"/>
      <c r="E58" s="240"/>
      <c r="F58" s="240"/>
      <c r="G58" s="240"/>
      <c r="H58" s="263"/>
      <c r="I58" s="240"/>
      <c r="J58" s="240"/>
      <c r="K58" s="246"/>
      <c r="L58" s="246"/>
      <c r="M58" s="246"/>
      <c r="N58" s="240"/>
    </row>
    <row r="59" spans="2:14" ht="18" customHeight="1" x14ac:dyDescent="0.15">
      <c r="B59" s="246"/>
      <c r="C59" s="246"/>
      <c r="D59" s="240"/>
      <c r="E59" s="240"/>
      <c r="F59" s="240"/>
      <c r="G59" s="240"/>
      <c r="H59" s="263"/>
      <c r="I59" s="240"/>
      <c r="J59" s="240"/>
      <c r="K59" s="246"/>
      <c r="L59" s="246"/>
      <c r="M59" s="246"/>
      <c r="N59" s="240"/>
    </row>
    <row r="60" spans="2:14" ht="18" customHeight="1" x14ac:dyDescent="0.15">
      <c r="B60" s="246"/>
      <c r="C60" s="246"/>
      <c r="D60" s="240"/>
      <c r="E60" s="240"/>
      <c r="F60" s="240"/>
      <c r="G60" s="240"/>
      <c r="H60" s="263"/>
      <c r="I60" s="240"/>
      <c r="J60" s="240"/>
      <c r="K60" s="246"/>
      <c r="L60" s="246"/>
      <c r="M60" s="246"/>
      <c r="N60" s="240"/>
    </row>
    <row r="61" spans="2:14" ht="18" customHeight="1" x14ac:dyDescent="0.15">
      <c r="B61" s="246"/>
      <c r="C61" s="246"/>
      <c r="D61" s="240"/>
      <c r="E61" s="240"/>
      <c r="F61" s="240"/>
      <c r="G61" s="240"/>
      <c r="H61" s="263"/>
      <c r="I61" s="240"/>
      <c r="J61" s="240"/>
      <c r="K61" s="246"/>
      <c r="L61" s="246"/>
      <c r="M61" s="246"/>
      <c r="N61" s="240"/>
    </row>
    <row r="62" spans="2:14" ht="18" customHeight="1" x14ac:dyDescent="0.15">
      <c r="B62" s="246"/>
      <c r="C62" s="246"/>
      <c r="D62" s="240"/>
      <c r="E62" s="240"/>
      <c r="F62" s="240"/>
      <c r="G62" s="240"/>
      <c r="H62" s="263"/>
      <c r="I62" s="240"/>
      <c r="J62" s="240"/>
      <c r="K62" s="246"/>
      <c r="L62" s="246"/>
      <c r="M62" s="246"/>
      <c r="N62" s="240"/>
    </row>
    <row r="63" spans="2:14" ht="18" customHeight="1" x14ac:dyDescent="0.15">
      <c r="B63" s="246"/>
      <c r="C63" s="246"/>
      <c r="D63" s="240"/>
      <c r="E63" s="240"/>
      <c r="F63" s="240"/>
      <c r="G63" s="240"/>
      <c r="H63" s="263"/>
      <c r="I63" s="240"/>
      <c r="J63" s="240"/>
      <c r="K63" s="246"/>
      <c r="L63" s="246"/>
      <c r="M63" s="246"/>
      <c r="N63" s="240"/>
    </row>
    <row r="64" spans="2:14" ht="18" customHeight="1" x14ac:dyDescent="0.15">
      <c r="B64" s="246"/>
      <c r="C64" s="246"/>
      <c r="D64" s="240"/>
      <c r="E64" s="240"/>
      <c r="F64" s="240"/>
      <c r="G64" s="240"/>
      <c r="H64" s="263"/>
      <c r="I64" s="240"/>
      <c r="J64" s="240"/>
      <c r="K64" s="246"/>
      <c r="L64" s="246"/>
      <c r="M64" s="246"/>
      <c r="N64" s="240"/>
    </row>
    <row r="65" spans="2:14" ht="18" customHeight="1" x14ac:dyDescent="0.15">
      <c r="B65" s="246"/>
      <c r="C65" s="246"/>
      <c r="D65" s="240"/>
      <c r="E65" s="240"/>
      <c r="F65" s="240"/>
      <c r="G65" s="240"/>
      <c r="H65" s="263"/>
      <c r="I65" s="240"/>
      <c r="J65" s="240"/>
      <c r="K65" s="246"/>
      <c r="L65" s="246"/>
      <c r="M65" s="246"/>
      <c r="N65" s="240"/>
    </row>
    <row r="66" spans="2:14" ht="18" customHeight="1" x14ac:dyDescent="0.15">
      <c r="B66" s="246"/>
      <c r="C66" s="246"/>
      <c r="D66" s="240"/>
      <c r="E66" s="240"/>
      <c r="F66" s="240"/>
      <c r="G66" s="240"/>
      <c r="H66" s="263"/>
      <c r="I66" s="240"/>
      <c r="J66" s="240"/>
      <c r="K66" s="246"/>
      <c r="L66" s="246"/>
      <c r="M66" s="246"/>
      <c r="N66" s="240"/>
    </row>
    <row r="67" spans="2:14" ht="18" customHeight="1" x14ac:dyDescent="0.15">
      <c r="B67" s="246"/>
      <c r="C67" s="246"/>
      <c r="D67" s="240"/>
      <c r="E67" s="240"/>
      <c r="F67" s="240"/>
      <c r="G67" s="240"/>
      <c r="H67" s="263"/>
      <c r="I67" s="240"/>
      <c r="J67" s="240"/>
      <c r="K67" s="246"/>
      <c r="L67" s="246"/>
      <c r="M67" s="246"/>
      <c r="N67" s="240"/>
    </row>
    <row r="68" spans="2:14" ht="18" customHeight="1" x14ac:dyDescent="0.15">
      <c r="B68" s="246"/>
      <c r="C68" s="246"/>
      <c r="D68" s="240"/>
      <c r="E68" s="240"/>
      <c r="F68" s="240"/>
      <c r="G68" s="240"/>
      <c r="H68" s="263"/>
      <c r="I68" s="240"/>
      <c r="J68" s="240"/>
      <c r="K68" s="246"/>
      <c r="L68" s="246"/>
      <c r="M68" s="246"/>
      <c r="N68" s="240"/>
    </row>
    <row r="69" spans="2:14" ht="18" customHeight="1" x14ac:dyDescent="0.15">
      <c r="B69" s="246"/>
      <c r="C69" s="246"/>
      <c r="D69" s="240"/>
      <c r="E69" s="240"/>
      <c r="F69" s="240"/>
      <c r="G69" s="240"/>
      <c r="H69" s="263"/>
      <c r="I69" s="240"/>
      <c r="J69" s="240"/>
      <c r="K69" s="246"/>
      <c r="L69" s="246"/>
      <c r="M69" s="246"/>
      <c r="N69" s="240"/>
    </row>
    <row r="70" spans="2:14" ht="18" customHeight="1" x14ac:dyDescent="0.15">
      <c r="B70" s="246"/>
      <c r="C70" s="246"/>
      <c r="D70" s="240"/>
      <c r="E70" s="240"/>
      <c r="F70" s="240"/>
      <c r="G70" s="240"/>
      <c r="H70" s="263"/>
      <c r="I70" s="240"/>
      <c r="J70" s="240"/>
      <c r="K70" s="246"/>
      <c r="L70" s="246"/>
      <c r="M70" s="246"/>
      <c r="N70" s="240"/>
    </row>
    <row r="71" spans="2:14" ht="18" customHeight="1" x14ac:dyDescent="0.15">
      <c r="B71" s="246"/>
      <c r="C71" s="246"/>
      <c r="D71" s="240"/>
      <c r="E71" s="240"/>
      <c r="F71" s="240"/>
      <c r="G71" s="240"/>
      <c r="H71" s="263"/>
      <c r="I71" s="240"/>
      <c r="J71" s="240"/>
      <c r="K71" s="246"/>
      <c r="L71" s="246"/>
      <c r="M71" s="246"/>
      <c r="N71" s="240"/>
    </row>
    <row r="72" spans="2:14" ht="18" customHeight="1" x14ac:dyDescent="0.15">
      <c r="B72" s="246"/>
      <c r="C72" s="246"/>
      <c r="D72" s="240"/>
      <c r="E72" s="240"/>
      <c r="F72" s="240"/>
      <c r="G72" s="240"/>
      <c r="H72" s="263"/>
      <c r="I72" s="240"/>
      <c r="J72" s="240"/>
      <c r="K72" s="246"/>
      <c r="L72" s="246"/>
      <c r="M72" s="246"/>
      <c r="N72" s="240"/>
    </row>
    <row r="73" spans="2:14" ht="18" customHeight="1" x14ac:dyDescent="0.15">
      <c r="B73" s="246"/>
      <c r="C73" s="246"/>
      <c r="D73" s="240"/>
      <c r="E73" s="240"/>
      <c r="F73" s="240"/>
      <c r="G73" s="240"/>
      <c r="H73" s="263"/>
      <c r="I73" s="240"/>
      <c r="J73" s="240"/>
      <c r="K73" s="246"/>
      <c r="L73" s="246"/>
      <c r="M73" s="246"/>
      <c r="N73" s="240"/>
    </row>
    <row r="74" spans="2:14" ht="18" customHeight="1" x14ac:dyDescent="0.15">
      <c r="B74" s="246"/>
      <c r="C74" s="246"/>
      <c r="D74" s="240"/>
      <c r="E74" s="240"/>
      <c r="F74" s="240"/>
      <c r="G74" s="240"/>
      <c r="H74" s="263"/>
      <c r="I74" s="240"/>
      <c r="J74" s="240"/>
      <c r="K74" s="246"/>
      <c r="L74" s="246"/>
      <c r="M74" s="246"/>
      <c r="N74" s="240"/>
    </row>
    <row r="75" spans="2:14" ht="18" customHeight="1" x14ac:dyDescent="0.15">
      <c r="B75" s="246"/>
      <c r="C75" s="246"/>
      <c r="D75" s="240"/>
      <c r="E75" s="240"/>
      <c r="F75" s="240"/>
      <c r="G75" s="240"/>
      <c r="H75" s="263"/>
      <c r="I75" s="240"/>
      <c r="J75" s="240"/>
      <c r="K75" s="246"/>
      <c r="L75" s="246"/>
      <c r="M75" s="246"/>
      <c r="N75" s="240"/>
    </row>
    <row r="76" spans="2:14" ht="18" customHeight="1" x14ac:dyDescent="0.15">
      <c r="B76" s="246"/>
      <c r="C76" s="246"/>
      <c r="D76" s="240"/>
      <c r="E76" s="240"/>
      <c r="F76" s="240"/>
      <c r="G76" s="240"/>
      <c r="H76" s="263"/>
      <c r="I76" s="240"/>
      <c r="J76" s="240"/>
      <c r="K76" s="246"/>
      <c r="L76" s="246"/>
      <c r="M76" s="246"/>
      <c r="N76" s="240"/>
    </row>
    <row r="77" spans="2:14" ht="18" customHeight="1" x14ac:dyDescent="0.15">
      <c r="B77" s="246"/>
      <c r="C77" s="246"/>
      <c r="D77" s="240"/>
      <c r="E77" s="240"/>
      <c r="F77" s="240"/>
      <c r="G77" s="240"/>
      <c r="H77" s="263"/>
      <c r="I77" s="240"/>
      <c r="J77" s="240"/>
      <c r="K77" s="246"/>
      <c r="L77" s="246"/>
      <c r="M77" s="246"/>
      <c r="N77" s="240"/>
    </row>
    <row r="78" spans="2:14" ht="18" customHeight="1" x14ac:dyDescent="0.15">
      <c r="B78" s="246"/>
      <c r="C78" s="246"/>
      <c r="D78" s="240"/>
      <c r="E78" s="240"/>
      <c r="F78" s="240"/>
      <c r="G78" s="240"/>
      <c r="H78" s="263"/>
      <c r="I78" s="240"/>
      <c r="J78" s="240"/>
      <c r="K78" s="246"/>
      <c r="L78" s="246"/>
      <c r="M78" s="246"/>
      <c r="N78" s="240"/>
    </row>
    <row r="79" spans="2:14" ht="18" customHeight="1" x14ac:dyDescent="0.15">
      <c r="B79" s="246"/>
      <c r="C79" s="246"/>
      <c r="D79" s="240"/>
      <c r="E79" s="240"/>
      <c r="F79" s="240"/>
      <c r="G79" s="240"/>
      <c r="H79" s="263"/>
      <c r="I79" s="240"/>
      <c r="J79" s="240"/>
      <c r="K79" s="246"/>
      <c r="L79" s="246"/>
      <c r="M79" s="246"/>
      <c r="N79" s="240"/>
    </row>
    <row r="80" spans="2:14" ht="18" customHeight="1" x14ac:dyDescent="0.15">
      <c r="B80" s="246"/>
      <c r="C80" s="246"/>
      <c r="D80" s="240"/>
      <c r="E80" s="240"/>
      <c r="F80" s="240"/>
      <c r="G80" s="240"/>
      <c r="H80" s="263"/>
      <c r="I80" s="240"/>
      <c r="J80" s="240"/>
      <c r="K80" s="246"/>
      <c r="L80" s="246"/>
      <c r="M80" s="246"/>
      <c r="N80" s="240"/>
    </row>
    <row r="81" spans="2:14" ht="18" customHeight="1" x14ac:dyDescent="0.15">
      <c r="B81" s="246"/>
      <c r="C81" s="246"/>
      <c r="D81" s="240"/>
      <c r="E81" s="240"/>
      <c r="F81" s="240"/>
      <c r="G81" s="240"/>
      <c r="H81" s="263"/>
      <c r="I81" s="240"/>
      <c r="J81" s="240"/>
      <c r="K81" s="246"/>
      <c r="L81" s="246"/>
      <c r="M81" s="246"/>
      <c r="N81" s="240"/>
    </row>
    <row r="82" spans="2:14" ht="18" customHeight="1" x14ac:dyDescent="0.15">
      <c r="B82" s="246"/>
      <c r="C82" s="246"/>
      <c r="D82" s="240"/>
      <c r="E82" s="240"/>
      <c r="F82" s="240"/>
      <c r="G82" s="240"/>
      <c r="H82" s="263"/>
      <c r="I82" s="240"/>
      <c r="J82" s="240"/>
      <c r="K82" s="246"/>
      <c r="L82" s="246"/>
      <c r="M82" s="246"/>
      <c r="N82" s="240"/>
    </row>
    <row r="83" spans="2:14" ht="18" customHeight="1" x14ac:dyDescent="0.15">
      <c r="B83" s="246"/>
      <c r="C83" s="246"/>
      <c r="D83" s="240"/>
      <c r="E83" s="240"/>
      <c r="F83" s="240"/>
      <c r="G83" s="240"/>
      <c r="H83" s="263"/>
      <c r="I83" s="240"/>
      <c r="J83" s="240"/>
      <c r="K83" s="246"/>
      <c r="L83" s="246"/>
      <c r="M83" s="246"/>
      <c r="N83" s="240"/>
    </row>
    <row r="84" spans="2:14" ht="18" customHeight="1" x14ac:dyDescent="0.15">
      <c r="B84" s="246"/>
      <c r="C84" s="246"/>
      <c r="D84" s="240"/>
      <c r="E84" s="240"/>
      <c r="F84" s="240"/>
      <c r="G84" s="240"/>
      <c r="H84" s="263"/>
      <c r="I84" s="240"/>
      <c r="J84" s="240"/>
      <c r="K84" s="246"/>
      <c r="L84" s="246"/>
      <c r="M84" s="246"/>
      <c r="N84" s="240"/>
    </row>
    <row r="85" spans="2:14" ht="18" customHeight="1" x14ac:dyDescent="0.15">
      <c r="B85" s="246"/>
      <c r="C85" s="246"/>
      <c r="D85" s="240"/>
      <c r="E85" s="240"/>
      <c r="F85" s="240"/>
      <c r="G85" s="240"/>
      <c r="H85" s="263"/>
      <c r="I85" s="240"/>
      <c r="J85" s="240"/>
      <c r="K85" s="246"/>
      <c r="L85" s="246"/>
      <c r="M85" s="246"/>
      <c r="N85" s="240"/>
    </row>
    <row r="86" spans="2:14" ht="18" customHeight="1" x14ac:dyDescent="0.15">
      <c r="B86" s="246"/>
      <c r="C86" s="246"/>
      <c r="D86" s="240"/>
      <c r="E86" s="240"/>
      <c r="F86" s="240"/>
      <c r="G86" s="240"/>
      <c r="H86" s="263"/>
      <c r="I86" s="240"/>
      <c r="J86" s="240"/>
      <c r="K86" s="246"/>
      <c r="L86" s="246"/>
      <c r="M86" s="246"/>
      <c r="N86" s="240"/>
    </row>
    <row r="87" spans="2:14" ht="18" customHeight="1" x14ac:dyDescent="0.15">
      <c r="B87" s="246"/>
      <c r="C87" s="246"/>
      <c r="D87" s="240"/>
      <c r="E87" s="240"/>
      <c r="F87" s="240"/>
      <c r="G87" s="240"/>
      <c r="H87" s="263"/>
      <c r="I87" s="240"/>
      <c r="J87" s="240"/>
      <c r="K87" s="246"/>
      <c r="L87" s="246"/>
      <c r="M87" s="246"/>
      <c r="N87" s="240"/>
    </row>
    <row r="88" spans="2:14" ht="18" customHeight="1" x14ac:dyDescent="0.15">
      <c r="B88" s="246"/>
      <c r="C88" s="246"/>
      <c r="D88" s="240"/>
      <c r="E88" s="240"/>
      <c r="F88" s="240"/>
      <c r="G88" s="240"/>
      <c r="H88" s="263"/>
      <c r="I88" s="240"/>
      <c r="J88" s="240"/>
      <c r="K88" s="246"/>
      <c r="L88" s="246"/>
      <c r="M88" s="246"/>
      <c r="N88" s="240"/>
    </row>
    <row r="89" spans="2:14" ht="18" customHeight="1" x14ac:dyDescent="0.15">
      <c r="B89" s="246"/>
      <c r="C89" s="246"/>
      <c r="D89" s="240"/>
      <c r="E89" s="240"/>
      <c r="F89" s="240"/>
      <c r="G89" s="240"/>
      <c r="H89" s="263"/>
      <c r="I89" s="240"/>
      <c r="J89" s="240"/>
      <c r="K89" s="246"/>
      <c r="L89" s="246"/>
      <c r="M89" s="246"/>
      <c r="N89" s="240"/>
    </row>
    <row r="90" spans="2:14" ht="18" customHeight="1" x14ac:dyDescent="0.15">
      <c r="B90" s="246"/>
      <c r="C90" s="246"/>
      <c r="D90" s="240"/>
      <c r="E90" s="240"/>
      <c r="F90" s="240"/>
      <c r="G90" s="240"/>
      <c r="H90" s="263"/>
      <c r="I90" s="240"/>
      <c r="J90" s="240"/>
      <c r="K90" s="246"/>
      <c r="L90" s="246"/>
      <c r="M90" s="246"/>
      <c r="N90" s="240"/>
    </row>
    <row r="91" spans="2:14" ht="18" customHeight="1" x14ac:dyDescent="0.15">
      <c r="B91" s="246"/>
      <c r="C91" s="246"/>
      <c r="D91" s="240"/>
      <c r="E91" s="240"/>
      <c r="F91" s="240"/>
      <c r="G91" s="240"/>
      <c r="H91" s="263"/>
      <c r="I91" s="240"/>
      <c r="J91" s="240"/>
      <c r="K91" s="246"/>
      <c r="L91" s="246"/>
      <c r="M91" s="246"/>
      <c r="N91" s="240"/>
    </row>
    <row r="92" spans="2:14" ht="18" customHeight="1" x14ac:dyDescent="0.15">
      <c r="B92" s="246"/>
      <c r="C92" s="246"/>
      <c r="D92" s="240"/>
      <c r="E92" s="240"/>
      <c r="F92" s="240"/>
      <c r="G92" s="240"/>
      <c r="H92" s="263"/>
      <c r="I92" s="240"/>
      <c r="J92" s="240"/>
      <c r="K92" s="246"/>
      <c r="L92" s="246"/>
      <c r="M92" s="246"/>
      <c r="N92" s="240"/>
    </row>
    <row r="93" spans="2:14" ht="18" customHeight="1" x14ac:dyDescent="0.15">
      <c r="B93" s="246"/>
      <c r="C93" s="246"/>
      <c r="D93" s="240"/>
      <c r="E93" s="240"/>
      <c r="F93" s="240"/>
      <c r="G93" s="240"/>
      <c r="H93" s="263"/>
      <c r="I93" s="240"/>
      <c r="J93" s="240"/>
      <c r="K93" s="246"/>
      <c r="L93" s="246"/>
      <c r="M93" s="246"/>
      <c r="N93" s="240"/>
    </row>
    <row r="94" spans="2:14" ht="18" customHeight="1" x14ac:dyDescent="0.15">
      <c r="B94" s="246"/>
      <c r="C94" s="246"/>
      <c r="D94" s="240"/>
      <c r="E94" s="240"/>
      <c r="F94" s="240"/>
      <c r="G94" s="240"/>
      <c r="H94" s="263"/>
      <c r="I94" s="240"/>
      <c r="J94" s="240"/>
      <c r="K94" s="246"/>
      <c r="L94" s="246"/>
      <c r="M94" s="246"/>
      <c r="N94" s="240"/>
    </row>
    <row r="95" spans="2:14" ht="18" customHeight="1" x14ac:dyDescent="0.15">
      <c r="B95" s="246"/>
      <c r="C95" s="246"/>
      <c r="D95" s="240"/>
      <c r="E95" s="240"/>
      <c r="F95" s="240"/>
      <c r="G95" s="240"/>
      <c r="H95" s="263"/>
      <c r="I95" s="240"/>
      <c r="J95" s="240"/>
      <c r="K95" s="246"/>
      <c r="L95" s="246"/>
      <c r="M95" s="246"/>
      <c r="N95" s="240"/>
    </row>
    <row r="96" spans="2:14" ht="18" customHeight="1" x14ac:dyDescent="0.15">
      <c r="B96" s="246"/>
      <c r="C96" s="246"/>
      <c r="D96" s="240"/>
      <c r="E96" s="240"/>
      <c r="F96" s="240"/>
      <c r="G96" s="240"/>
      <c r="H96" s="263"/>
      <c r="I96" s="240"/>
      <c r="J96" s="240"/>
      <c r="K96" s="246"/>
      <c r="L96" s="246"/>
      <c r="M96" s="246"/>
      <c r="N96" s="240"/>
    </row>
    <row r="97" spans="2:14" ht="18" customHeight="1" x14ac:dyDescent="0.15">
      <c r="B97" s="246"/>
      <c r="C97" s="246"/>
      <c r="D97" s="240"/>
      <c r="E97" s="240"/>
      <c r="F97" s="240"/>
      <c r="G97" s="240"/>
      <c r="H97" s="263"/>
      <c r="I97" s="240"/>
      <c r="J97" s="240"/>
      <c r="K97" s="246"/>
      <c r="L97" s="246"/>
      <c r="M97" s="246"/>
      <c r="N97" s="240"/>
    </row>
    <row r="98" spans="2:14" ht="18" customHeight="1" x14ac:dyDescent="0.15">
      <c r="B98" s="246"/>
      <c r="C98" s="246"/>
      <c r="D98" s="240"/>
      <c r="E98" s="240"/>
      <c r="F98" s="240"/>
      <c r="G98" s="240"/>
      <c r="H98" s="263"/>
      <c r="I98" s="240"/>
      <c r="J98" s="240"/>
      <c r="K98" s="246"/>
      <c r="L98" s="246"/>
      <c r="M98" s="246"/>
      <c r="N98" s="240"/>
    </row>
    <row r="99" spans="2:14" ht="18" customHeight="1" x14ac:dyDescent="0.15">
      <c r="B99" s="246"/>
      <c r="C99" s="246"/>
      <c r="D99" s="240"/>
      <c r="E99" s="240"/>
      <c r="F99" s="240"/>
      <c r="G99" s="240"/>
      <c r="H99" s="263"/>
      <c r="I99" s="240"/>
      <c r="J99" s="240"/>
      <c r="K99" s="246"/>
      <c r="L99" s="246"/>
      <c r="M99" s="246"/>
      <c r="N99" s="240"/>
    </row>
    <row r="100" spans="2:14" ht="18" customHeight="1" x14ac:dyDescent="0.15">
      <c r="B100" s="246"/>
      <c r="C100" s="246"/>
      <c r="D100" s="240"/>
      <c r="E100" s="240"/>
      <c r="F100" s="240"/>
      <c r="G100" s="240"/>
      <c r="H100" s="263"/>
      <c r="I100" s="240"/>
      <c r="J100" s="240"/>
      <c r="K100" s="246"/>
      <c r="L100" s="246"/>
      <c r="M100" s="246"/>
      <c r="N100" s="240"/>
    </row>
    <row r="101" spans="2:14" ht="18" customHeight="1" x14ac:dyDescent="0.15">
      <c r="B101" s="246"/>
      <c r="C101" s="246"/>
      <c r="D101" s="240"/>
      <c r="E101" s="240"/>
      <c r="F101" s="240"/>
      <c r="G101" s="240"/>
      <c r="H101" s="263"/>
      <c r="I101" s="240"/>
      <c r="J101" s="240"/>
      <c r="K101" s="246"/>
      <c r="L101" s="246"/>
      <c r="M101" s="246"/>
      <c r="N101" s="240"/>
    </row>
    <row r="102" spans="2:14" ht="18" customHeight="1" x14ac:dyDescent="0.15">
      <c r="B102" s="246"/>
      <c r="C102" s="246"/>
      <c r="D102" s="240"/>
      <c r="E102" s="240"/>
      <c r="F102" s="240"/>
      <c r="G102" s="240"/>
      <c r="H102" s="263"/>
      <c r="I102" s="240"/>
      <c r="J102" s="240"/>
      <c r="K102" s="246"/>
      <c r="L102" s="246"/>
      <c r="M102" s="246"/>
      <c r="N102" s="240"/>
    </row>
    <row r="103" spans="2:14" ht="18" customHeight="1" x14ac:dyDescent="0.15">
      <c r="B103" s="246"/>
      <c r="C103" s="246"/>
      <c r="D103" s="240"/>
      <c r="E103" s="240"/>
      <c r="F103" s="240"/>
      <c r="G103" s="240"/>
      <c r="H103" s="263"/>
      <c r="I103" s="240"/>
      <c r="J103" s="240"/>
      <c r="K103" s="246"/>
      <c r="L103" s="246"/>
      <c r="M103" s="246"/>
      <c r="N103" s="240"/>
    </row>
    <row r="104" spans="2:14" ht="18" customHeight="1" x14ac:dyDescent="0.15">
      <c r="B104" s="246"/>
      <c r="C104" s="246"/>
      <c r="D104" s="240"/>
      <c r="E104" s="240"/>
      <c r="F104" s="240"/>
      <c r="G104" s="240"/>
      <c r="H104" s="263"/>
      <c r="I104" s="240"/>
      <c r="J104" s="240"/>
      <c r="K104" s="246"/>
      <c r="L104" s="246"/>
      <c r="M104" s="246"/>
      <c r="N104" s="240"/>
    </row>
    <row r="105" spans="2:14" ht="18" customHeight="1" x14ac:dyDescent="0.15">
      <c r="B105" s="246"/>
      <c r="C105" s="246"/>
      <c r="D105" s="240"/>
      <c r="E105" s="240"/>
      <c r="F105" s="240"/>
      <c r="G105" s="240"/>
      <c r="H105" s="263"/>
      <c r="I105" s="240"/>
      <c r="J105" s="240"/>
      <c r="K105" s="246"/>
      <c r="L105" s="246"/>
      <c r="M105" s="246"/>
      <c r="N105" s="240"/>
    </row>
    <row r="106" spans="2:14" ht="18" customHeight="1" x14ac:dyDescent="0.15">
      <c r="B106" s="246"/>
      <c r="C106" s="246"/>
      <c r="D106" s="240"/>
      <c r="E106" s="240"/>
      <c r="F106" s="240"/>
      <c r="G106" s="240"/>
      <c r="H106" s="263"/>
      <c r="I106" s="240"/>
      <c r="J106" s="240"/>
      <c r="K106" s="246"/>
      <c r="L106" s="246"/>
      <c r="M106" s="246"/>
      <c r="N106" s="240"/>
    </row>
    <row r="107" spans="2:14" ht="18" customHeight="1" x14ac:dyDescent="0.15">
      <c r="B107" s="246"/>
      <c r="C107" s="246"/>
      <c r="D107" s="240"/>
      <c r="E107" s="240"/>
      <c r="F107" s="240"/>
      <c r="G107" s="240"/>
      <c r="H107" s="263"/>
      <c r="I107" s="240"/>
      <c r="J107" s="240"/>
      <c r="K107" s="246"/>
      <c r="L107" s="246"/>
      <c r="M107" s="246"/>
      <c r="N107" s="240"/>
    </row>
    <row r="108" spans="2:14" ht="18" customHeight="1" x14ac:dyDescent="0.15">
      <c r="B108" s="246"/>
      <c r="C108" s="246"/>
      <c r="D108" s="240"/>
      <c r="E108" s="240"/>
      <c r="F108" s="240"/>
      <c r="G108" s="240"/>
      <c r="H108" s="263"/>
      <c r="I108" s="240"/>
      <c r="J108" s="240"/>
      <c r="K108" s="246"/>
      <c r="L108" s="246"/>
      <c r="M108" s="246"/>
      <c r="N108" s="240"/>
    </row>
    <row r="109" spans="2:14" ht="18" customHeight="1" x14ac:dyDescent="0.15">
      <c r="B109" s="246"/>
      <c r="C109" s="246"/>
      <c r="D109" s="240"/>
      <c r="E109" s="240"/>
      <c r="F109" s="240"/>
      <c r="G109" s="240"/>
      <c r="H109" s="263"/>
      <c r="I109" s="240"/>
      <c r="J109" s="240"/>
      <c r="K109" s="246"/>
      <c r="L109" s="246"/>
      <c r="M109" s="246"/>
      <c r="N109" s="240"/>
    </row>
    <row r="110" spans="2:14" ht="18" customHeight="1" x14ac:dyDescent="0.15">
      <c r="B110" s="246"/>
      <c r="C110" s="246"/>
      <c r="D110" s="240"/>
      <c r="E110" s="240"/>
      <c r="F110" s="240"/>
      <c r="G110" s="240"/>
      <c r="H110" s="263"/>
      <c r="I110" s="240"/>
      <c r="J110" s="240"/>
      <c r="K110" s="246"/>
      <c r="L110" s="246"/>
      <c r="M110" s="246"/>
      <c r="N110" s="240"/>
    </row>
    <row r="111" spans="2:14" ht="18" customHeight="1" x14ac:dyDescent="0.15">
      <c r="B111" s="246"/>
      <c r="C111" s="246"/>
      <c r="D111" s="240"/>
      <c r="E111" s="240"/>
      <c r="F111" s="240"/>
      <c r="G111" s="240"/>
      <c r="H111" s="263"/>
      <c r="I111" s="240"/>
      <c r="J111" s="240"/>
      <c r="K111" s="246"/>
      <c r="L111" s="246"/>
      <c r="M111" s="246"/>
      <c r="N111" s="240"/>
    </row>
    <row r="112" spans="2:14" ht="18" customHeight="1" x14ac:dyDescent="0.15">
      <c r="B112" s="246"/>
      <c r="C112" s="246"/>
      <c r="D112" s="240"/>
      <c r="E112" s="240"/>
      <c r="F112" s="240"/>
      <c r="G112" s="240"/>
      <c r="H112" s="263"/>
      <c r="I112" s="240"/>
      <c r="J112" s="240"/>
      <c r="K112" s="246"/>
      <c r="L112" s="246"/>
      <c r="M112" s="246"/>
      <c r="N112" s="240"/>
    </row>
    <row r="113" spans="2:14" ht="18" customHeight="1" x14ac:dyDescent="0.15">
      <c r="B113" s="246"/>
      <c r="C113" s="246"/>
      <c r="D113" s="240"/>
      <c r="E113" s="240"/>
      <c r="F113" s="240"/>
      <c r="G113" s="240"/>
      <c r="H113" s="263"/>
      <c r="I113" s="240"/>
      <c r="J113" s="240"/>
      <c r="K113" s="246"/>
      <c r="L113" s="246"/>
      <c r="M113" s="246"/>
      <c r="N113" s="240"/>
    </row>
    <row r="114" spans="2:14" ht="18" customHeight="1" x14ac:dyDescent="0.15">
      <c r="B114" s="246"/>
      <c r="C114" s="246"/>
      <c r="D114" s="240"/>
      <c r="E114" s="240"/>
      <c r="F114" s="240"/>
      <c r="G114" s="240"/>
      <c r="H114" s="263"/>
      <c r="I114" s="240"/>
      <c r="J114" s="240"/>
      <c r="K114" s="246"/>
      <c r="L114" s="246"/>
      <c r="M114" s="246"/>
      <c r="N114" s="240"/>
    </row>
    <row r="115" spans="2:14" ht="18" customHeight="1" x14ac:dyDescent="0.15">
      <c r="B115" s="246"/>
      <c r="C115" s="246"/>
      <c r="D115" s="240"/>
      <c r="E115" s="240"/>
      <c r="F115" s="240"/>
      <c r="G115" s="240"/>
      <c r="H115" s="263"/>
      <c r="I115" s="240"/>
      <c r="J115" s="240"/>
      <c r="K115" s="246"/>
      <c r="L115" s="246"/>
      <c r="M115" s="246"/>
      <c r="N115" s="240"/>
    </row>
    <row r="116" spans="2:14" ht="18" customHeight="1" x14ac:dyDescent="0.15">
      <c r="B116" s="246"/>
      <c r="C116" s="246"/>
      <c r="D116" s="240"/>
      <c r="E116" s="240"/>
      <c r="F116" s="240"/>
      <c r="G116" s="240"/>
      <c r="H116" s="263"/>
      <c r="I116" s="240"/>
      <c r="J116" s="240"/>
      <c r="K116" s="246"/>
      <c r="L116" s="246"/>
      <c r="M116" s="246"/>
      <c r="N116" s="240"/>
    </row>
    <row r="117" spans="2:14" ht="18" customHeight="1" x14ac:dyDescent="0.15">
      <c r="B117" s="246"/>
      <c r="C117" s="246"/>
      <c r="D117" s="240"/>
      <c r="E117" s="240"/>
      <c r="F117" s="240"/>
      <c r="G117" s="240"/>
      <c r="H117" s="263"/>
      <c r="I117" s="240"/>
      <c r="J117" s="240"/>
      <c r="K117" s="246"/>
      <c r="L117" s="246"/>
      <c r="M117" s="246"/>
      <c r="N117" s="240"/>
    </row>
    <row r="118" spans="2:14" ht="18" customHeight="1" x14ac:dyDescent="0.15">
      <c r="B118" s="246"/>
      <c r="C118" s="246"/>
      <c r="D118" s="240"/>
      <c r="E118" s="240"/>
      <c r="F118" s="240"/>
      <c r="G118" s="240"/>
      <c r="H118" s="263"/>
      <c r="I118" s="240"/>
      <c r="J118" s="240"/>
      <c r="K118" s="246"/>
      <c r="L118" s="246"/>
      <c r="M118" s="246"/>
      <c r="N118" s="240"/>
    </row>
    <row r="119" spans="2:14" ht="18" customHeight="1" x14ac:dyDescent="0.15">
      <c r="B119" s="246"/>
      <c r="C119" s="246"/>
      <c r="D119" s="240"/>
      <c r="E119" s="240"/>
      <c r="F119" s="240"/>
      <c r="G119" s="240"/>
      <c r="H119" s="263"/>
      <c r="I119" s="240"/>
      <c r="J119" s="240"/>
      <c r="K119" s="246"/>
      <c r="L119" s="246"/>
      <c r="M119" s="246"/>
      <c r="N119" s="240"/>
    </row>
    <row r="120" spans="2:14" ht="18" customHeight="1" x14ac:dyDescent="0.15">
      <c r="B120" s="246"/>
      <c r="C120" s="246"/>
      <c r="D120" s="240"/>
      <c r="E120" s="240"/>
      <c r="F120" s="240"/>
      <c r="G120" s="240"/>
      <c r="H120" s="263"/>
      <c r="I120" s="240"/>
      <c r="J120" s="240"/>
      <c r="K120" s="246"/>
      <c r="L120" s="246"/>
      <c r="M120" s="246"/>
      <c r="N120" s="240"/>
    </row>
    <row r="121" spans="2:14" ht="18" customHeight="1" x14ac:dyDescent="0.15">
      <c r="B121" s="246"/>
      <c r="C121" s="246"/>
      <c r="D121" s="240"/>
      <c r="E121" s="240"/>
      <c r="F121" s="240"/>
      <c r="G121" s="240"/>
      <c r="H121" s="263"/>
      <c r="I121" s="240"/>
      <c r="J121" s="240"/>
      <c r="K121" s="246"/>
      <c r="L121" s="246"/>
      <c r="M121" s="246"/>
      <c r="N121" s="240"/>
    </row>
    <row r="122" spans="2:14" ht="18" customHeight="1" x14ac:dyDescent="0.15">
      <c r="B122" s="246"/>
      <c r="C122" s="246"/>
      <c r="D122" s="240"/>
      <c r="E122" s="240"/>
      <c r="F122" s="240"/>
      <c r="G122" s="240"/>
      <c r="H122" s="263"/>
      <c r="I122" s="240"/>
      <c r="J122" s="240"/>
      <c r="K122" s="246"/>
      <c r="L122" s="246"/>
      <c r="M122" s="246"/>
      <c r="N122" s="240"/>
    </row>
    <row r="123" spans="2:14" ht="18" customHeight="1" x14ac:dyDescent="0.15">
      <c r="B123" s="246"/>
      <c r="C123" s="246"/>
      <c r="D123" s="240"/>
      <c r="E123" s="240"/>
      <c r="F123" s="240"/>
      <c r="G123" s="240"/>
      <c r="H123" s="263"/>
      <c r="I123" s="240"/>
      <c r="J123" s="240"/>
      <c r="K123" s="246"/>
      <c r="L123" s="246"/>
      <c r="M123" s="246"/>
      <c r="N123" s="240"/>
    </row>
    <row r="124" spans="2:14" ht="18" customHeight="1" x14ac:dyDescent="0.15">
      <c r="B124" s="246"/>
      <c r="C124" s="246"/>
      <c r="D124" s="240"/>
      <c r="E124" s="240"/>
      <c r="F124" s="240"/>
      <c r="G124" s="240"/>
      <c r="H124" s="263"/>
      <c r="I124" s="240"/>
      <c r="J124" s="240"/>
      <c r="K124" s="246"/>
      <c r="L124" s="246"/>
      <c r="M124" s="246"/>
      <c r="N124" s="240"/>
    </row>
    <row r="125" spans="2:14" ht="18" customHeight="1" x14ac:dyDescent="0.15">
      <c r="B125" s="246"/>
      <c r="C125" s="246"/>
      <c r="D125" s="240"/>
      <c r="E125" s="240"/>
      <c r="F125" s="240"/>
      <c r="G125" s="240"/>
      <c r="H125" s="263"/>
      <c r="I125" s="240"/>
      <c r="J125" s="240"/>
      <c r="K125" s="246"/>
      <c r="L125" s="246"/>
      <c r="M125" s="246"/>
      <c r="N125" s="240"/>
    </row>
    <row r="126" spans="2:14" ht="18" customHeight="1" x14ac:dyDescent="0.15">
      <c r="B126" s="246"/>
      <c r="C126" s="246"/>
      <c r="D126" s="240"/>
      <c r="E126" s="240"/>
      <c r="F126" s="240"/>
      <c r="G126" s="240"/>
      <c r="H126" s="263"/>
      <c r="I126" s="240"/>
      <c r="J126" s="240"/>
      <c r="K126" s="246"/>
      <c r="L126" s="246"/>
      <c r="M126" s="246"/>
      <c r="N126" s="240"/>
    </row>
    <row r="127" spans="2:14" ht="18" customHeight="1" x14ac:dyDescent="0.15">
      <c r="B127" s="246"/>
      <c r="C127" s="246"/>
      <c r="D127" s="240"/>
      <c r="E127" s="240"/>
      <c r="F127" s="240"/>
      <c r="G127" s="240"/>
      <c r="H127" s="263"/>
      <c r="I127" s="240"/>
      <c r="J127" s="240"/>
      <c r="K127" s="246"/>
      <c r="L127" s="246"/>
      <c r="M127" s="246"/>
      <c r="N127" s="240"/>
    </row>
    <row r="128" spans="2:14" ht="18" customHeight="1" x14ac:dyDescent="0.15">
      <c r="B128" s="246"/>
      <c r="C128" s="246"/>
      <c r="D128" s="240"/>
      <c r="E128" s="240"/>
      <c r="F128" s="240"/>
      <c r="G128" s="240"/>
      <c r="H128" s="263"/>
      <c r="I128" s="240"/>
      <c r="J128" s="240"/>
      <c r="K128" s="246"/>
      <c r="L128" s="246"/>
      <c r="M128" s="246"/>
      <c r="N128" s="240"/>
    </row>
    <row r="129" spans="2:14" ht="18" customHeight="1" x14ac:dyDescent="0.15">
      <c r="B129" s="246"/>
      <c r="C129" s="246"/>
      <c r="D129" s="240"/>
      <c r="E129" s="240"/>
      <c r="F129" s="240"/>
      <c r="G129" s="240"/>
      <c r="H129" s="263"/>
      <c r="I129" s="240"/>
      <c r="J129" s="240"/>
      <c r="K129" s="246"/>
      <c r="L129" s="246"/>
      <c r="M129" s="246"/>
      <c r="N129" s="240"/>
    </row>
    <row r="130" spans="2:14" ht="18" customHeight="1" x14ac:dyDescent="0.15">
      <c r="B130" s="246"/>
      <c r="C130" s="246"/>
      <c r="D130" s="240"/>
      <c r="E130" s="240"/>
      <c r="F130" s="240"/>
      <c r="G130" s="240"/>
      <c r="H130" s="263"/>
      <c r="I130" s="240"/>
      <c r="J130" s="240"/>
      <c r="K130" s="246"/>
      <c r="L130" s="246"/>
      <c r="M130" s="246"/>
      <c r="N130" s="240"/>
    </row>
    <row r="131" spans="2:14" ht="18" customHeight="1" x14ac:dyDescent="0.15">
      <c r="B131" s="246"/>
      <c r="C131" s="246"/>
      <c r="D131" s="240"/>
      <c r="E131" s="240"/>
      <c r="F131" s="240"/>
      <c r="G131" s="240"/>
      <c r="H131" s="263"/>
      <c r="I131" s="240"/>
      <c r="J131" s="240"/>
      <c r="K131" s="246"/>
      <c r="L131" s="246"/>
      <c r="M131" s="246"/>
      <c r="N131" s="240"/>
    </row>
    <row r="132" spans="2:14" ht="18" customHeight="1" x14ac:dyDescent="0.15">
      <c r="B132" s="246"/>
      <c r="C132" s="246"/>
      <c r="D132" s="240"/>
      <c r="E132" s="240"/>
      <c r="F132" s="240"/>
      <c r="G132" s="240"/>
      <c r="H132" s="263"/>
      <c r="I132" s="240"/>
      <c r="J132" s="240"/>
      <c r="K132" s="246"/>
      <c r="L132" s="246"/>
      <c r="M132" s="246"/>
      <c r="N132" s="240"/>
    </row>
    <row r="133" spans="2:14" ht="18" customHeight="1" x14ac:dyDescent="0.15">
      <c r="B133" s="246"/>
      <c r="C133" s="246"/>
      <c r="D133" s="240"/>
      <c r="E133" s="240"/>
      <c r="F133" s="240"/>
      <c r="G133" s="240"/>
      <c r="H133" s="263"/>
      <c r="I133" s="240"/>
      <c r="J133" s="240"/>
      <c r="K133" s="246"/>
      <c r="L133" s="246"/>
      <c r="M133" s="246"/>
      <c r="N133" s="240"/>
    </row>
    <row r="134" spans="2:14" ht="18" customHeight="1" x14ac:dyDescent="0.15">
      <c r="B134" s="246"/>
      <c r="C134" s="246"/>
      <c r="D134" s="240"/>
      <c r="E134" s="240"/>
      <c r="F134" s="240"/>
      <c r="G134" s="240"/>
      <c r="H134" s="263"/>
      <c r="I134" s="240"/>
      <c r="J134" s="240"/>
      <c r="K134" s="246"/>
      <c r="L134" s="246"/>
      <c r="M134" s="246"/>
      <c r="N134" s="240"/>
    </row>
    <row r="135" spans="2:14" ht="18" customHeight="1" x14ac:dyDescent="0.15">
      <c r="B135" s="246"/>
      <c r="C135" s="246"/>
      <c r="D135" s="240"/>
      <c r="E135" s="240"/>
      <c r="F135" s="240"/>
      <c r="G135" s="240"/>
      <c r="H135" s="263"/>
      <c r="I135" s="240"/>
      <c r="J135" s="240"/>
      <c r="K135" s="246"/>
      <c r="L135" s="246"/>
      <c r="M135" s="246"/>
      <c r="N135" s="240"/>
    </row>
    <row r="136" spans="2:14" ht="18" customHeight="1" x14ac:dyDescent="0.15">
      <c r="B136" s="246"/>
      <c r="C136" s="246"/>
      <c r="D136" s="240"/>
      <c r="E136" s="240"/>
      <c r="F136" s="240"/>
      <c r="G136" s="240"/>
      <c r="H136" s="263"/>
      <c r="I136" s="240"/>
      <c r="J136" s="240"/>
      <c r="K136" s="246"/>
      <c r="L136" s="246"/>
      <c r="M136" s="246"/>
      <c r="N136" s="240"/>
    </row>
    <row r="137" spans="2:14" ht="18" customHeight="1" x14ac:dyDescent="0.15">
      <c r="B137" s="246"/>
      <c r="C137" s="246"/>
      <c r="D137" s="240"/>
      <c r="E137" s="240"/>
      <c r="F137" s="240"/>
      <c r="G137" s="240"/>
      <c r="H137" s="263"/>
      <c r="I137" s="240"/>
      <c r="J137" s="240"/>
      <c r="K137" s="246"/>
      <c r="L137" s="246"/>
      <c r="M137" s="246"/>
      <c r="N137" s="240"/>
    </row>
    <row r="138" spans="2:14" ht="18" customHeight="1" x14ac:dyDescent="0.15">
      <c r="B138" s="246"/>
      <c r="C138" s="246"/>
      <c r="D138" s="240"/>
      <c r="E138" s="240"/>
      <c r="F138" s="240"/>
      <c r="G138" s="240"/>
      <c r="H138" s="263"/>
      <c r="I138" s="240"/>
      <c r="J138" s="240"/>
      <c r="K138" s="246"/>
      <c r="L138" s="246"/>
      <c r="M138" s="246"/>
      <c r="N138" s="240"/>
    </row>
    <row r="139" spans="2:14" ht="18" customHeight="1" x14ac:dyDescent="0.15">
      <c r="B139" s="246"/>
      <c r="C139" s="246"/>
      <c r="D139" s="240"/>
      <c r="E139" s="240"/>
      <c r="F139" s="240"/>
      <c r="G139" s="240"/>
      <c r="H139" s="263"/>
      <c r="I139" s="240"/>
      <c r="J139" s="240"/>
      <c r="K139" s="246"/>
      <c r="L139" s="246"/>
      <c r="M139" s="246"/>
      <c r="N139" s="240"/>
    </row>
    <row r="140" spans="2:14" ht="18" customHeight="1" x14ac:dyDescent="0.15">
      <c r="B140" s="246"/>
      <c r="C140" s="246"/>
      <c r="D140" s="240"/>
      <c r="E140" s="240"/>
      <c r="F140" s="240"/>
      <c r="G140" s="240"/>
      <c r="H140" s="263"/>
      <c r="I140" s="240"/>
      <c r="J140" s="240"/>
      <c r="K140" s="246"/>
      <c r="L140" s="246"/>
      <c r="M140" s="246"/>
      <c r="N140" s="240"/>
    </row>
    <row r="141" spans="2:14" ht="18" customHeight="1" x14ac:dyDescent="0.15">
      <c r="B141" s="246"/>
      <c r="C141" s="246"/>
      <c r="D141" s="240"/>
      <c r="E141" s="240"/>
      <c r="F141" s="240"/>
      <c r="G141" s="240"/>
      <c r="H141" s="263"/>
      <c r="I141" s="240"/>
      <c r="J141" s="240"/>
      <c r="K141" s="246"/>
      <c r="L141" s="246"/>
      <c r="M141" s="246"/>
      <c r="N141" s="240"/>
    </row>
    <row r="142" spans="2:14" ht="18" customHeight="1" x14ac:dyDescent="0.15">
      <c r="B142" s="246"/>
      <c r="C142" s="246"/>
      <c r="D142" s="240"/>
      <c r="E142" s="240"/>
      <c r="F142" s="240"/>
      <c r="G142" s="240"/>
      <c r="H142" s="263"/>
      <c r="I142" s="240"/>
      <c r="J142" s="240"/>
      <c r="K142" s="246"/>
      <c r="L142" s="246"/>
      <c r="M142" s="246"/>
      <c r="N142" s="240"/>
    </row>
    <row r="143" spans="2:14" ht="18" customHeight="1" x14ac:dyDescent="0.15">
      <c r="B143" s="246"/>
      <c r="C143" s="246"/>
      <c r="D143" s="240"/>
      <c r="E143" s="240"/>
      <c r="F143" s="240"/>
      <c r="G143" s="240"/>
      <c r="H143" s="263"/>
      <c r="I143" s="240"/>
      <c r="J143" s="240"/>
      <c r="K143" s="246"/>
      <c r="L143" s="246"/>
      <c r="M143" s="246"/>
      <c r="N143" s="240"/>
    </row>
    <row r="144" spans="2:14" ht="18" customHeight="1" x14ac:dyDescent="0.15">
      <c r="B144" s="246"/>
      <c r="C144" s="246"/>
      <c r="D144" s="240"/>
      <c r="E144" s="240"/>
      <c r="F144" s="240"/>
      <c r="G144" s="240"/>
      <c r="H144" s="263"/>
      <c r="I144" s="240"/>
      <c r="J144" s="240"/>
      <c r="K144" s="246"/>
      <c r="L144" s="246"/>
      <c r="M144" s="246"/>
      <c r="N144" s="240"/>
    </row>
    <row r="145" spans="2:14" ht="18" customHeight="1" x14ac:dyDescent="0.15">
      <c r="B145" s="246"/>
      <c r="C145" s="246"/>
      <c r="D145" s="240"/>
      <c r="E145" s="240"/>
      <c r="F145" s="240"/>
      <c r="G145" s="240"/>
      <c r="H145" s="263"/>
      <c r="I145" s="240"/>
      <c r="J145" s="240"/>
      <c r="K145" s="246"/>
      <c r="L145" s="246"/>
      <c r="M145" s="246"/>
      <c r="N145" s="240"/>
    </row>
    <row r="146" spans="2:14" ht="18" customHeight="1" x14ac:dyDescent="0.15">
      <c r="B146" s="246"/>
      <c r="C146" s="246"/>
      <c r="D146" s="240"/>
      <c r="E146" s="240"/>
      <c r="F146" s="240"/>
      <c r="G146" s="240"/>
      <c r="H146" s="263"/>
      <c r="I146" s="240"/>
      <c r="J146" s="240"/>
      <c r="K146" s="246"/>
      <c r="L146" s="246"/>
      <c r="M146" s="246"/>
      <c r="N146" s="240"/>
    </row>
    <row r="147" spans="2:14" ht="18" customHeight="1" x14ac:dyDescent="0.15">
      <c r="B147" s="246"/>
      <c r="C147" s="246"/>
      <c r="D147" s="240"/>
      <c r="E147" s="240"/>
      <c r="F147" s="240"/>
      <c r="G147" s="240"/>
      <c r="H147" s="263"/>
      <c r="I147" s="240"/>
      <c r="J147" s="240"/>
      <c r="K147" s="246"/>
      <c r="L147" s="246"/>
      <c r="M147" s="246"/>
      <c r="N147" s="240"/>
    </row>
    <row r="148" spans="2:14" ht="18" customHeight="1" x14ac:dyDescent="0.15">
      <c r="B148" s="246"/>
      <c r="C148" s="246"/>
      <c r="D148" s="240"/>
      <c r="E148" s="240"/>
      <c r="F148" s="240"/>
      <c r="G148" s="240"/>
      <c r="H148" s="263"/>
      <c r="I148" s="240"/>
      <c r="J148" s="240"/>
      <c r="K148" s="246"/>
      <c r="L148" s="246"/>
      <c r="M148" s="246"/>
      <c r="N148" s="240"/>
    </row>
    <row r="149" spans="2:14" ht="18" customHeight="1" x14ac:dyDescent="0.15">
      <c r="B149" s="246"/>
      <c r="C149" s="246"/>
      <c r="D149" s="240"/>
      <c r="E149" s="240"/>
      <c r="F149" s="240"/>
      <c r="G149" s="240"/>
      <c r="H149" s="263"/>
      <c r="I149" s="240"/>
      <c r="J149" s="240"/>
      <c r="K149" s="246"/>
      <c r="L149" s="246"/>
      <c r="M149" s="246"/>
      <c r="N149" s="240"/>
    </row>
    <row r="150" spans="2:14" ht="18" customHeight="1" x14ac:dyDescent="0.15">
      <c r="B150" s="246"/>
      <c r="C150" s="246"/>
      <c r="D150" s="240"/>
      <c r="E150" s="240"/>
      <c r="F150" s="240"/>
      <c r="G150" s="240"/>
      <c r="H150" s="263"/>
      <c r="I150" s="240"/>
      <c r="J150" s="240"/>
      <c r="K150" s="246"/>
      <c r="L150" s="246"/>
      <c r="M150" s="246"/>
      <c r="N150" s="240"/>
    </row>
    <row r="151" spans="2:14" ht="18" customHeight="1" x14ac:dyDescent="0.15">
      <c r="B151" s="246"/>
      <c r="C151" s="246"/>
      <c r="D151" s="240"/>
      <c r="E151" s="240"/>
      <c r="F151" s="240"/>
      <c r="G151" s="240"/>
      <c r="H151" s="263"/>
      <c r="I151" s="240"/>
      <c r="J151" s="240"/>
      <c r="K151" s="246"/>
      <c r="L151" s="246"/>
      <c r="M151" s="246"/>
      <c r="N151" s="240"/>
    </row>
    <row r="152" spans="2:14" ht="18" customHeight="1" x14ac:dyDescent="0.15">
      <c r="B152" s="246"/>
      <c r="C152" s="246"/>
      <c r="D152" s="240"/>
      <c r="E152" s="240"/>
      <c r="F152" s="240"/>
      <c r="G152" s="240"/>
      <c r="H152" s="263"/>
      <c r="I152" s="240"/>
      <c r="J152" s="240"/>
      <c r="K152" s="246"/>
      <c r="L152" s="246"/>
      <c r="M152" s="246"/>
      <c r="N152" s="240"/>
    </row>
    <row r="153" spans="2:14" ht="18" customHeight="1" x14ac:dyDescent="0.15">
      <c r="B153" s="246"/>
      <c r="C153" s="246"/>
      <c r="D153" s="240"/>
      <c r="E153" s="240"/>
      <c r="F153" s="240"/>
      <c r="G153" s="240"/>
      <c r="H153" s="263"/>
      <c r="I153" s="240"/>
      <c r="J153" s="240"/>
      <c r="K153" s="246"/>
      <c r="L153" s="246"/>
      <c r="M153" s="246"/>
      <c r="N153" s="240"/>
    </row>
    <row r="154" spans="2:14" ht="18" customHeight="1" x14ac:dyDescent="0.15">
      <c r="B154" s="246"/>
      <c r="C154" s="246"/>
      <c r="D154" s="240"/>
      <c r="E154" s="240"/>
      <c r="F154" s="240"/>
      <c r="G154" s="240"/>
      <c r="H154" s="263"/>
      <c r="I154" s="240"/>
      <c r="J154" s="240"/>
      <c r="K154" s="246"/>
      <c r="L154" s="246"/>
      <c r="M154" s="246"/>
      <c r="N154" s="240"/>
    </row>
    <row r="155" spans="2:14" ht="18" customHeight="1" x14ac:dyDescent="0.15">
      <c r="B155" s="246"/>
      <c r="C155" s="246"/>
      <c r="D155" s="240"/>
      <c r="E155" s="240"/>
      <c r="F155" s="240"/>
      <c r="G155" s="240"/>
      <c r="H155" s="263"/>
      <c r="I155" s="240"/>
      <c r="J155" s="240"/>
      <c r="K155" s="246"/>
      <c r="L155" s="246"/>
      <c r="M155" s="246"/>
      <c r="N155" s="240"/>
    </row>
    <row r="156" spans="2:14" ht="18" customHeight="1" x14ac:dyDescent="0.15">
      <c r="B156" s="246"/>
      <c r="C156" s="246"/>
      <c r="D156" s="240"/>
      <c r="E156" s="240"/>
      <c r="F156" s="240"/>
      <c r="G156" s="240"/>
      <c r="H156" s="263"/>
      <c r="I156" s="240"/>
      <c r="J156" s="240"/>
      <c r="K156" s="246"/>
      <c r="L156" s="246"/>
      <c r="M156" s="246"/>
      <c r="N156" s="240"/>
    </row>
    <row r="157" spans="2:14" ht="18" customHeight="1" x14ac:dyDescent="0.15">
      <c r="B157" s="246"/>
      <c r="C157" s="246"/>
      <c r="D157" s="240"/>
      <c r="E157" s="240"/>
      <c r="F157" s="240"/>
      <c r="G157" s="240"/>
      <c r="H157" s="263"/>
      <c r="I157" s="240"/>
      <c r="J157" s="240"/>
      <c r="K157" s="246"/>
      <c r="L157" s="246"/>
      <c r="M157" s="246"/>
      <c r="N157" s="240"/>
    </row>
    <row r="158" spans="2:14" ht="18" customHeight="1" x14ac:dyDescent="0.15">
      <c r="B158" s="246"/>
      <c r="C158" s="246"/>
      <c r="D158" s="240"/>
      <c r="E158" s="240"/>
      <c r="F158" s="240"/>
      <c r="G158" s="240"/>
      <c r="H158" s="263"/>
      <c r="I158" s="240"/>
      <c r="J158" s="240"/>
      <c r="K158" s="246"/>
      <c r="L158" s="246"/>
      <c r="M158" s="246"/>
      <c r="N158" s="240"/>
    </row>
    <row r="159" spans="2:14" ht="18" customHeight="1" x14ac:dyDescent="0.15">
      <c r="B159" s="246"/>
      <c r="C159" s="246"/>
      <c r="D159" s="240"/>
      <c r="E159" s="240"/>
      <c r="F159" s="240"/>
      <c r="G159" s="240"/>
      <c r="H159" s="263"/>
      <c r="I159" s="240"/>
      <c r="J159" s="240"/>
      <c r="K159" s="246"/>
      <c r="L159" s="246"/>
      <c r="M159" s="246"/>
      <c r="N159" s="240"/>
    </row>
    <row r="160" spans="2:14" ht="18" customHeight="1" x14ac:dyDescent="0.15">
      <c r="B160" s="246"/>
      <c r="C160" s="246"/>
      <c r="D160" s="240"/>
      <c r="E160" s="240"/>
      <c r="F160" s="240"/>
      <c r="G160" s="240"/>
      <c r="H160" s="263"/>
      <c r="I160" s="240"/>
      <c r="J160" s="240"/>
      <c r="K160" s="246"/>
      <c r="L160" s="246"/>
      <c r="M160" s="246"/>
      <c r="N160" s="240"/>
    </row>
    <row r="161" spans="2:14" ht="18" customHeight="1" x14ac:dyDescent="0.15">
      <c r="B161" s="246"/>
      <c r="C161" s="246"/>
      <c r="D161" s="240"/>
      <c r="E161" s="240"/>
      <c r="F161" s="240"/>
      <c r="G161" s="240"/>
      <c r="H161" s="263"/>
      <c r="I161" s="240"/>
      <c r="J161" s="240"/>
      <c r="K161" s="246"/>
      <c r="L161" s="246"/>
      <c r="M161" s="246"/>
      <c r="N161" s="240"/>
    </row>
    <row r="162" spans="2:14" ht="18" customHeight="1" x14ac:dyDescent="0.15">
      <c r="B162" s="246"/>
      <c r="C162" s="246"/>
      <c r="D162" s="240"/>
      <c r="E162" s="240"/>
      <c r="F162" s="240"/>
      <c r="G162" s="240"/>
      <c r="H162" s="263"/>
      <c r="I162" s="240"/>
      <c r="J162" s="240"/>
      <c r="K162" s="246"/>
      <c r="L162" s="246"/>
      <c r="M162" s="246"/>
      <c r="N162" s="240"/>
    </row>
    <row r="163" spans="2:14" ht="18" customHeight="1" x14ac:dyDescent="0.15">
      <c r="B163" s="246"/>
      <c r="C163" s="246"/>
      <c r="D163" s="240"/>
      <c r="E163" s="240"/>
      <c r="F163" s="240"/>
      <c r="G163" s="240"/>
      <c r="H163" s="263"/>
      <c r="I163" s="240"/>
      <c r="J163" s="240"/>
      <c r="K163" s="246"/>
      <c r="L163" s="246"/>
      <c r="M163" s="246"/>
      <c r="N163" s="240"/>
    </row>
    <row r="164" spans="2:14" ht="18" customHeight="1" x14ac:dyDescent="0.15">
      <c r="B164" s="246"/>
      <c r="C164" s="246"/>
      <c r="D164" s="240"/>
      <c r="E164" s="240"/>
      <c r="F164" s="240"/>
      <c r="G164" s="240"/>
      <c r="H164" s="263"/>
      <c r="I164" s="240"/>
      <c r="J164" s="240"/>
      <c r="K164" s="246"/>
      <c r="L164" s="246"/>
      <c r="M164" s="246"/>
      <c r="N164" s="240"/>
    </row>
    <row r="165" spans="2:14" ht="18" customHeight="1" x14ac:dyDescent="0.15">
      <c r="B165" s="246"/>
      <c r="C165" s="246"/>
      <c r="D165" s="240"/>
      <c r="E165" s="240"/>
      <c r="F165" s="240"/>
      <c r="G165" s="240"/>
      <c r="H165" s="263"/>
      <c r="I165" s="240"/>
      <c r="J165" s="240"/>
      <c r="K165" s="246"/>
      <c r="L165" s="246"/>
      <c r="M165" s="246"/>
      <c r="N165" s="240"/>
    </row>
    <row r="166" spans="2:14" ht="18" customHeight="1" x14ac:dyDescent="0.15">
      <c r="B166" s="246"/>
      <c r="C166" s="246"/>
      <c r="D166" s="240"/>
      <c r="E166" s="240"/>
      <c r="F166" s="240"/>
      <c r="G166" s="240"/>
      <c r="H166" s="263"/>
      <c r="I166" s="240"/>
      <c r="J166" s="240"/>
      <c r="K166" s="246"/>
      <c r="L166" s="246"/>
      <c r="M166" s="246"/>
      <c r="N166" s="240"/>
    </row>
    <row r="167" spans="2:14" ht="18" customHeight="1" x14ac:dyDescent="0.15">
      <c r="B167" s="246"/>
      <c r="C167" s="246"/>
      <c r="D167" s="240"/>
      <c r="E167" s="240"/>
      <c r="F167" s="240"/>
      <c r="G167" s="240"/>
      <c r="H167" s="263"/>
      <c r="I167" s="240"/>
      <c r="J167" s="240"/>
      <c r="K167" s="246"/>
      <c r="L167" s="246"/>
      <c r="M167" s="246"/>
      <c r="N167" s="240"/>
    </row>
    <row r="168" spans="2:14" ht="18" customHeight="1" x14ac:dyDescent="0.15">
      <c r="B168" s="246"/>
      <c r="C168" s="246"/>
      <c r="D168" s="240"/>
      <c r="E168" s="240"/>
      <c r="F168" s="240"/>
      <c r="G168" s="240"/>
      <c r="H168" s="263"/>
      <c r="I168" s="240"/>
      <c r="J168" s="240"/>
      <c r="K168" s="246"/>
      <c r="L168" s="246"/>
      <c r="M168" s="246"/>
      <c r="N168" s="240"/>
    </row>
    <row r="169" spans="2:14" ht="18" customHeight="1" x14ac:dyDescent="0.15">
      <c r="B169" s="246"/>
      <c r="C169" s="246"/>
      <c r="D169" s="240"/>
      <c r="E169" s="240"/>
      <c r="F169" s="240"/>
      <c r="G169" s="240"/>
      <c r="H169" s="263"/>
      <c r="I169" s="240"/>
      <c r="J169" s="240"/>
      <c r="K169" s="246"/>
      <c r="L169" s="246"/>
      <c r="M169" s="246"/>
      <c r="N169" s="240"/>
    </row>
    <row r="170" spans="2:14" ht="18" customHeight="1" x14ac:dyDescent="0.15">
      <c r="B170" s="246"/>
      <c r="C170" s="246"/>
      <c r="D170" s="240"/>
      <c r="E170" s="240"/>
      <c r="F170" s="240"/>
      <c r="G170" s="240"/>
      <c r="H170" s="263"/>
      <c r="I170" s="240"/>
      <c r="J170" s="240"/>
      <c r="K170" s="246"/>
      <c r="L170" s="246"/>
      <c r="M170" s="246"/>
      <c r="N170" s="240"/>
    </row>
    <row r="171" spans="2:14" ht="18" customHeight="1" x14ac:dyDescent="0.15">
      <c r="B171" s="246"/>
      <c r="C171" s="246"/>
      <c r="D171" s="240"/>
      <c r="E171" s="240"/>
      <c r="F171" s="240"/>
      <c r="G171" s="240"/>
      <c r="H171" s="263"/>
      <c r="I171" s="240"/>
      <c r="J171" s="240"/>
      <c r="K171" s="246"/>
      <c r="L171" s="246"/>
      <c r="M171" s="246"/>
      <c r="N171" s="240"/>
    </row>
    <row r="172" spans="2:14" ht="18" customHeight="1" x14ac:dyDescent="0.15">
      <c r="B172" s="246"/>
      <c r="C172" s="246"/>
      <c r="D172" s="240"/>
      <c r="E172" s="240"/>
      <c r="F172" s="240"/>
      <c r="G172" s="240"/>
      <c r="H172" s="263"/>
      <c r="I172" s="240"/>
      <c r="J172" s="240"/>
      <c r="K172" s="246"/>
      <c r="L172" s="246"/>
      <c r="M172" s="246"/>
      <c r="N172" s="240"/>
    </row>
    <row r="173" spans="2:14" ht="18" customHeight="1" x14ac:dyDescent="0.15">
      <c r="B173" s="246"/>
      <c r="C173" s="246"/>
      <c r="D173" s="240"/>
      <c r="E173" s="240"/>
      <c r="F173" s="240"/>
      <c r="G173" s="240"/>
      <c r="H173" s="263"/>
      <c r="I173" s="240"/>
      <c r="J173" s="240"/>
      <c r="K173" s="246"/>
      <c r="L173" s="246"/>
      <c r="M173" s="246"/>
      <c r="N173" s="240"/>
    </row>
    <row r="174" spans="2:14" ht="18" customHeight="1" x14ac:dyDescent="0.15">
      <c r="B174" s="246"/>
      <c r="C174" s="246"/>
      <c r="D174" s="240"/>
      <c r="E174" s="240"/>
      <c r="F174" s="240"/>
      <c r="G174" s="240"/>
      <c r="H174" s="263"/>
      <c r="I174" s="240"/>
      <c r="J174" s="240"/>
      <c r="K174" s="246"/>
      <c r="L174" s="246"/>
      <c r="M174" s="246"/>
      <c r="N174" s="240"/>
    </row>
    <row r="175" spans="2:14" ht="18" customHeight="1" x14ac:dyDescent="0.15">
      <c r="B175" s="246"/>
      <c r="C175" s="246"/>
      <c r="D175" s="240"/>
      <c r="E175" s="240"/>
      <c r="F175" s="240"/>
      <c r="G175" s="240"/>
      <c r="H175" s="263"/>
      <c r="I175" s="240"/>
      <c r="J175" s="240"/>
      <c r="K175" s="246"/>
      <c r="L175" s="246"/>
      <c r="M175" s="246"/>
      <c r="N175" s="240"/>
    </row>
    <row r="176" spans="2:14" ht="18" customHeight="1" x14ac:dyDescent="0.15">
      <c r="B176" s="246"/>
      <c r="C176" s="246"/>
      <c r="D176" s="240"/>
      <c r="E176" s="240"/>
      <c r="F176" s="240"/>
      <c r="G176" s="240"/>
      <c r="H176" s="263"/>
      <c r="I176" s="240"/>
      <c r="J176" s="240"/>
      <c r="K176" s="246"/>
      <c r="L176" s="246"/>
      <c r="M176" s="246"/>
      <c r="N176" s="240"/>
    </row>
    <row r="177" spans="2:14" ht="18" customHeight="1" x14ac:dyDescent="0.15">
      <c r="B177" s="246"/>
      <c r="C177" s="246"/>
      <c r="D177" s="240"/>
      <c r="E177" s="240"/>
      <c r="F177" s="240"/>
      <c r="G177" s="240"/>
      <c r="H177" s="263"/>
      <c r="I177" s="240"/>
      <c r="J177" s="240"/>
      <c r="K177" s="246"/>
      <c r="L177" s="246"/>
      <c r="M177" s="246"/>
      <c r="N177" s="240"/>
    </row>
    <row r="178" spans="2:14" ht="18" customHeight="1" x14ac:dyDescent="0.15">
      <c r="B178" s="246"/>
      <c r="C178" s="246"/>
      <c r="D178" s="240"/>
      <c r="E178" s="240"/>
      <c r="F178" s="240"/>
      <c r="G178" s="240"/>
      <c r="H178" s="263"/>
      <c r="I178" s="240"/>
      <c r="J178" s="240"/>
      <c r="K178" s="246"/>
      <c r="L178" s="246"/>
      <c r="M178" s="246"/>
      <c r="N178" s="240"/>
    </row>
    <row r="179" spans="2:14" ht="18" customHeight="1" x14ac:dyDescent="0.15">
      <c r="B179" s="246"/>
      <c r="C179" s="246"/>
      <c r="D179" s="240"/>
      <c r="E179" s="240"/>
      <c r="F179" s="240"/>
      <c r="G179" s="240"/>
      <c r="H179" s="263"/>
      <c r="I179" s="240"/>
      <c r="J179" s="240"/>
      <c r="K179" s="246"/>
      <c r="L179" s="246"/>
      <c r="M179" s="246"/>
      <c r="N179" s="240"/>
    </row>
    <row r="180" spans="2:14" ht="18" customHeight="1" x14ac:dyDescent="0.15">
      <c r="B180" s="246"/>
      <c r="C180" s="246"/>
      <c r="D180" s="240"/>
      <c r="E180" s="240"/>
      <c r="F180" s="240"/>
      <c r="G180" s="240"/>
      <c r="H180" s="263"/>
      <c r="I180" s="240"/>
      <c r="J180" s="240"/>
      <c r="K180" s="246"/>
      <c r="L180" s="246"/>
      <c r="M180" s="246"/>
      <c r="N180" s="240"/>
    </row>
    <row r="181" spans="2:14" ht="18" customHeight="1" x14ac:dyDescent="0.15">
      <c r="B181" s="246"/>
      <c r="C181" s="246"/>
      <c r="D181" s="240"/>
      <c r="E181" s="240"/>
      <c r="F181" s="240"/>
      <c r="G181" s="240"/>
      <c r="H181" s="263"/>
      <c r="I181" s="240"/>
      <c r="J181" s="240"/>
      <c r="K181" s="246"/>
      <c r="L181" s="246"/>
      <c r="M181" s="246"/>
      <c r="N181" s="240"/>
    </row>
    <row r="182" spans="2:14" ht="18" customHeight="1" x14ac:dyDescent="0.15">
      <c r="B182" s="246"/>
      <c r="C182" s="246"/>
      <c r="D182" s="240"/>
      <c r="E182" s="240"/>
      <c r="F182" s="240"/>
      <c r="G182" s="240"/>
      <c r="H182" s="263"/>
      <c r="I182" s="240"/>
      <c r="J182" s="240"/>
      <c r="K182" s="246"/>
      <c r="L182" s="246"/>
      <c r="M182" s="246"/>
      <c r="N182" s="240"/>
    </row>
    <row r="183" spans="2:14" ht="18" customHeight="1" x14ac:dyDescent="0.15">
      <c r="B183" s="246"/>
      <c r="C183" s="246"/>
      <c r="D183" s="240"/>
      <c r="E183" s="240"/>
      <c r="F183" s="240"/>
      <c r="G183" s="240"/>
      <c r="H183" s="263"/>
      <c r="I183" s="240"/>
      <c r="J183" s="240"/>
      <c r="K183" s="246"/>
      <c r="L183" s="246"/>
      <c r="M183" s="246"/>
      <c r="N183" s="240"/>
    </row>
    <row r="184" spans="2:14" ht="18" customHeight="1" x14ac:dyDescent="0.15">
      <c r="B184" s="246"/>
      <c r="C184" s="246"/>
      <c r="D184" s="240"/>
      <c r="E184" s="240"/>
      <c r="F184" s="240"/>
      <c r="G184" s="240"/>
      <c r="H184" s="263"/>
      <c r="I184" s="240"/>
      <c r="J184" s="240"/>
      <c r="K184" s="246"/>
      <c r="L184" s="246"/>
      <c r="M184" s="246"/>
      <c r="N184" s="240"/>
    </row>
    <row r="185" spans="2:14" ht="18" customHeight="1" x14ac:dyDescent="0.15">
      <c r="B185" s="246"/>
      <c r="C185" s="246"/>
      <c r="D185" s="240"/>
      <c r="E185" s="240"/>
      <c r="F185" s="240"/>
      <c r="G185" s="240"/>
      <c r="H185" s="263"/>
      <c r="I185" s="240"/>
      <c r="J185" s="240"/>
      <c r="K185" s="246"/>
      <c r="L185" s="246"/>
      <c r="M185" s="246"/>
      <c r="N185" s="240"/>
    </row>
    <row r="186" spans="2:14" ht="18" customHeight="1" x14ac:dyDescent="0.15">
      <c r="B186" s="246"/>
      <c r="C186" s="246"/>
      <c r="D186" s="240"/>
      <c r="E186" s="240"/>
      <c r="F186" s="240"/>
      <c r="G186" s="240"/>
      <c r="H186" s="263"/>
      <c r="I186" s="240"/>
      <c r="J186" s="240"/>
      <c r="K186" s="246"/>
      <c r="L186" s="246"/>
      <c r="M186" s="246"/>
      <c r="N186" s="240"/>
    </row>
    <row r="187" spans="2:14" ht="18" customHeight="1" x14ac:dyDescent="0.15">
      <c r="B187" s="246"/>
      <c r="C187" s="246"/>
      <c r="D187" s="240"/>
      <c r="E187" s="240"/>
      <c r="F187" s="240"/>
      <c r="G187" s="240"/>
      <c r="H187" s="263"/>
      <c r="I187" s="240"/>
      <c r="J187" s="240"/>
      <c r="K187" s="246"/>
      <c r="L187" s="246"/>
      <c r="M187" s="246"/>
      <c r="N187" s="240"/>
    </row>
    <row r="188" spans="2:14" ht="18" customHeight="1" x14ac:dyDescent="0.15">
      <c r="B188" s="246"/>
      <c r="C188" s="246"/>
      <c r="D188" s="240"/>
      <c r="E188" s="240"/>
      <c r="F188" s="240"/>
      <c r="G188" s="240"/>
      <c r="H188" s="263"/>
      <c r="I188" s="240"/>
      <c r="J188" s="240"/>
      <c r="K188" s="246"/>
      <c r="L188" s="246"/>
      <c r="M188" s="246"/>
      <c r="N188" s="240"/>
    </row>
    <row r="189" spans="2:14" ht="18" customHeight="1" x14ac:dyDescent="0.15">
      <c r="B189" s="246"/>
      <c r="C189" s="246"/>
      <c r="D189" s="240"/>
      <c r="E189" s="240"/>
      <c r="F189" s="240"/>
      <c r="G189" s="240"/>
      <c r="H189" s="263"/>
      <c r="I189" s="240"/>
      <c r="J189" s="240"/>
      <c r="K189" s="246"/>
      <c r="L189" s="246"/>
      <c r="M189" s="246"/>
      <c r="N189" s="240"/>
    </row>
    <row r="190" spans="2:14" ht="18" customHeight="1" x14ac:dyDescent="0.15">
      <c r="B190" s="246"/>
      <c r="C190" s="246"/>
      <c r="D190" s="240"/>
      <c r="E190" s="240"/>
      <c r="F190" s="240"/>
      <c r="G190" s="240"/>
      <c r="H190" s="263"/>
      <c r="I190" s="240"/>
      <c r="J190" s="240"/>
      <c r="K190" s="246"/>
      <c r="L190" s="246"/>
      <c r="M190" s="246"/>
      <c r="N190" s="240"/>
    </row>
    <row r="191" spans="2:14" ht="18" customHeight="1" x14ac:dyDescent="0.15">
      <c r="B191" s="246"/>
      <c r="C191" s="246"/>
      <c r="D191" s="240"/>
      <c r="E191" s="240"/>
      <c r="F191" s="240"/>
      <c r="G191" s="240"/>
      <c r="H191" s="263"/>
      <c r="I191" s="240"/>
      <c r="J191" s="240"/>
      <c r="K191" s="246"/>
      <c r="L191" s="246"/>
      <c r="M191" s="246"/>
      <c r="N191" s="240"/>
    </row>
    <row r="192" spans="2:14" ht="18" customHeight="1" x14ac:dyDescent="0.15">
      <c r="B192" s="246"/>
      <c r="C192" s="246"/>
      <c r="D192" s="240"/>
      <c r="E192" s="240"/>
      <c r="F192" s="240"/>
      <c r="G192" s="240"/>
      <c r="H192" s="263"/>
      <c r="I192" s="240"/>
      <c r="J192" s="240"/>
      <c r="K192" s="246"/>
      <c r="L192" s="246"/>
      <c r="M192" s="246"/>
      <c r="N192" s="240"/>
    </row>
    <row r="193" spans="2:14" ht="18" customHeight="1" x14ac:dyDescent="0.15">
      <c r="B193" s="246"/>
      <c r="C193" s="246"/>
      <c r="D193" s="240"/>
      <c r="E193" s="240"/>
      <c r="F193" s="240"/>
      <c r="G193" s="240"/>
      <c r="H193" s="263"/>
      <c r="I193" s="240"/>
      <c r="J193" s="240"/>
      <c r="K193" s="246"/>
      <c r="L193" s="246"/>
      <c r="M193" s="246"/>
      <c r="N193" s="240"/>
    </row>
    <row r="194" spans="2:14" ht="18" customHeight="1" x14ac:dyDescent="0.15">
      <c r="B194" s="246"/>
      <c r="C194" s="246"/>
      <c r="D194" s="240"/>
      <c r="E194" s="240"/>
      <c r="F194" s="240"/>
      <c r="G194" s="240"/>
      <c r="H194" s="263"/>
      <c r="I194" s="240"/>
      <c r="J194" s="240"/>
      <c r="K194" s="246"/>
      <c r="L194" s="246"/>
      <c r="M194" s="246"/>
      <c r="N194" s="240"/>
    </row>
    <row r="195" spans="2:14" ht="18" customHeight="1" x14ac:dyDescent="0.15">
      <c r="B195" s="246"/>
      <c r="C195" s="246"/>
      <c r="D195" s="240"/>
      <c r="E195" s="240"/>
      <c r="F195" s="240"/>
      <c r="G195" s="240"/>
      <c r="H195" s="263"/>
      <c r="I195" s="240"/>
      <c r="J195" s="240"/>
      <c r="K195" s="246"/>
      <c r="L195" s="246"/>
      <c r="M195" s="246"/>
      <c r="N195" s="240"/>
    </row>
    <row r="196" spans="2:14" ht="18" customHeight="1" x14ac:dyDescent="0.15">
      <c r="B196" s="246"/>
      <c r="C196" s="246"/>
      <c r="D196" s="240"/>
      <c r="E196" s="240"/>
      <c r="F196" s="240"/>
      <c r="G196" s="240"/>
      <c r="H196" s="263"/>
      <c r="I196" s="240"/>
      <c r="J196" s="240"/>
      <c r="K196" s="246"/>
      <c r="L196" s="246"/>
      <c r="M196" s="246"/>
      <c r="N196" s="240"/>
    </row>
    <row r="197" spans="2:14" ht="18" customHeight="1" x14ac:dyDescent="0.15">
      <c r="B197" s="246"/>
      <c r="C197" s="246"/>
      <c r="D197" s="240"/>
      <c r="E197" s="240"/>
      <c r="F197" s="240"/>
      <c r="G197" s="240"/>
      <c r="H197" s="263"/>
      <c r="I197" s="240"/>
      <c r="J197" s="240"/>
      <c r="K197" s="246"/>
      <c r="L197" s="246"/>
      <c r="M197" s="246"/>
      <c r="N197" s="240"/>
    </row>
    <row r="198" spans="2:14" ht="18" customHeight="1" x14ac:dyDescent="0.15">
      <c r="B198" s="246"/>
      <c r="C198" s="246"/>
      <c r="D198" s="240"/>
      <c r="E198" s="240"/>
      <c r="F198" s="240"/>
      <c r="G198" s="240"/>
      <c r="H198" s="263"/>
      <c r="I198" s="240"/>
      <c r="J198" s="240"/>
      <c r="K198" s="246"/>
      <c r="L198" s="246"/>
      <c r="M198" s="246"/>
      <c r="N198" s="240"/>
    </row>
    <row r="199" spans="2:14" ht="18" customHeight="1" x14ac:dyDescent="0.15">
      <c r="B199" s="246"/>
      <c r="C199" s="246"/>
      <c r="D199" s="240"/>
      <c r="E199" s="240"/>
      <c r="F199" s="240"/>
      <c r="G199" s="240"/>
      <c r="H199" s="263"/>
      <c r="I199" s="240"/>
      <c r="J199" s="240"/>
      <c r="K199" s="246"/>
      <c r="L199" s="246"/>
      <c r="M199" s="246"/>
      <c r="N199" s="240"/>
    </row>
    <row r="200" spans="2:14" ht="18" customHeight="1" x14ac:dyDescent="0.15">
      <c r="B200" s="246"/>
      <c r="C200" s="246"/>
      <c r="D200" s="240"/>
      <c r="E200" s="240"/>
      <c r="F200" s="240"/>
      <c r="G200" s="240"/>
      <c r="H200" s="263"/>
      <c r="I200" s="240"/>
      <c r="J200" s="240"/>
      <c r="K200" s="246"/>
      <c r="L200" s="246"/>
      <c r="M200" s="246"/>
      <c r="N200" s="240"/>
    </row>
    <row r="201" spans="2:14" ht="18" customHeight="1" x14ac:dyDescent="0.15">
      <c r="B201" s="246"/>
      <c r="C201" s="246"/>
      <c r="D201" s="240"/>
      <c r="E201" s="240"/>
      <c r="F201" s="240"/>
      <c r="G201" s="240"/>
      <c r="H201" s="263"/>
      <c r="I201" s="240"/>
      <c r="J201" s="240"/>
      <c r="K201" s="246"/>
      <c r="L201" s="246"/>
      <c r="M201" s="246"/>
      <c r="N201" s="240"/>
    </row>
    <row r="202" spans="2:14" ht="18" customHeight="1" x14ac:dyDescent="0.15">
      <c r="B202" s="246"/>
      <c r="C202" s="246"/>
      <c r="D202" s="240"/>
      <c r="E202" s="240"/>
      <c r="F202" s="240"/>
      <c r="G202" s="240"/>
      <c r="H202" s="263"/>
      <c r="I202" s="240"/>
      <c r="J202" s="240"/>
      <c r="K202" s="246"/>
      <c r="L202" s="246"/>
      <c r="M202" s="246"/>
      <c r="N202" s="240"/>
    </row>
    <row r="203" spans="2:14" ht="18" customHeight="1" x14ac:dyDescent="0.15">
      <c r="B203" s="246"/>
      <c r="C203" s="246"/>
      <c r="D203" s="240"/>
      <c r="E203" s="240"/>
      <c r="F203" s="240"/>
      <c r="G203" s="240"/>
      <c r="H203" s="263"/>
      <c r="I203" s="240"/>
      <c r="J203" s="240"/>
      <c r="K203" s="246"/>
      <c r="L203" s="246"/>
      <c r="M203" s="246"/>
      <c r="N203" s="240"/>
    </row>
    <row r="204" spans="2:14" ht="18" customHeight="1" x14ac:dyDescent="0.15">
      <c r="B204" s="246"/>
      <c r="C204" s="246"/>
      <c r="D204" s="240"/>
      <c r="E204" s="240"/>
      <c r="F204" s="240"/>
      <c r="G204" s="240"/>
      <c r="H204" s="263"/>
      <c r="I204" s="240"/>
      <c r="J204" s="240"/>
      <c r="K204" s="246"/>
      <c r="L204" s="246"/>
      <c r="M204" s="246"/>
      <c r="N204" s="240"/>
    </row>
    <row r="205" spans="2:14" ht="18" customHeight="1" x14ac:dyDescent="0.15">
      <c r="B205" s="246"/>
      <c r="C205" s="246"/>
      <c r="D205" s="240"/>
      <c r="E205" s="240"/>
      <c r="F205" s="240"/>
      <c r="G205" s="240"/>
      <c r="H205" s="263"/>
      <c r="I205" s="240"/>
      <c r="J205" s="240"/>
      <c r="K205" s="246"/>
      <c r="L205" s="246"/>
      <c r="M205" s="246"/>
      <c r="N205" s="240"/>
    </row>
    <row r="206" spans="2:14" ht="18" customHeight="1" x14ac:dyDescent="0.15">
      <c r="B206" s="246"/>
      <c r="C206" s="246"/>
      <c r="D206" s="240"/>
      <c r="E206" s="240"/>
      <c r="F206" s="240"/>
      <c r="G206" s="240"/>
      <c r="H206" s="263"/>
      <c r="I206" s="240"/>
      <c r="J206" s="240"/>
      <c r="K206" s="246"/>
      <c r="L206" s="246"/>
      <c r="M206" s="246"/>
      <c r="N206" s="240"/>
    </row>
    <row r="207" spans="2:14" ht="18" customHeight="1" x14ac:dyDescent="0.15">
      <c r="B207" s="246"/>
      <c r="C207" s="246"/>
      <c r="D207" s="240"/>
      <c r="E207" s="240"/>
      <c r="F207" s="240"/>
      <c r="G207" s="240"/>
      <c r="H207" s="263"/>
      <c r="I207" s="240"/>
      <c r="J207" s="240"/>
      <c r="K207" s="246"/>
      <c r="L207" s="246"/>
      <c r="M207" s="246"/>
      <c r="N207" s="240"/>
    </row>
    <row r="208" spans="2:14" ht="18" customHeight="1" x14ac:dyDescent="0.15">
      <c r="B208" s="246"/>
      <c r="C208" s="246"/>
      <c r="D208" s="240"/>
      <c r="E208" s="240"/>
      <c r="F208" s="240"/>
      <c r="G208" s="240"/>
      <c r="H208" s="263"/>
      <c r="I208" s="240"/>
      <c r="J208" s="240"/>
      <c r="K208" s="246"/>
      <c r="L208" s="246"/>
      <c r="M208" s="246"/>
      <c r="N208" s="240"/>
    </row>
    <row r="209" spans="2:14" ht="18" customHeight="1" x14ac:dyDescent="0.15">
      <c r="B209" s="246"/>
      <c r="C209" s="246"/>
      <c r="D209" s="240"/>
      <c r="E209" s="240"/>
      <c r="F209" s="240"/>
      <c r="G209" s="240"/>
      <c r="H209" s="263"/>
      <c r="I209" s="240"/>
      <c r="J209" s="240"/>
      <c r="K209" s="246"/>
      <c r="L209" s="246"/>
      <c r="M209" s="246"/>
      <c r="N209" s="240"/>
    </row>
    <row r="210" spans="2:14" ht="18" customHeight="1" x14ac:dyDescent="0.15">
      <c r="B210" s="246"/>
      <c r="C210" s="246"/>
      <c r="D210" s="240"/>
      <c r="E210" s="240"/>
      <c r="F210" s="240"/>
      <c r="G210" s="240"/>
      <c r="H210" s="263"/>
      <c r="I210" s="240"/>
      <c r="J210" s="240"/>
      <c r="K210" s="246"/>
      <c r="L210" s="246"/>
      <c r="M210" s="246"/>
      <c r="N210" s="240"/>
    </row>
    <row r="211" spans="2:14" ht="18" customHeight="1" x14ac:dyDescent="0.15">
      <c r="B211" s="246"/>
      <c r="C211" s="246"/>
      <c r="D211" s="240"/>
      <c r="E211" s="240"/>
      <c r="F211" s="240"/>
      <c r="G211" s="240"/>
      <c r="H211" s="263"/>
      <c r="I211" s="240"/>
      <c r="J211" s="240"/>
      <c r="K211" s="246"/>
      <c r="L211" s="246"/>
      <c r="M211" s="246"/>
      <c r="N211" s="240"/>
    </row>
    <row r="212" spans="2:14" ht="18" customHeight="1" x14ac:dyDescent="0.15">
      <c r="B212" s="246"/>
      <c r="C212" s="246"/>
      <c r="D212" s="240"/>
      <c r="E212" s="240"/>
      <c r="F212" s="240"/>
      <c r="G212" s="240"/>
      <c r="H212" s="263"/>
      <c r="I212" s="240"/>
      <c r="J212" s="240"/>
      <c r="K212" s="246"/>
      <c r="L212" s="246"/>
      <c r="M212" s="246"/>
      <c r="N212" s="240"/>
    </row>
    <row r="213" spans="2:14" ht="18" customHeight="1" x14ac:dyDescent="0.15">
      <c r="B213" s="246"/>
      <c r="C213" s="246"/>
      <c r="D213" s="240"/>
      <c r="E213" s="240"/>
      <c r="F213" s="240"/>
      <c r="G213" s="240"/>
      <c r="H213" s="263"/>
      <c r="I213" s="240"/>
      <c r="J213" s="240"/>
      <c r="K213" s="246"/>
      <c r="L213" s="246"/>
      <c r="M213" s="246"/>
      <c r="N213" s="240"/>
    </row>
    <row r="214" spans="2:14" ht="18" customHeight="1" x14ac:dyDescent="0.15">
      <c r="B214" s="246"/>
      <c r="C214" s="246"/>
      <c r="D214" s="240"/>
      <c r="E214" s="240"/>
      <c r="F214" s="240"/>
      <c r="G214" s="240"/>
      <c r="H214" s="263"/>
      <c r="I214" s="240"/>
      <c r="J214" s="240"/>
      <c r="K214" s="246"/>
      <c r="L214" s="246"/>
      <c r="M214" s="246"/>
      <c r="N214" s="240"/>
    </row>
    <row r="215" spans="2:14" ht="18" customHeight="1" x14ac:dyDescent="0.15">
      <c r="B215" s="246"/>
      <c r="C215" s="246"/>
      <c r="D215" s="240"/>
      <c r="E215" s="240"/>
      <c r="F215" s="240"/>
      <c r="G215" s="240"/>
      <c r="H215" s="263"/>
      <c r="I215" s="240"/>
      <c r="J215" s="240"/>
      <c r="K215" s="246"/>
      <c r="L215" s="246"/>
      <c r="M215" s="246"/>
      <c r="N215" s="240"/>
    </row>
    <row r="216" spans="2:14" ht="18" customHeight="1" x14ac:dyDescent="0.15">
      <c r="B216" s="246"/>
      <c r="C216" s="246"/>
      <c r="D216" s="240"/>
      <c r="E216" s="240"/>
      <c r="F216" s="240"/>
      <c r="G216" s="240"/>
      <c r="H216" s="263"/>
      <c r="I216" s="240"/>
      <c r="J216" s="240"/>
      <c r="K216" s="246"/>
      <c r="L216" s="246"/>
      <c r="M216" s="246"/>
      <c r="N216" s="240"/>
    </row>
    <row r="217" spans="2:14" ht="18" customHeight="1" x14ac:dyDescent="0.15">
      <c r="B217" s="246"/>
      <c r="C217" s="246"/>
      <c r="D217" s="240"/>
      <c r="E217" s="240"/>
      <c r="F217" s="240"/>
      <c r="G217" s="240"/>
      <c r="H217" s="263"/>
      <c r="I217" s="240"/>
      <c r="J217" s="240"/>
      <c r="K217" s="246"/>
      <c r="L217" s="246"/>
      <c r="M217" s="246"/>
      <c r="N217" s="240"/>
    </row>
    <row r="218" spans="2:14" ht="18" customHeight="1" x14ac:dyDescent="0.15">
      <c r="B218" s="246"/>
      <c r="C218" s="246"/>
      <c r="D218" s="240"/>
      <c r="E218" s="240"/>
      <c r="F218" s="240"/>
      <c r="G218" s="240"/>
      <c r="H218" s="263"/>
      <c r="I218" s="240"/>
      <c r="J218" s="240"/>
      <c r="K218" s="246"/>
      <c r="L218" s="246"/>
      <c r="M218" s="246"/>
      <c r="N218" s="240"/>
    </row>
    <row r="219" spans="2:14" ht="18" customHeight="1" x14ac:dyDescent="0.15">
      <c r="B219" s="246"/>
      <c r="C219" s="246"/>
      <c r="D219" s="240"/>
      <c r="E219" s="240"/>
      <c r="F219" s="240"/>
      <c r="G219" s="240"/>
      <c r="H219" s="263"/>
      <c r="I219" s="240"/>
      <c r="J219" s="240"/>
      <c r="K219" s="246"/>
      <c r="L219" s="246"/>
      <c r="M219" s="246"/>
      <c r="N219" s="240"/>
    </row>
    <row r="220" spans="2:14" ht="18" customHeight="1" x14ac:dyDescent="0.15">
      <c r="B220" s="246"/>
      <c r="C220" s="246"/>
      <c r="D220" s="240"/>
      <c r="E220" s="240"/>
      <c r="F220" s="240"/>
      <c r="G220" s="240"/>
      <c r="H220" s="263"/>
      <c r="I220" s="240"/>
      <c r="J220" s="240"/>
      <c r="K220" s="246"/>
      <c r="L220" s="246"/>
      <c r="M220" s="246"/>
      <c r="N220" s="240"/>
    </row>
    <row r="221" spans="2:14" ht="18" customHeight="1" x14ac:dyDescent="0.15">
      <c r="B221" s="246"/>
      <c r="C221" s="246"/>
      <c r="D221" s="240"/>
      <c r="E221" s="240"/>
      <c r="F221" s="240"/>
      <c r="G221" s="240"/>
      <c r="H221" s="263"/>
      <c r="I221" s="240"/>
      <c r="J221" s="240"/>
      <c r="K221" s="246"/>
      <c r="L221" s="246"/>
      <c r="M221" s="246"/>
      <c r="N221" s="240"/>
    </row>
    <row r="222" spans="2:14" ht="18" customHeight="1" x14ac:dyDescent="0.15">
      <c r="B222" s="246"/>
      <c r="C222" s="246"/>
      <c r="D222" s="240"/>
      <c r="E222" s="240"/>
      <c r="F222" s="240"/>
      <c r="G222" s="240"/>
      <c r="H222" s="263"/>
      <c r="I222" s="240"/>
      <c r="J222" s="240"/>
      <c r="K222" s="246"/>
      <c r="L222" s="246"/>
      <c r="M222" s="246"/>
      <c r="N222" s="240"/>
    </row>
    <row r="223" spans="2:14" ht="18" customHeight="1" x14ac:dyDescent="0.15">
      <c r="B223" s="246"/>
      <c r="C223" s="246"/>
      <c r="D223" s="240"/>
      <c r="E223" s="240"/>
      <c r="F223" s="240"/>
      <c r="G223" s="240"/>
      <c r="H223" s="263"/>
      <c r="I223" s="240"/>
      <c r="J223" s="240"/>
      <c r="K223" s="246"/>
      <c r="L223" s="246"/>
      <c r="M223" s="246"/>
      <c r="N223" s="240"/>
    </row>
    <row r="224" spans="2:14" ht="18" customHeight="1" x14ac:dyDescent="0.15">
      <c r="B224" s="246"/>
      <c r="C224" s="246"/>
      <c r="D224" s="240"/>
      <c r="E224" s="240"/>
      <c r="F224" s="240"/>
      <c r="G224" s="240"/>
      <c r="H224" s="263"/>
      <c r="I224" s="240"/>
      <c r="J224" s="240"/>
      <c r="K224" s="246"/>
      <c r="L224" s="246"/>
      <c r="M224" s="246"/>
      <c r="N224" s="240"/>
    </row>
    <row r="225" spans="2:14" ht="18" customHeight="1" x14ac:dyDescent="0.15">
      <c r="B225" s="246"/>
      <c r="C225" s="246"/>
      <c r="D225" s="240"/>
      <c r="E225" s="240"/>
      <c r="F225" s="240"/>
      <c r="G225" s="240"/>
      <c r="H225" s="263"/>
      <c r="I225" s="240"/>
      <c r="J225" s="240"/>
      <c r="K225" s="246"/>
      <c r="L225" s="246"/>
      <c r="M225" s="246"/>
      <c r="N225" s="240"/>
    </row>
    <row r="226" spans="2:14" ht="18" customHeight="1" x14ac:dyDescent="0.15">
      <c r="B226" s="246"/>
      <c r="C226" s="246"/>
      <c r="D226" s="240"/>
      <c r="E226" s="240"/>
      <c r="F226" s="240"/>
      <c r="G226" s="240"/>
      <c r="H226" s="263"/>
      <c r="I226" s="240"/>
      <c r="J226" s="240"/>
      <c r="K226" s="246"/>
      <c r="L226" s="246"/>
      <c r="M226" s="246"/>
      <c r="N226" s="240"/>
    </row>
    <row r="227" spans="2:14" ht="18" customHeight="1" x14ac:dyDescent="0.15">
      <c r="B227" s="246"/>
      <c r="C227" s="246"/>
      <c r="D227" s="240"/>
      <c r="E227" s="240"/>
      <c r="F227" s="240"/>
      <c r="G227" s="240"/>
      <c r="H227" s="263"/>
      <c r="I227" s="240"/>
      <c r="J227" s="240"/>
      <c r="K227" s="246"/>
      <c r="L227" s="246"/>
      <c r="M227" s="246"/>
      <c r="N227" s="240"/>
    </row>
    <row r="228" spans="2:14" ht="18" customHeight="1" x14ac:dyDescent="0.15">
      <c r="B228" s="246"/>
      <c r="C228" s="246"/>
      <c r="D228" s="240"/>
      <c r="E228" s="240"/>
      <c r="F228" s="240"/>
      <c r="G228" s="240"/>
      <c r="H228" s="263"/>
      <c r="I228" s="240"/>
      <c r="J228" s="240"/>
      <c r="K228" s="246"/>
      <c r="L228" s="246"/>
      <c r="M228" s="246"/>
      <c r="N228" s="240"/>
    </row>
    <row r="229" spans="2:14" ht="18" customHeight="1" x14ac:dyDescent="0.15">
      <c r="B229" s="246"/>
      <c r="C229" s="246"/>
      <c r="D229" s="240"/>
      <c r="E229" s="240"/>
      <c r="F229" s="240"/>
      <c r="G229" s="240"/>
      <c r="H229" s="263"/>
      <c r="I229" s="240"/>
      <c r="J229" s="240"/>
      <c r="K229" s="246"/>
      <c r="L229" s="246"/>
      <c r="M229" s="246"/>
      <c r="N229" s="240"/>
    </row>
    <row r="230" spans="2:14" ht="18" customHeight="1" x14ac:dyDescent="0.15">
      <c r="B230" s="246"/>
      <c r="C230" s="246"/>
      <c r="D230" s="240"/>
      <c r="E230" s="240"/>
      <c r="F230" s="240"/>
      <c r="G230" s="240"/>
      <c r="H230" s="263"/>
      <c r="I230" s="240"/>
      <c r="J230" s="240"/>
      <c r="K230" s="246"/>
      <c r="L230" s="246"/>
      <c r="M230" s="246"/>
      <c r="N230" s="240"/>
    </row>
    <row r="231" spans="2:14" ht="18" customHeight="1" x14ac:dyDescent="0.15">
      <c r="B231" s="246"/>
      <c r="C231" s="246"/>
      <c r="D231" s="240"/>
      <c r="E231" s="240"/>
      <c r="F231" s="240"/>
      <c r="G231" s="240"/>
      <c r="H231" s="263"/>
      <c r="I231" s="240"/>
      <c r="J231" s="240"/>
      <c r="K231" s="246"/>
      <c r="L231" s="246"/>
      <c r="M231" s="246"/>
      <c r="N231" s="240"/>
    </row>
    <row r="232" spans="2:14" ht="18" customHeight="1" x14ac:dyDescent="0.15">
      <c r="B232" s="246"/>
      <c r="C232" s="246"/>
      <c r="D232" s="240"/>
      <c r="E232" s="240"/>
      <c r="F232" s="240"/>
      <c r="G232" s="240"/>
      <c r="H232" s="263"/>
      <c r="I232" s="240"/>
      <c r="J232" s="240"/>
      <c r="K232" s="246"/>
      <c r="L232" s="246"/>
      <c r="M232" s="246"/>
      <c r="N232" s="240"/>
    </row>
    <row r="233" spans="2:14" ht="18" customHeight="1" x14ac:dyDescent="0.15">
      <c r="B233" s="246"/>
      <c r="C233" s="246"/>
      <c r="D233" s="240"/>
      <c r="E233" s="240"/>
      <c r="F233" s="240"/>
      <c r="G233" s="240"/>
      <c r="H233" s="263"/>
      <c r="I233" s="240"/>
      <c r="J233" s="240"/>
      <c r="K233" s="246"/>
      <c r="L233" s="246"/>
      <c r="M233" s="246"/>
      <c r="N233" s="240"/>
    </row>
    <row r="234" spans="2:14" ht="18" customHeight="1" x14ac:dyDescent="0.15">
      <c r="B234" s="246"/>
      <c r="C234" s="246"/>
      <c r="D234" s="240"/>
      <c r="E234" s="240"/>
      <c r="F234" s="240"/>
      <c r="G234" s="240"/>
      <c r="H234" s="263"/>
      <c r="I234" s="240"/>
      <c r="J234" s="240"/>
      <c r="K234" s="246"/>
      <c r="L234" s="246"/>
      <c r="M234" s="246"/>
      <c r="N234" s="240"/>
    </row>
    <row r="235" spans="2:14" ht="18" customHeight="1" x14ac:dyDescent="0.15">
      <c r="B235" s="246"/>
      <c r="C235" s="246"/>
      <c r="D235" s="240"/>
      <c r="E235" s="240"/>
      <c r="F235" s="240"/>
      <c r="G235" s="240"/>
      <c r="H235" s="263"/>
      <c r="I235" s="240"/>
      <c r="J235" s="240"/>
      <c r="K235" s="246"/>
      <c r="L235" s="246"/>
      <c r="M235" s="246"/>
      <c r="N235" s="240"/>
    </row>
    <row r="236" spans="2:14" ht="18" customHeight="1" x14ac:dyDescent="0.15">
      <c r="B236" s="246"/>
      <c r="C236" s="246"/>
      <c r="D236" s="240"/>
      <c r="E236" s="240"/>
      <c r="F236" s="240"/>
      <c r="G236" s="240"/>
      <c r="H236" s="263"/>
      <c r="I236" s="240"/>
      <c r="J236" s="240"/>
      <c r="K236" s="246"/>
      <c r="L236" s="246"/>
      <c r="M236" s="246"/>
      <c r="N236" s="240"/>
    </row>
    <row r="237" spans="2:14" ht="18" customHeight="1" x14ac:dyDescent="0.15">
      <c r="B237" s="246"/>
      <c r="C237" s="246"/>
      <c r="D237" s="240"/>
      <c r="E237" s="240"/>
      <c r="F237" s="240"/>
      <c r="G237" s="240"/>
      <c r="H237" s="263"/>
      <c r="I237" s="240"/>
      <c r="J237" s="240"/>
      <c r="K237" s="246"/>
      <c r="L237" s="246"/>
      <c r="M237" s="246"/>
      <c r="N237" s="240"/>
    </row>
    <row r="238" spans="2:14" ht="18" customHeight="1" x14ac:dyDescent="0.15">
      <c r="B238" s="246"/>
      <c r="C238" s="246"/>
      <c r="D238" s="240"/>
      <c r="E238" s="240"/>
      <c r="F238" s="240"/>
      <c r="G238" s="240"/>
      <c r="H238" s="263"/>
      <c r="I238" s="240"/>
      <c r="J238" s="240"/>
      <c r="K238" s="246"/>
      <c r="L238" s="246"/>
      <c r="M238" s="246"/>
      <c r="N238" s="240"/>
    </row>
    <row r="239" spans="2:14" ht="18" customHeight="1" x14ac:dyDescent="0.15">
      <c r="B239" s="246"/>
      <c r="C239" s="246"/>
      <c r="D239" s="240"/>
      <c r="E239" s="240"/>
      <c r="F239" s="240"/>
      <c r="G239" s="240"/>
      <c r="H239" s="263"/>
      <c r="I239" s="240"/>
      <c r="J239" s="240"/>
      <c r="K239" s="246"/>
      <c r="L239" s="246"/>
      <c r="M239" s="246"/>
      <c r="N239" s="240"/>
    </row>
    <row r="240" spans="2:14" ht="18" customHeight="1" x14ac:dyDescent="0.15">
      <c r="B240" s="246"/>
      <c r="C240" s="246"/>
      <c r="D240" s="240"/>
      <c r="E240" s="240"/>
      <c r="F240" s="240"/>
      <c r="G240" s="240"/>
      <c r="H240" s="263"/>
      <c r="I240" s="240"/>
      <c r="J240" s="240"/>
      <c r="K240" s="246"/>
      <c r="L240" s="246"/>
      <c r="M240" s="246"/>
      <c r="N240" s="240"/>
    </row>
    <row r="241" spans="2:14" ht="18" customHeight="1" x14ac:dyDescent="0.15">
      <c r="B241" s="246"/>
      <c r="C241" s="246"/>
      <c r="D241" s="240"/>
      <c r="E241" s="240"/>
      <c r="F241" s="240"/>
      <c r="G241" s="240"/>
      <c r="H241" s="263"/>
      <c r="I241" s="240"/>
      <c r="J241" s="240"/>
      <c r="K241" s="246"/>
      <c r="L241" s="246"/>
      <c r="M241" s="246"/>
      <c r="N241" s="240"/>
    </row>
    <row r="242" spans="2:14" ht="18" customHeight="1" x14ac:dyDescent="0.15">
      <c r="B242" s="246"/>
      <c r="C242" s="246"/>
      <c r="D242" s="240"/>
      <c r="E242" s="240"/>
      <c r="F242" s="240"/>
      <c r="G242" s="240"/>
      <c r="H242" s="263"/>
      <c r="I242" s="240"/>
      <c r="J242" s="240"/>
      <c r="K242" s="246"/>
      <c r="L242" s="246"/>
      <c r="M242" s="246"/>
      <c r="N242" s="240"/>
    </row>
    <row r="243" spans="2:14" ht="18" customHeight="1" x14ac:dyDescent="0.15">
      <c r="B243" s="246"/>
      <c r="C243" s="246"/>
      <c r="D243" s="240"/>
      <c r="E243" s="240"/>
      <c r="F243" s="240"/>
      <c r="G243" s="240"/>
      <c r="H243" s="263"/>
      <c r="I243" s="240"/>
      <c r="J243" s="240"/>
      <c r="K243" s="246"/>
      <c r="L243" s="246"/>
      <c r="M243" s="246"/>
      <c r="N243" s="240"/>
    </row>
    <row r="244" spans="2:14" ht="18" customHeight="1" x14ac:dyDescent="0.15">
      <c r="B244" s="246"/>
      <c r="C244" s="246"/>
      <c r="D244" s="240"/>
      <c r="E244" s="240"/>
      <c r="F244" s="240"/>
      <c r="G244" s="240"/>
      <c r="H244" s="263"/>
      <c r="I244" s="240"/>
      <c r="J244" s="240"/>
      <c r="K244" s="246"/>
      <c r="L244" s="246"/>
      <c r="M244" s="246"/>
      <c r="N244" s="240"/>
    </row>
    <row r="245" spans="2:14" ht="18" customHeight="1" x14ac:dyDescent="0.15">
      <c r="B245" s="246"/>
      <c r="C245" s="246"/>
      <c r="D245" s="240"/>
      <c r="E245" s="240"/>
      <c r="F245" s="240"/>
      <c r="G245" s="240"/>
      <c r="H245" s="263"/>
      <c r="I245" s="240"/>
      <c r="J245" s="240"/>
      <c r="K245" s="246"/>
      <c r="L245" s="246"/>
      <c r="M245" s="246"/>
      <c r="N245" s="240"/>
    </row>
    <row r="246" spans="2:14" ht="18" customHeight="1" x14ac:dyDescent="0.15">
      <c r="B246" s="246"/>
      <c r="C246" s="246"/>
      <c r="D246" s="240"/>
      <c r="E246" s="240"/>
      <c r="F246" s="240"/>
      <c r="G246" s="240"/>
      <c r="H246" s="263"/>
      <c r="I246" s="240"/>
      <c r="J246" s="240"/>
      <c r="K246" s="246"/>
      <c r="L246" s="246"/>
      <c r="M246" s="246"/>
      <c r="N246" s="240"/>
    </row>
    <row r="247" spans="2:14" ht="18" customHeight="1" x14ac:dyDescent="0.15">
      <c r="B247" s="246"/>
      <c r="C247" s="246"/>
      <c r="D247" s="240"/>
      <c r="E247" s="240"/>
      <c r="F247" s="240"/>
      <c r="G247" s="240"/>
      <c r="H247" s="263"/>
      <c r="I247" s="240"/>
      <c r="J247" s="240"/>
      <c r="K247" s="246"/>
      <c r="L247" s="246"/>
      <c r="M247" s="246"/>
      <c r="N247" s="240"/>
    </row>
    <row r="248" spans="2:14" ht="18" customHeight="1" x14ac:dyDescent="0.15">
      <c r="B248" s="246"/>
      <c r="C248" s="246"/>
      <c r="D248" s="240"/>
      <c r="E248" s="240"/>
      <c r="F248" s="240"/>
      <c r="G248" s="240"/>
      <c r="H248" s="263"/>
      <c r="I248" s="240"/>
      <c r="J248" s="240"/>
      <c r="K248" s="246"/>
      <c r="L248" s="246"/>
      <c r="M248" s="246"/>
      <c r="N248" s="240"/>
    </row>
    <row r="249" spans="2:14" ht="18" customHeight="1" x14ac:dyDescent="0.15">
      <c r="B249" s="246"/>
      <c r="C249" s="246"/>
      <c r="D249" s="240"/>
      <c r="E249" s="240"/>
      <c r="F249" s="240"/>
      <c r="G249" s="240"/>
      <c r="H249" s="263"/>
      <c r="I249" s="240"/>
      <c r="J249" s="240"/>
      <c r="K249" s="246"/>
      <c r="L249" s="246"/>
      <c r="M249" s="246"/>
      <c r="N249" s="240"/>
    </row>
    <row r="250" spans="2:14" ht="18" customHeight="1" x14ac:dyDescent="0.15">
      <c r="B250" s="246"/>
      <c r="C250" s="246"/>
      <c r="D250" s="240"/>
      <c r="E250" s="240"/>
      <c r="F250" s="240"/>
      <c r="G250" s="240"/>
      <c r="H250" s="263"/>
      <c r="I250" s="240"/>
      <c r="J250" s="240"/>
      <c r="K250" s="246"/>
      <c r="L250" s="246"/>
      <c r="M250" s="246"/>
      <c r="N250" s="240"/>
    </row>
    <row r="251" spans="2:14" ht="18" customHeight="1" x14ac:dyDescent="0.15">
      <c r="B251" s="246"/>
      <c r="C251" s="246"/>
      <c r="D251" s="240"/>
      <c r="E251" s="240"/>
      <c r="F251" s="240"/>
      <c r="G251" s="240"/>
      <c r="H251" s="263"/>
      <c r="I251" s="240"/>
      <c r="J251" s="240"/>
      <c r="K251" s="246"/>
      <c r="L251" s="246"/>
      <c r="M251" s="246"/>
      <c r="N251" s="240"/>
    </row>
    <row r="252" spans="2:14" ht="18" customHeight="1" x14ac:dyDescent="0.15">
      <c r="B252" s="246"/>
      <c r="C252" s="246"/>
      <c r="D252" s="240"/>
      <c r="E252" s="240"/>
      <c r="F252" s="240"/>
      <c r="G252" s="240"/>
      <c r="H252" s="263"/>
      <c r="I252" s="240"/>
      <c r="J252" s="240"/>
      <c r="K252" s="246"/>
      <c r="L252" s="246"/>
      <c r="M252" s="246"/>
      <c r="N252" s="240"/>
    </row>
    <row r="253" spans="2:14" ht="18" customHeight="1" x14ac:dyDescent="0.15">
      <c r="B253" s="246"/>
      <c r="C253" s="246"/>
      <c r="D253" s="240"/>
      <c r="E253" s="240"/>
      <c r="F253" s="240"/>
      <c r="G253" s="240"/>
      <c r="H253" s="263"/>
      <c r="I253" s="240"/>
      <c r="J253" s="240"/>
      <c r="K253" s="246"/>
      <c r="L253" s="246"/>
      <c r="M253" s="246"/>
      <c r="N253" s="240"/>
    </row>
    <row r="254" spans="2:14" ht="18" customHeight="1" x14ac:dyDescent="0.15">
      <c r="B254" s="246"/>
      <c r="C254" s="246"/>
      <c r="D254" s="240"/>
      <c r="E254" s="240"/>
      <c r="F254" s="240"/>
      <c r="G254" s="240"/>
      <c r="H254" s="263"/>
      <c r="I254" s="240"/>
      <c r="J254" s="240"/>
      <c r="K254" s="246"/>
      <c r="L254" s="246"/>
      <c r="M254" s="246"/>
      <c r="N254" s="240"/>
    </row>
    <row r="255" spans="2:14" ht="18" customHeight="1" x14ac:dyDescent="0.15">
      <c r="B255" s="246"/>
      <c r="C255" s="246"/>
      <c r="D255" s="240"/>
      <c r="E255" s="240"/>
      <c r="F255" s="240"/>
      <c r="G255" s="240"/>
      <c r="H255" s="263"/>
      <c r="I255" s="240"/>
      <c r="J255" s="240"/>
      <c r="K255" s="246"/>
      <c r="L255" s="246"/>
      <c r="M255" s="246"/>
      <c r="N255" s="240"/>
    </row>
    <row r="256" spans="2:14" ht="18" customHeight="1" x14ac:dyDescent="0.15">
      <c r="B256" s="246"/>
      <c r="C256" s="246"/>
      <c r="D256" s="240"/>
      <c r="E256" s="240"/>
      <c r="F256" s="240"/>
      <c r="G256" s="240"/>
      <c r="H256" s="263"/>
      <c r="I256" s="240"/>
      <c r="J256" s="240"/>
      <c r="K256" s="246"/>
      <c r="L256" s="246"/>
      <c r="M256" s="246"/>
      <c r="N256" s="240"/>
    </row>
    <row r="257" spans="2:14" ht="18" customHeight="1" x14ac:dyDescent="0.15">
      <c r="B257" s="246"/>
      <c r="C257" s="246"/>
      <c r="D257" s="240"/>
      <c r="E257" s="240"/>
      <c r="F257" s="240"/>
      <c r="G257" s="240"/>
      <c r="H257" s="263"/>
      <c r="I257" s="240"/>
      <c r="J257" s="240"/>
      <c r="K257" s="246"/>
      <c r="L257" s="246"/>
      <c r="M257" s="246"/>
      <c r="N257" s="240"/>
    </row>
    <row r="258" spans="2:14" ht="18" customHeight="1" x14ac:dyDescent="0.15">
      <c r="B258" s="246"/>
      <c r="C258" s="246"/>
      <c r="D258" s="240"/>
      <c r="E258" s="240"/>
      <c r="F258" s="240"/>
      <c r="G258" s="240"/>
      <c r="H258" s="263"/>
      <c r="I258" s="240"/>
      <c r="J258" s="240"/>
      <c r="K258" s="246"/>
      <c r="L258" s="246"/>
      <c r="M258" s="246"/>
      <c r="N258" s="240"/>
    </row>
    <row r="259" spans="2:14" ht="18" customHeight="1" x14ac:dyDescent="0.15">
      <c r="B259" s="246"/>
      <c r="C259" s="246"/>
      <c r="D259" s="240"/>
      <c r="E259" s="240"/>
      <c r="F259" s="240"/>
      <c r="G259" s="240"/>
      <c r="H259" s="263"/>
      <c r="I259" s="240"/>
      <c r="J259" s="240"/>
      <c r="K259" s="246"/>
      <c r="L259" s="246"/>
      <c r="M259" s="246"/>
      <c r="N259" s="240"/>
    </row>
    <row r="260" spans="2:14" ht="18" customHeight="1" x14ac:dyDescent="0.15">
      <c r="B260" s="246"/>
      <c r="C260" s="246"/>
      <c r="D260" s="240"/>
      <c r="E260" s="240"/>
      <c r="F260" s="240"/>
      <c r="G260" s="240"/>
      <c r="H260" s="263"/>
      <c r="I260" s="240"/>
      <c r="J260" s="240"/>
      <c r="K260" s="246"/>
      <c r="L260" s="246"/>
      <c r="M260" s="246"/>
      <c r="N260" s="240"/>
    </row>
    <row r="261" spans="2:14" ht="18" customHeight="1" x14ac:dyDescent="0.15">
      <c r="B261" s="246"/>
      <c r="C261" s="246"/>
      <c r="D261" s="240"/>
      <c r="E261" s="240"/>
      <c r="F261" s="240"/>
      <c r="G261" s="240"/>
      <c r="H261" s="263"/>
      <c r="I261" s="240"/>
      <c r="J261" s="240"/>
      <c r="K261" s="246"/>
      <c r="L261" s="246"/>
      <c r="M261" s="246"/>
      <c r="N261" s="240"/>
    </row>
    <row r="262" spans="2:14" ht="18" customHeight="1" x14ac:dyDescent="0.15">
      <c r="B262" s="246"/>
      <c r="C262" s="246"/>
      <c r="D262" s="240"/>
      <c r="E262" s="240"/>
      <c r="F262" s="240"/>
      <c r="G262" s="240"/>
      <c r="H262" s="263"/>
      <c r="I262" s="240"/>
      <c r="J262" s="240"/>
      <c r="K262" s="246"/>
      <c r="L262" s="246"/>
      <c r="M262" s="246"/>
      <c r="N262" s="240"/>
    </row>
    <row r="263" spans="2:14" ht="18" customHeight="1" x14ac:dyDescent="0.15">
      <c r="B263" s="246"/>
      <c r="C263" s="246"/>
      <c r="D263" s="240"/>
      <c r="E263" s="240"/>
      <c r="F263" s="240"/>
      <c r="G263" s="240"/>
      <c r="H263" s="263"/>
      <c r="I263" s="240"/>
      <c r="J263" s="240"/>
      <c r="K263" s="246"/>
      <c r="L263" s="246"/>
      <c r="M263" s="246"/>
      <c r="N263" s="240"/>
    </row>
    <row r="264" spans="2:14" ht="18" customHeight="1" x14ac:dyDescent="0.15">
      <c r="B264" s="246"/>
      <c r="C264" s="246"/>
      <c r="D264" s="240"/>
      <c r="E264" s="240"/>
      <c r="F264" s="240"/>
      <c r="G264" s="240"/>
      <c r="H264" s="263"/>
      <c r="I264" s="240"/>
      <c r="J264" s="240"/>
      <c r="K264" s="246"/>
      <c r="L264" s="246"/>
      <c r="M264" s="246"/>
      <c r="N264" s="240"/>
    </row>
    <row r="265" spans="2:14" ht="18" customHeight="1" x14ac:dyDescent="0.15">
      <c r="B265" s="246"/>
      <c r="C265" s="246"/>
      <c r="D265" s="240"/>
      <c r="E265" s="240"/>
      <c r="F265" s="240"/>
      <c r="G265" s="240"/>
      <c r="H265" s="263"/>
      <c r="I265" s="240"/>
      <c r="J265" s="240"/>
      <c r="K265" s="246"/>
      <c r="L265" s="246"/>
      <c r="M265" s="246"/>
      <c r="N265" s="240"/>
    </row>
    <row r="266" spans="2:14" ht="18" customHeight="1" x14ac:dyDescent="0.15">
      <c r="B266" s="246"/>
      <c r="C266" s="246"/>
      <c r="D266" s="240"/>
      <c r="E266" s="240"/>
      <c r="F266" s="240"/>
      <c r="G266" s="240"/>
      <c r="H266" s="263"/>
      <c r="I266" s="240"/>
      <c r="J266" s="240"/>
      <c r="K266" s="246"/>
      <c r="L266" s="246"/>
      <c r="M266" s="246"/>
      <c r="N266" s="240"/>
    </row>
    <row r="267" spans="2:14" ht="18" customHeight="1" x14ac:dyDescent="0.15">
      <c r="B267" s="246"/>
      <c r="C267" s="246"/>
      <c r="D267" s="240"/>
      <c r="E267" s="240"/>
      <c r="F267" s="240"/>
      <c r="G267" s="240"/>
      <c r="H267" s="263"/>
      <c r="I267" s="240"/>
      <c r="J267" s="240"/>
      <c r="K267" s="246"/>
      <c r="L267" s="246"/>
      <c r="M267" s="246"/>
      <c r="N267" s="240"/>
    </row>
    <row r="268" spans="2:14" ht="18" customHeight="1" x14ac:dyDescent="0.15">
      <c r="B268" s="246"/>
      <c r="C268" s="246"/>
      <c r="D268" s="240"/>
      <c r="E268" s="240"/>
      <c r="F268" s="240"/>
      <c r="G268" s="240"/>
      <c r="H268" s="263"/>
      <c r="I268" s="240"/>
      <c r="J268" s="240"/>
      <c r="K268" s="246"/>
      <c r="L268" s="246"/>
      <c r="M268" s="246"/>
      <c r="N268" s="240"/>
    </row>
    <row r="269" spans="2:14" ht="18" customHeight="1" x14ac:dyDescent="0.15">
      <c r="B269" s="246"/>
      <c r="C269" s="246"/>
      <c r="D269" s="240"/>
      <c r="E269" s="240"/>
      <c r="F269" s="240"/>
      <c r="G269" s="240"/>
      <c r="H269" s="263"/>
      <c r="I269" s="240"/>
      <c r="J269" s="240"/>
      <c r="K269" s="246"/>
      <c r="L269" s="246"/>
      <c r="M269" s="246"/>
      <c r="N269" s="240"/>
    </row>
    <row r="270" spans="2:14" ht="18" customHeight="1" x14ac:dyDescent="0.15">
      <c r="B270" s="246"/>
      <c r="C270" s="246"/>
      <c r="D270" s="240"/>
      <c r="E270" s="240"/>
      <c r="F270" s="240"/>
      <c r="G270" s="240"/>
      <c r="H270" s="263"/>
      <c r="I270" s="240"/>
      <c r="J270" s="240"/>
      <c r="K270" s="246"/>
      <c r="L270" s="246"/>
      <c r="M270" s="246"/>
      <c r="N270" s="240"/>
    </row>
    <row r="271" spans="2:14" ht="18" customHeight="1" x14ac:dyDescent="0.15">
      <c r="B271" s="246"/>
      <c r="C271" s="246"/>
      <c r="D271" s="240"/>
      <c r="E271" s="240"/>
      <c r="F271" s="240"/>
      <c r="G271" s="240"/>
      <c r="H271" s="263"/>
      <c r="I271" s="240"/>
      <c r="J271" s="240"/>
      <c r="K271" s="246"/>
      <c r="L271" s="246"/>
      <c r="M271" s="246"/>
      <c r="N271" s="240"/>
    </row>
    <row r="272" spans="2:14" ht="18" customHeight="1" x14ac:dyDescent="0.15">
      <c r="B272" s="246"/>
      <c r="C272" s="246"/>
      <c r="D272" s="240"/>
      <c r="E272" s="240"/>
      <c r="F272" s="240"/>
      <c r="G272" s="240"/>
      <c r="H272" s="263"/>
      <c r="I272" s="240"/>
      <c r="J272" s="240"/>
      <c r="K272" s="246"/>
      <c r="L272" s="246"/>
      <c r="M272" s="246"/>
      <c r="N272" s="240"/>
    </row>
    <row r="273" spans="2:14" ht="18" customHeight="1" x14ac:dyDescent="0.15">
      <c r="B273" s="246"/>
      <c r="C273" s="246"/>
      <c r="D273" s="240"/>
      <c r="E273" s="240"/>
      <c r="F273" s="240"/>
      <c r="G273" s="240"/>
      <c r="H273" s="263"/>
      <c r="I273" s="240"/>
      <c r="J273" s="240"/>
      <c r="K273" s="246"/>
      <c r="L273" s="246"/>
      <c r="M273" s="246"/>
      <c r="N273" s="240"/>
    </row>
    <row r="274" spans="2:14" ht="18" customHeight="1" x14ac:dyDescent="0.15">
      <c r="B274" s="246"/>
      <c r="C274" s="246"/>
      <c r="D274" s="240"/>
      <c r="E274" s="240"/>
      <c r="F274" s="240"/>
      <c r="G274" s="240"/>
      <c r="H274" s="263"/>
      <c r="I274" s="240"/>
      <c r="J274" s="240"/>
      <c r="K274" s="246"/>
      <c r="L274" s="246"/>
      <c r="M274" s="246"/>
      <c r="N274" s="240"/>
    </row>
    <row r="275" spans="2:14" ht="18" customHeight="1" x14ac:dyDescent="0.15">
      <c r="B275" s="246"/>
      <c r="C275" s="246"/>
      <c r="D275" s="240"/>
      <c r="E275" s="240"/>
      <c r="F275" s="240"/>
      <c r="G275" s="240"/>
      <c r="H275" s="263"/>
      <c r="I275" s="240"/>
      <c r="J275" s="240"/>
      <c r="K275" s="246"/>
      <c r="L275" s="246"/>
      <c r="M275" s="246"/>
      <c r="N275" s="240"/>
    </row>
    <row r="276" spans="2:14" ht="18" customHeight="1" x14ac:dyDescent="0.15">
      <c r="B276" s="246"/>
      <c r="C276" s="246"/>
      <c r="D276" s="240"/>
      <c r="E276" s="240"/>
      <c r="F276" s="240"/>
      <c r="G276" s="240"/>
      <c r="H276" s="263"/>
      <c r="I276" s="240"/>
      <c r="J276" s="240"/>
      <c r="K276" s="246"/>
      <c r="L276" s="246"/>
      <c r="M276" s="246"/>
      <c r="N276" s="240"/>
    </row>
    <row r="277" spans="2:14" ht="18" customHeight="1" x14ac:dyDescent="0.15">
      <c r="B277" s="246"/>
      <c r="C277" s="246"/>
      <c r="D277" s="240"/>
      <c r="E277" s="240"/>
      <c r="F277" s="240"/>
      <c r="G277" s="240"/>
      <c r="H277" s="263"/>
      <c r="I277" s="240"/>
      <c r="J277" s="240"/>
      <c r="K277" s="246"/>
      <c r="L277" s="246"/>
      <c r="M277" s="246"/>
      <c r="N277" s="240"/>
    </row>
    <row r="278" spans="2:14" ht="18" customHeight="1" x14ac:dyDescent="0.15">
      <c r="B278" s="246"/>
      <c r="C278" s="246"/>
      <c r="D278" s="240"/>
      <c r="E278" s="240"/>
      <c r="F278" s="240"/>
      <c r="G278" s="240"/>
      <c r="H278" s="263"/>
      <c r="I278" s="240"/>
      <c r="J278" s="240"/>
      <c r="K278" s="246"/>
      <c r="L278" s="246"/>
      <c r="M278" s="246"/>
      <c r="N278" s="240"/>
    </row>
    <row r="279" spans="2:14" ht="18" customHeight="1" x14ac:dyDescent="0.15">
      <c r="B279" s="246"/>
      <c r="C279" s="246"/>
      <c r="D279" s="240"/>
      <c r="E279" s="240"/>
      <c r="F279" s="240"/>
      <c r="G279" s="240"/>
      <c r="H279" s="263"/>
      <c r="I279" s="240"/>
      <c r="J279" s="240"/>
      <c r="K279" s="246"/>
      <c r="L279" s="246"/>
      <c r="M279" s="246"/>
      <c r="N279" s="240"/>
    </row>
    <row r="280" spans="2:14" ht="18" customHeight="1" x14ac:dyDescent="0.15">
      <c r="B280" s="246"/>
      <c r="C280" s="246"/>
      <c r="D280" s="240"/>
      <c r="E280" s="240"/>
      <c r="F280" s="240"/>
      <c r="G280" s="240"/>
      <c r="H280" s="263"/>
      <c r="I280" s="240"/>
      <c r="J280" s="240"/>
      <c r="K280" s="246"/>
      <c r="L280" s="246"/>
      <c r="M280" s="246"/>
      <c r="N280" s="240"/>
    </row>
    <row r="281" spans="2:14" ht="18" customHeight="1" x14ac:dyDescent="0.15">
      <c r="B281" s="246"/>
      <c r="C281" s="246"/>
      <c r="D281" s="240"/>
      <c r="E281" s="240"/>
      <c r="F281" s="240"/>
      <c r="G281" s="240"/>
      <c r="H281" s="263"/>
      <c r="I281" s="240"/>
      <c r="J281" s="240"/>
      <c r="K281" s="246"/>
      <c r="L281" s="246"/>
      <c r="M281" s="246"/>
      <c r="N281" s="240"/>
    </row>
    <row r="282" spans="2:14" ht="18" customHeight="1" x14ac:dyDescent="0.15">
      <c r="B282" s="246"/>
      <c r="C282" s="246"/>
      <c r="D282" s="240"/>
      <c r="E282" s="240"/>
      <c r="F282" s="240"/>
      <c r="G282" s="240"/>
      <c r="H282" s="263"/>
      <c r="I282" s="240"/>
      <c r="J282" s="240"/>
      <c r="K282" s="246"/>
      <c r="L282" s="246"/>
      <c r="M282" s="246"/>
      <c r="N282" s="240"/>
    </row>
    <row r="283" spans="2:14" ht="18" customHeight="1" x14ac:dyDescent="0.15">
      <c r="B283" s="246"/>
      <c r="C283" s="246"/>
      <c r="D283" s="240"/>
      <c r="E283" s="240"/>
      <c r="F283" s="240"/>
      <c r="G283" s="240"/>
      <c r="H283" s="263"/>
      <c r="I283" s="240"/>
      <c r="J283" s="240"/>
      <c r="K283" s="246"/>
      <c r="L283" s="246"/>
      <c r="M283" s="246"/>
      <c r="N283" s="240"/>
    </row>
    <row r="284" spans="2:14" ht="18" customHeight="1" x14ac:dyDescent="0.15">
      <c r="B284" s="246"/>
      <c r="C284" s="246"/>
      <c r="D284" s="240"/>
      <c r="E284" s="240"/>
      <c r="F284" s="240"/>
      <c r="G284" s="240"/>
      <c r="H284" s="263"/>
      <c r="I284" s="240"/>
      <c r="J284" s="240"/>
      <c r="K284" s="246"/>
      <c r="L284" s="246"/>
      <c r="M284" s="246"/>
      <c r="N284" s="240"/>
    </row>
    <row r="285" spans="2:14" ht="18" customHeight="1" x14ac:dyDescent="0.15">
      <c r="B285" s="246"/>
      <c r="C285" s="246"/>
      <c r="D285" s="240"/>
      <c r="E285" s="240"/>
      <c r="F285" s="240"/>
      <c r="G285" s="240"/>
      <c r="H285" s="263"/>
      <c r="I285" s="240"/>
      <c r="J285" s="240"/>
      <c r="K285" s="246"/>
      <c r="L285" s="246"/>
      <c r="M285" s="246"/>
      <c r="N285" s="240"/>
    </row>
    <row r="286" spans="2:14" ht="18" customHeight="1" x14ac:dyDescent="0.15">
      <c r="B286" s="246"/>
      <c r="C286" s="246"/>
      <c r="D286" s="240"/>
      <c r="E286" s="240"/>
      <c r="F286" s="240"/>
      <c r="G286" s="240"/>
      <c r="H286" s="263"/>
      <c r="I286" s="240"/>
      <c r="J286" s="240"/>
      <c r="K286" s="246"/>
      <c r="L286" s="246"/>
      <c r="M286" s="246"/>
      <c r="N286" s="240"/>
    </row>
    <row r="287" spans="2:14" ht="18" customHeight="1" x14ac:dyDescent="0.15">
      <c r="B287" s="246"/>
      <c r="C287" s="246"/>
      <c r="D287" s="240"/>
      <c r="E287" s="240"/>
      <c r="F287" s="240"/>
      <c r="G287" s="240"/>
      <c r="H287" s="263"/>
      <c r="I287" s="240"/>
      <c r="J287" s="240"/>
      <c r="K287" s="246"/>
      <c r="L287" s="246"/>
      <c r="M287" s="246"/>
      <c r="N287" s="240"/>
    </row>
    <row r="288" spans="2:14" ht="18" customHeight="1" x14ac:dyDescent="0.15">
      <c r="B288" s="246"/>
      <c r="C288" s="246"/>
      <c r="D288" s="240"/>
      <c r="E288" s="240"/>
      <c r="F288" s="240"/>
      <c r="G288" s="240"/>
      <c r="H288" s="263"/>
      <c r="I288" s="240"/>
      <c r="J288" s="240"/>
      <c r="K288" s="246"/>
      <c r="L288" s="246"/>
      <c r="M288" s="246"/>
      <c r="N288" s="240"/>
    </row>
    <row r="289" spans="2:14" ht="18" customHeight="1" x14ac:dyDescent="0.15">
      <c r="B289" s="246"/>
      <c r="C289" s="246"/>
      <c r="D289" s="240"/>
      <c r="E289" s="240"/>
      <c r="F289" s="240"/>
      <c r="G289" s="240"/>
      <c r="H289" s="263"/>
      <c r="I289" s="240"/>
      <c r="J289" s="240"/>
      <c r="K289" s="246"/>
      <c r="L289" s="246"/>
      <c r="M289" s="246"/>
      <c r="N289" s="240"/>
    </row>
    <row r="290" spans="2:14" ht="18" customHeight="1" x14ac:dyDescent="0.15">
      <c r="B290" s="246"/>
      <c r="C290" s="246"/>
      <c r="D290" s="240"/>
      <c r="E290" s="240"/>
      <c r="F290" s="240"/>
      <c r="G290" s="240"/>
      <c r="H290" s="263"/>
      <c r="I290" s="240"/>
      <c r="J290" s="240"/>
      <c r="K290" s="246"/>
      <c r="L290" s="246"/>
      <c r="M290" s="246"/>
      <c r="N290" s="240"/>
    </row>
    <row r="291" spans="2:14" ht="18" customHeight="1" x14ac:dyDescent="0.15">
      <c r="B291" s="246"/>
      <c r="C291" s="246"/>
      <c r="D291" s="240"/>
      <c r="E291" s="240"/>
      <c r="F291" s="240"/>
      <c r="G291" s="240"/>
      <c r="H291" s="263"/>
      <c r="I291" s="240"/>
      <c r="J291" s="240"/>
      <c r="K291" s="246"/>
      <c r="L291" s="246"/>
      <c r="M291" s="246"/>
      <c r="N291" s="240"/>
    </row>
    <row r="292" spans="2:14" ht="18" customHeight="1" x14ac:dyDescent="0.15">
      <c r="B292" s="246"/>
      <c r="C292" s="246"/>
      <c r="D292" s="240"/>
      <c r="E292" s="240"/>
      <c r="F292" s="240"/>
      <c r="G292" s="240"/>
      <c r="H292" s="263"/>
      <c r="I292" s="240"/>
      <c r="J292" s="240"/>
      <c r="K292" s="246"/>
      <c r="L292" s="246"/>
      <c r="M292" s="246"/>
      <c r="N292" s="240"/>
    </row>
    <row r="293" spans="2:14" ht="18" customHeight="1" x14ac:dyDescent="0.15">
      <c r="B293" s="246"/>
      <c r="C293" s="246"/>
      <c r="D293" s="240"/>
      <c r="E293" s="240"/>
      <c r="F293" s="240"/>
      <c r="G293" s="240"/>
      <c r="H293" s="263"/>
      <c r="I293" s="240"/>
      <c r="J293" s="240"/>
      <c r="K293" s="246"/>
      <c r="L293" s="246"/>
      <c r="M293" s="246"/>
      <c r="N293" s="240"/>
    </row>
    <row r="294" spans="2:14" ht="18" customHeight="1" x14ac:dyDescent="0.15">
      <c r="B294" s="246"/>
      <c r="C294" s="246"/>
      <c r="D294" s="240"/>
      <c r="E294" s="240"/>
      <c r="F294" s="240"/>
      <c r="G294" s="240"/>
      <c r="H294" s="263"/>
      <c r="I294" s="240"/>
      <c r="J294" s="240"/>
      <c r="K294" s="246"/>
      <c r="L294" s="246"/>
      <c r="M294" s="246"/>
      <c r="N294" s="240"/>
    </row>
    <row r="295" spans="2:14" ht="18" customHeight="1" x14ac:dyDescent="0.15">
      <c r="B295" s="246"/>
      <c r="C295" s="246"/>
      <c r="D295" s="240"/>
      <c r="E295" s="240"/>
      <c r="F295" s="240"/>
      <c r="G295" s="240"/>
      <c r="H295" s="263"/>
      <c r="I295" s="240"/>
      <c r="J295" s="240"/>
      <c r="K295" s="246"/>
      <c r="L295" s="246"/>
      <c r="M295" s="246"/>
      <c r="N295" s="240"/>
    </row>
    <row r="296" spans="2:14" ht="18" customHeight="1" x14ac:dyDescent="0.15">
      <c r="B296" s="246"/>
      <c r="C296" s="246"/>
      <c r="D296" s="240"/>
      <c r="E296" s="240"/>
      <c r="F296" s="240"/>
      <c r="G296" s="240"/>
      <c r="H296" s="263"/>
      <c r="I296" s="240"/>
      <c r="J296" s="240"/>
      <c r="K296" s="246"/>
      <c r="L296" s="246"/>
      <c r="M296" s="246"/>
      <c r="N296" s="240"/>
    </row>
    <row r="297" spans="2:14" ht="18" customHeight="1" x14ac:dyDescent="0.15">
      <c r="B297" s="246"/>
      <c r="C297" s="246"/>
      <c r="D297" s="240"/>
      <c r="E297" s="240"/>
      <c r="F297" s="240"/>
      <c r="G297" s="240"/>
      <c r="H297" s="263"/>
      <c r="I297" s="240"/>
      <c r="J297" s="240"/>
      <c r="K297" s="246"/>
      <c r="L297" s="246"/>
      <c r="M297" s="246"/>
      <c r="N297" s="240"/>
    </row>
    <row r="298" spans="2:14" ht="18" customHeight="1" x14ac:dyDescent="0.15">
      <c r="B298" s="246"/>
      <c r="C298" s="246"/>
      <c r="D298" s="240"/>
      <c r="E298" s="240"/>
      <c r="F298" s="240"/>
      <c r="G298" s="240"/>
      <c r="H298" s="263"/>
      <c r="I298" s="240"/>
      <c r="J298" s="240"/>
      <c r="K298" s="246"/>
      <c r="L298" s="246"/>
      <c r="M298" s="246"/>
      <c r="N298" s="240"/>
    </row>
    <row r="299" spans="2:14" ht="18" customHeight="1" x14ac:dyDescent="0.15">
      <c r="B299" s="246"/>
      <c r="C299" s="246"/>
      <c r="D299" s="240"/>
      <c r="E299" s="240"/>
      <c r="F299" s="240"/>
      <c r="G299" s="240"/>
      <c r="H299" s="263"/>
      <c r="I299" s="240"/>
      <c r="J299" s="240"/>
      <c r="K299" s="246"/>
      <c r="L299" s="246"/>
      <c r="M299" s="246"/>
      <c r="N299" s="240"/>
    </row>
    <row r="300" spans="2:14" ht="18" customHeight="1" x14ac:dyDescent="0.15">
      <c r="B300" s="246"/>
      <c r="C300" s="246"/>
      <c r="D300" s="240"/>
      <c r="E300" s="240"/>
      <c r="F300" s="240"/>
      <c r="G300" s="240"/>
      <c r="H300" s="263"/>
      <c r="I300" s="240"/>
      <c r="J300" s="240"/>
      <c r="K300" s="246"/>
      <c r="L300" s="246"/>
      <c r="M300" s="246"/>
      <c r="N300" s="240"/>
    </row>
    <row r="301" spans="2:14" ht="18" customHeight="1" x14ac:dyDescent="0.15">
      <c r="B301" s="246"/>
      <c r="C301" s="246"/>
      <c r="D301" s="240"/>
      <c r="E301" s="240"/>
      <c r="F301" s="240"/>
      <c r="G301" s="240"/>
      <c r="H301" s="263"/>
      <c r="I301" s="240"/>
      <c r="J301" s="240"/>
      <c r="K301" s="246"/>
      <c r="L301" s="246"/>
      <c r="M301" s="246"/>
      <c r="N301" s="240"/>
    </row>
    <row r="302" spans="2:14" ht="18" customHeight="1" x14ac:dyDescent="0.15">
      <c r="B302" s="246"/>
      <c r="C302" s="246"/>
      <c r="D302" s="240"/>
      <c r="E302" s="240"/>
      <c r="F302" s="240"/>
      <c r="G302" s="240"/>
      <c r="H302" s="263"/>
      <c r="I302" s="240"/>
      <c r="J302" s="240"/>
      <c r="K302" s="246"/>
      <c r="L302" s="246"/>
      <c r="M302" s="246"/>
      <c r="N302" s="240"/>
    </row>
    <row r="303" spans="2:14" ht="18" customHeight="1" x14ac:dyDescent="0.15">
      <c r="B303" s="246"/>
      <c r="C303" s="246"/>
      <c r="D303" s="240"/>
      <c r="E303" s="240"/>
      <c r="F303" s="240"/>
      <c r="G303" s="240"/>
      <c r="H303" s="263"/>
      <c r="I303" s="240"/>
      <c r="J303" s="240"/>
      <c r="K303" s="246"/>
      <c r="L303" s="246"/>
      <c r="M303" s="246"/>
      <c r="N303" s="240"/>
    </row>
    <row r="304" spans="2:14" ht="18" customHeight="1" x14ac:dyDescent="0.15">
      <c r="B304" s="246"/>
      <c r="C304" s="246"/>
      <c r="D304" s="240"/>
      <c r="E304" s="240"/>
      <c r="F304" s="240"/>
      <c r="G304" s="240"/>
      <c r="H304" s="263"/>
      <c r="I304" s="240"/>
      <c r="J304" s="240"/>
      <c r="K304" s="246"/>
      <c r="L304" s="246"/>
      <c r="M304" s="246"/>
      <c r="N304" s="240"/>
    </row>
    <row r="305" spans="2:14" ht="18" customHeight="1" x14ac:dyDescent="0.15">
      <c r="B305" s="246"/>
      <c r="C305" s="246"/>
      <c r="D305" s="240"/>
      <c r="E305" s="240"/>
      <c r="F305" s="240"/>
      <c r="G305" s="240"/>
      <c r="H305" s="263"/>
      <c r="I305" s="240"/>
      <c r="J305" s="240"/>
      <c r="K305" s="246"/>
      <c r="L305" s="246"/>
      <c r="M305" s="246"/>
      <c r="N305" s="240"/>
    </row>
    <row r="306" spans="2:14" ht="18" customHeight="1" x14ac:dyDescent="0.15">
      <c r="B306" s="246"/>
      <c r="C306" s="246"/>
      <c r="D306" s="240"/>
      <c r="E306" s="240"/>
      <c r="F306" s="240"/>
      <c r="G306" s="240"/>
      <c r="H306" s="263"/>
      <c r="I306" s="240"/>
      <c r="J306" s="240"/>
      <c r="K306" s="246"/>
      <c r="L306" s="246"/>
      <c r="M306" s="246"/>
      <c r="N306" s="240"/>
    </row>
    <row r="307" spans="2:14" ht="18" customHeight="1" x14ac:dyDescent="0.15">
      <c r="B307" s="246"/>
      <c r="C307" s="246"/>
      <c r="D307" s="240"/>
      <c r="E307" s="240"/>
      <c r="F307" s="240"/>
      <c r="G307" s="240"/>
      <c r="H307" s="263"/>
      <c r="I307" s="240"/>
      <c r="J307" s="240"/>
      <c r="K307" s="246"/>
      <c r="L307" s="246"/>
      <c r="M307" s="246"/>
      <c r="N307" s="240"/>
    </row>
    <row r="308" spans="2:14" ht="18" customHeight="1" x14ac:dyDescent="0.15">
      <c r="B308" s="246"/>
      <c r="C308" s="246"/>
      <c r="D308" s="240"/>
      <c r="E308" s="240"/>
      <c r="F308" s="240"/>
      <c r="G308" s="240"/>
      <c r="H308" s="263"/>
      <c r="I308" s="240"/>
      <c r="J308" s="240"/>
      <c r="K308" s="246"/>
      <c r="L308" s="246"/>
      <c r="M308" s="246"/>
      <c r="N308" s="240"/>
    </row>
    <row r="309" spans="2:14" ht="18" customHeight="1" x14ac:dyDescent="0.15">
      <c r="B309" s="246"/>
      <c r="C309" s="246"/>
      <c r="D309" s="240"/>
      <c r="E309" s="240"/>
      <c r="F309" s="240"/>
      <c r="G309" s="240"/>
      <c r="H309" s="263"/>
      <c r="I309" s="240"/>
      <c r="J309" s="240"/>
      <c r="K309" s="246"/>
      <c r="L309" s="246"/>
      <c r="M309" s="246"/>
      <c r="N309" s="240"/>
    </row>
    <row r="310" spans="2:14" ht="18" customHeight="1" x14ac:dyDescent="0.15">
      <c r="B310" s="246"/>
      <c r="C310" s="246"/>
      <c r="D310" s="240"/>
      <c r="E310" s="240"/>
      <c r="F310" s="240"/>
      <c r="G310" s="240"/>
      <c r="H310" s="263"/>
      <c r="I310" s="240"/>
      <c r="J310" s="240"/>
      <c r="K310" s="246"/>
      <c r="L310" s="246"/>
      <c r="M310" s="246"/>
      <c r="N310" s="240"/>
    </row>
    <row r="311" spans="2:14" ht="18" customHeight="1" x14ac:dyDescent="0.15">
      <c r="B311" s="246"/>
      <c r="C311" s="246"/>
      <c r="D311" s="240"/>
      <c r="E311" s="240"/>
      <c r="F311" s="240"/>
      <c r="G311" s="240"/>
      <c r="H311" s="263"/>
      <c r="I311" s="240"/>
      <c r="J311" s="240"/>
      <c r="K311" s="246"/>
      <c r="L311" s="246"/>
      <c r="M311" s="246"/>
      <c r="N311" s="240"/>
    </row>
    <row r="312" spans="2:14" ht="18" customHeight="1" x14ac:dyDescent="0.15">
      <c r="B312" s="246"/>
      <c r="C312" s="246"/>
      <c r="D312" s="240"/>
      <c r="E312" s="240"/>
      <c r="F312" s="240"/>
      <c r="G312" s="240"/>
      <c r="H312" s="263"/>
      <c r="I312" s="240"/>
      <c r="J312" s="240"/>
      <c r="K312" s="246"/>
      <c r="L312" s="246"/>
      <c r="M312" s="246"/>
      <c r="N312" s="240"/>
    </row>
    <row r="313" spans="2:14" ht="18" customHeight="1" x14ac:dyDescent="0.15">
      <c r="B313" s="246"/>
      <c r="C313" s="246"/>
      <c r="D313" s="240"/>
      <c r="E313" s="240"/>
      <c r="F313" s="240"/>
      <c r="G313" s="240"/>
      <c r="H313" s="263"/>
      <c r="I313" s="240"/>
      <c r="J313" s="240"/>
      <c r="K313" s="246"/>
      <c r="L313" s="246"/>
      <c r="M313" s="246"/>
      <c r="N313" s="240"/>
    </row>
    <row r="314" spans="2:14" ht="18" customHeight="1" x14ac:dyDescent="0.15">
      <c r="B314" s="246"/>
      <c r="C314" s="246"/>
      <c r="D314" s="240"/>
      <c r="E314" s="240"/>
      <c r="F314" s="240"/>
      <c r="G314" s="240"/>
      <c r="H314" s="263"/>
      <c r="I314" s="240"/>
      <c r="J314" s="240"/>
      <c r="K314" s="246"/>
      <c r="L314" s="246"/>
      <c r="M314" s="246"/>
      <c r="N314" s="240"/>
    </row>
    <row r="315" spans="2:14" ht="18" customHeight="1" x14ac:dyDescent="0.15">
      <c r="B315" s="246"/>
      <c r="C315" s="246"/>
      <c r="D315" s="240"/>
      <c r="E315" s="240"/>
      <c r="F315" s="240"/>
      <c r="G315" s="240"/>
      <c r="H315" s="263"/>
      <c r="I315" s="240"/>
      <c r="J315" s="240"/>
      <c r="K315" s="246"/>
      <c r="L315" s="246"/>
      <c r="M315" s="246"/>
      <c r="N315" s="240"/>
    </row>
    <row r="316" spans="2:14" ht="18" customHeight="1" x14ac:dyDescent="0.15">
      <c r="B316" s="246"/>
      <c r="C316" s="246"/>
      <c r="D316" s="240"/>
      <c r="E316" s="240"/>
      <c r="F316" s="240"/>
      <c r="G316" s="240"/>
      <c r="H316" s="263"/>
      <c r="I316" s="240"/>
      <c r="J316" s="240"/>
      <c r="K316" s="246"/>
      <c r="L316" s="246"/>
      <c r="M316" s="246"/>
      <c r="N316" s="240"/>
    </row>
    <row r="317" spans="2:14" ht="18" customHeight="1" x14ac:dyDescent="0.15">
      <c r="B317" s="246"/>
      <c r="C317" s="246"/>
      <c r="D317" s="240"/>
      <c r="E317" s="240"/>
      <c r="F317" s="240"/>
      <c r="G317" s="240"/>
      <c r="H317" s="263"/>
      <c r="I317" s="240"/>
      <c r="J317" s="240"/>
      <c r="K317" s="246"/>
      <c r="L317" s="246"/>
      <c r="M317" s="246"/>
      <c r="N317" s="240"/>
    </row>
    <row r="318" spans="2:14" ht="18" customHeight="1" x14ac:dyDescent="0.15">
      <c r="B318" s="246"/>
      <c r="C318" s="246"/>
      <c r="D318" s="240"/>
      <c r="E318" s="240"/>
      <c r="F318" s="240"/>
      <c r="G318" s="240"/>
      <c r="H318" s="263"/>
      <c r="I318" s="240"/>
      <c r="J318" s="240"/>
      <c r="K318" s="246"/>
      <c r="L318" s="246"/>
      <c r="M318" s="246"/>
      <c r="N318" s="240"/>
    </row>
    <row r="319" spans="2:14" ht="18" customHeight="1" x14ac:dyDescent="0.15">
      <c r="B319" s="246"/>
      <c r="C319" s="246"/>
      <c r="D319" s="240"/>
      <c r="E319" s="240"/>
      <c r="F319" s="240"/>
      <c r="G319" s="240"/>
      <c r="H319" s="263"/>
      <c r="I319" s="240"/>
      <c r="J319" s="240"/>
      <c r="K319" s="246"/>
      <c r="L319" s="246"/>
      <c r="M319" s="246"/>
      <c r="N319" s="240"/>
    </row>
    <row r="320" spans="2:14" ht="18" customHeight="1" x14ac:dyDescent="0.15">
      <c r="B320" s="246"/>
      <c r="C320" s="246"/>
      <c r="D320" s="240"/>
      <c r="E320" s="240"/>
      <c r="F320" s="240"/>
      <c r="G320" s="240"/>
      <c r="H320" s="263"/>
      <c r="I320" s="240"/>
      <c r="J320" s="240"/>
      <c r="K320" s="246"/>
      <c r="L320" s="246"/>
      <c r="M320" s="246"/>
      <c r="N320" s="240"/>
    </row>
    <row r="321" spans="2:14" ht="18" customHeight="1" x14ac:dyDescent="0.15">
      <c r="B321" s="246"/>
      <c r="C321" s="246"/>
      <c r="D321" s="240"/>
      <c r="E321" s="240"/>
      <c r="F321" s="240"/>
      <c r="G321" s="240"/>
      <c r="H321" s="263"/>
      <c r="I321" s="240"/>
      <c r="J321" s="240"/>
      <c r="K321" s="246"/>
      <c r="L321" s="246"/>
      <c r="M321" s="246"/>
      <c r="N321" s="240"/>
    </row>
    <row r="322" spans="2:14" ht="18" customHeight="1" x14ac:dyDescent="0.15">
      <c r="B322" s="246"/>
      <c r="C322" s="246"/>
      <c r="D322" s="240"/>
      <c r="E322" s="240"/>
      <c r="F322" s="240"/>
      <c r="G322" s="240"/>
      <c r="H322" s="263"/>
      <c r="I322" s="240"/>
      <c r="J322" s="240"/>
      <c r="K322" s="246"/>
      <c r="L322" s="246"/>
      <c r="M322" s="246"/>
      <c r="N322" s="240"/>
    </row>
    <row r="323" spans="2:14" ht="18" customHeight="1" x14ac:dyDescent="0.15">
      <c r="B323" s="246"/>
      <c r="C323" s="246"/>
      <c r="D323" s="240"/>
      <c r="E323" s="240"/>
      <c r="F323" s="240"/>
      <c r="G323" s="240"/>
      <c r="H323" s="263"/>
      <c r="I323" s="240"/>
      <c r="J323" s="240"/>
      <c r="K323" s="246"/>
      <c r="L323" s="246"/>
      <c r="M323" s="246"/>
      <c r="N323" s="240"/>
    </row>
    <row r="324" spans="2:14" ht="18" customHeight="1" x14ac:dyDescent="0.15">
      <c r="B324" s="246"/>
      <c r="C324" s="246"/>
      <c r="D324" s="240"/>
      <c r="E324" s="240"/>
      <c r="F324" s="240"/>
      <c r="G324" s="240"/>
      <c r="H324" s="263"/>
      <c r="I324" s="240"/>
      <c r="J324" s="240"/>
      <c r="K324" s="246"/>
      <c r="L324" s="246"/>
      <c r="M324" s="246"/>
      <c r="N324" s="240"/>
    </row>
    <row r="325" spans="2:14" ht="18" customHeight="1" x14ac:dyDescent="0.15">
      <c r="B325" s="246"/>
      <c r="C325" s="246"/>
      <c r="D325" s="240"/>
      <c r="E325" s="240"/>
      <c r="F325" s="240"/>
      <c r="G325" s="240"/>
      <c r="H325" s="263"/>
      <c r="I325" s="240"/>
      <c r="J325" s="240"/>
      <c r="K325" s="246"/>
      <c r="L325" s="246"/>
      <c r="M325" s="246"/>
      <c r="N325" s="240"/>
    </row>
    <row r="326" spans="2:14" ht="18" customHeight="1" x14ac:dyDescent="0.15">
      <c r="B326" s="246"/>
      <c r="C326" s="246"/>
      <c r="D326" s="240"/>
      <c r="E326" s="240"/>
      <c r="F326" s="240"/>
      <c r="G326" s="240"/>
      <c r="H326" s="263"/>
      <c r="I326" s="240"/>
      <c r="J326" s="240"/>
      <c r="K326" s="246"/>
      <c r="L326" s="246"/>
      <c r="M326" s="246"/>
      <c r="N326" s="240"/>
    </row>
    <row r="327" spans="2:14" ht="18" customHeight="1" x14ac:dyDescent="0.15">
      <c r="B327" s="246"/>
      <c r="C327" s="246"/>
      <c r="D327" s="240"/>
      <c r="E327" s="240"/>
      <c r="F327" s="240"/>
      <c r="G327" s="240"/>
      <c r="H327" s="263"/>
      <c r="I327" s="240"/>
      <c r="J327" s="240"/>
      <c r="K327" s="246"/>
      <c r="L327" s="246"/>
      <c r="M327" s="246"/>
      <c r="N327" s="240"/>
    </row>
    <row r="328" spans="2:14" ht="18" customHeight="1" x14ac:dyDescent="0.15">
      <c r="B328" s="246"/>
      <c r="C328" s="246"/>
      <c r="D328" s="240"/>
      <c r="E328" s="240"/>
      <c r="F328" s="240"/>
      <c r="G328" s="240"/>
      <c r="H328" s="263"/>
      <c r="I328" s="240"/>
      <c r="J328" s="240"/>
      <c r="K328" s="246"/>
      <c r="L328" s="246"/>
      <c r="M328" s="246"/>
      <c r="N328" s="240"/>
    </row>
    <row r="329" spans="2:14" ht="18" customHeight="1" x14ac:dyDescent="0.15">
      <c r="B329" s="246"/>
      <c r="C329" s="246"/>
      <c r="D329" s="240"/>
      <c r="E329" s="240"/>
      <c r="F329" s="240"/>
      <c r="G329" s="240"/>
      <c r="H329" s="263"/>
      <c r="I329" s="240"/>
      <c r="J329" s="240"/>
      <c r="K329" s="246"/>
      <c r="L329" s="246"/>
      <c r="M329" s="246"/>
      <c r="N329" s="240"/>
    </row>
    <row r="330" spans="2:14" ht="18" customHeight="1" x14ac:dyDescent="0.15">
      <c r="B330" s="246"/>
      <c r="C330" s="246"/>
      <c r="D330" s="240"/>
      <c r="E330" s="240"/>
      <c r="F330" s="240"/>
      <c r="G330" s="240"/>
      <c r="H330" s="263"/>
      <c r="I330" s="240"/>
      <c r="J330" s="240"/>
      <c r="K330" s="246"/>
      <c r="L330" s="246"/>
      <c r="M330" s="246"/>
      <c r="N330" s="240"/>
    </row>
    <row r="331" spans="2:14" ht="18" customHeight="1" x14ac:dyDescent="0.15">
      <c r="B331" s="246"/>
      <c r="C331" s="246"/>
      <c r="D331" s="240"/>
      <c r="E331" s="240"/>
      <c r="F331" s="240"/>
      <c r="G331" s="240"/>
      <c r="H331" s="263"/>
      <c r="I331" s="240"/>
      <c r="J331" s="240"/>
      <c r="K331" s="246"/>
      <c r="L331" s="246"/>
      <c r="M331" s="246"/>
      <c r="N331" s="240"/>
    </row>
    <row r="332" spans="2:14" ht="18" customHeight="1" x14ac:dyDescent="0.15">
      <c r="B332" s="246"/>
      <c r="C332" s="246"/>
      <c r="D332" s="240"/>
      <c r="E332" s="240"/>
      <c r="F332" s="240"/>
      <c r="G332" s="240"/>
      <c r="H332" s="263"/>
      <c r="I332" s="240"/>
      <c r="J332" s="240"/>
      <c r="K332" s="246"/>
      <c r="L332" s="246"/>
      <c r="M332" s="246"/>
      <c r="N332" s="240"/>
    </row>
    <row r="333" spans="2:14" ht="18" customHeight="1" x14ac:dyDescent="0.15">
      <c r="B333" s="246"/>
      <c r="C333" s="246"/>
      <c r="D333" s="240"/>
      <c r="E333" s="240"/>
      <c r="F333" s="240"/>
      <c r="G333" s="240"/>
      <c r="H333" s="263"/>
      <c r="I333" s="240"/>
      <c r="J333" s="240"/>
      <c r="K333" s="246"/>
      <c r="L333" s="246"/>
      <c r="M333" s="246"/>
      <c r="N333" s="240"/>
    </row>
    <row r="334" spans="2:14" ht="18" customHeight="1" x14ac:dyDescent="0.15">
      <c r="B334" s="246"/>
      <c r="C334" s="246"/>
      <c r="D334" s="240"/>
      <c r="E334" s="240"/>
      <c r="F334" s="240"/>
      <c r="G334" s="240"/>
      <c r="H334" s="263"/>
      <c r="I334" s="240"/>
      <c r="J334" s="240"/>
      <c r="K334" s="246"/>
      <c r="L334" s="246"/>
      <c r="M334" s="246"/>
      <c r="N334" s="240"/>
    </row>
    <row r="335" spans="2:14" ht="18" customHeight="1" x14ac:dyDescent="0.15">
      <c r="B335" s="246"/>
      <c r="C335" s="246"/>
      <c r="D335" s="240"/>
      <c r="E335" s="240"/>
      <c r="F335" s="240"/>
      <c r="G335" s="240"/>
      <c r="H335" s="263"/>
      <c r="I335" s="240"/>
      <c r="J335" s="240"/>
      <c r="K335" s="246"/>
      <c r="L335" s="246"/>
      <c r="M335" s="246"/>
      <c r="N335" s="240"/>
    </row>
    <row r="336" spans="2:14" ht="18" customHeight="1" x14ac:dyDescent="0.15">
      <c r="B336" s="246"/>
      <c r="C336" s="246"/>
      <c r="D336" s="240"/>
      <c r="E336" s="240"/>
      <c r="F336" s="240"/>
      <c r="G336" s="240"/>
      <c r="H336" s="263"/>
      <c r="I336" s="240"/>
      <c r="J336" s="240"/>
      <c r="K336" s="246"/>
      <c r="L336" s="246"/>
      <c r="M336" s="246"/>
      <c r="N336" s="240"/>
    </row>
    <row r="337" spans="2:14" ht="18" customHeight="1" x14ac:dyDescent="0.15">
      <c r="B337" s="246"/>
      <c r="C337" s="246"/>
      <c r="D337" s="240"/>
      <c r="E337" s="240"/>
      <c r="F337" s="240"/>
      <c r="G337" s="240"/>
      <c r="H337" s="263"/>
      <c r="I337" s="240"/>
      <c r="J337" s="240"/>
      <c r="K337" s="246"/>
      <c r="L337" s="246"/>
      <c r="M337" s="246"/>
      <c r="N337" s="240"/>
    </row>
    <row r="338" spans="2:14" ht="18" customHeight="1" x14ac:dyDescent="0.15">
      <c r="B338" s="246"/>
      <c r="C338" s="246"/>
      <c r="D338" s="240"/>
      <c r="E338" s="240"/>
      <c r="F338" s="240"/>
      <c r="G338" s="240"/>
      <c r="H338" s="263"/>
      <c r="I338" s="240"/>
      <c r="J338" s="240"/>
      <c r="K338" s="246"/>
      <c r="L338" s="246"/>
      <c r="M338" s="246"/>
      <c r="N338" s="240"/>
    </row>
    <row r="339" spans="2:14" ht="18" customHeight="1" x14ac:dyDescent="0.15">
      <c r="B339" s="246"/>
      <c r="C339" s="246"/>
      <c r="D339" s="240"/>
      <c r="E339" s="240"/>
      <c r="F339" s="240"/>
      <c r="G339" s="240"/>
      <c r="H339" s="263"/>
      <c r="I339" s="240"/>
      <c r="J339" s="240"/>
      <c r="K339" s="246"/>
      <c r="L339" s="246"/>
      <c r="M339" s="246"/>
      <c r="N339" s="240"/>
    </row>
    <row r="340" spans="2:14" ht="18" customHeight="1" x14ac:dyDescent="0.15">
      <c r="B340" s="246"/>
      <c r="C340" s="246"/>
      <c r="D340" s="240"/>
      <c r="E340" s="240"/>
      <c r="F340" s="240"/>
      <c r="G340" s="240"/>
      <c r="H340" s="263"/>
      <c r="I340" s="240"/>
      <c r="J340" s="240"/>
      <c r="K340" s="246"/>
      <c r="L340" s="246"/>
      <c r="M340" s="246"/>
      <c r="N340" s="240"/>
    </row>
    <row r="341" spans="2:14" ht="18" customHeight="1" x14ac:dyDescent="0.15">
      <c r="B341" s="246"/>
      <c r="C341" s="246"/>
      <c r="D341" s="240"/>
      <c r="E341" s="240"/>
      <c r="F341" s="240"/>
      <c r="G341" s="240"/>
      <c r="H341" s="263"/>
      <c r="I341" s="240"/>
      <c r="J341" s="240"/>
      <c r="K341" s="246"/>
      <c r="L341" s="246"/>
      <c r="M341" s="246"/>
      <c r="N341" s="240"/>
    </row>
    <row r="342" spans="2:14" ht="18" customHeight="1" x14ac:dyDescent="0.15">
      <c r="B342" s="246"/>
      <c r="C342" s="246"/>
      <c r="D342" s="240"/>
      <c r="E342" s="240"/>
      <c r="F342" s="240"/>
      <c r="G342" s="240"/>
      <c r="H342" s="263"/>
      <c r="I342" s="240"/>
      <c r="J342" s="240"/>
      <c r="K342" s="246"/>
      <c r="L342" s="246"/>
      <c r="M342" s="246"/>
      <c r="N342" s="240"/>
    </row>
    <row r="343" spans="2:14" ht="18" customHeight="1" x14ac:dyDescent="0.15">
      <c r="B343" s="246"/>
      <c r="C343" s="246"/>
      <c r="D343" s="240"/>
      <c r="E343" s="240"/>
      <c r="F343" s="240"/>
      <c r="G343" s="240"/>
      <c r="H343" s="263"/>
      <c r="I343" s="240"/>
      <c r="J343" s="240"/>
      <c r="K343" s="246"/>
      <c r="L343" s="246"/>
      <c r="M343" s="246"/>
      <c r="N343" s="240"/>
    </row>
    <row r="344" spans="2:14" ht="18" customHeight="1" x14ac:dyDescent="0.15">
      <c r="B344" s="246"/>
      <c r="C344" s="246"/>
      <c r="D344" s="240"/>
      <c r="E344" s="240"/>
      <c r="F344" s="240"/>
      <c r="G344" s="240"/>
      <c r="H344" s="263"/>
      <c r="I344" s="240"/>
      <c r="J344" s="240"/>
      <c r="K344" s="246"/>
      <c r="L344" s="246"/>
      <c r="M344" s="246"/>
      <c r="N344" s="240"/>
    </row>
    <row r="345" spans="2:14" ht="18" customHeight="1" x14ac:dyDescent="0.15">
      <c r="B345" s="246"/>
      <c r="C345" s="246"/>
      <c r="D345" s="240"/>
      <c r="E345" s="240"/>
      <c r="F345" s="240"/>
      <c r="G345" s="240"/>
      <c r="H345" s="263"/>
      <c r="I345" s="240"/>
      <c r="J345" s="240"/>
      <c r="K345" s="246"/>
      <c r="L345" s="246"/>
      <c r="M345" s="246"/>
      <c r="N345" s="240"/>
    </row>
    <row r="346" spans="2:14" ht="18" customHeight="1" x14ac:dyDescent="0.15">
      <c r="B346" s="246"/>
      <c r="C346" s="246"/>
      <c r="D346" s="240"/>
      <c r="E346" s="240"/>
      <c r="F346" s="240"/>
      <c r="G346" s="240"/>
      <c r="H346" s="263"/>
      <c r="I346" s="240"/>
      <c r="J346" s="240"/>
      <c r="K346" s="246"/>
      <c r="L346" s="246"/>
      <c r="M346" s="246"/>
      <c r="N346" s="240"/>
    </row>
    <row r="347" spans="2:14" ht="18" customHeight="1" x14ac:dyDescent="0.15">
      <c r="B347" s="246"/>
      <c r="C347" s="246"/>
      <c r="D347" s="240"/>
      <c r="E347" s="240"/>
      <c r="F347" s="240"/>
      <c r="G347" s="240"/>
      <c r="H347" s="263"/>
      <c r="I347" s="240"/>
      <c r="J347" s="240"/>
      <c r="K347" s="246"/>
      <c r="L347" s="246"/>
      <c r="M347" s="246"/>
      <c r="N347" s="240"/>
    </row>
    <row r="348" spans="2:14" ht="18" customHeight="1" x14ac:dyDescent="0.15">
      <c r="B348" s="246"/>
      <c r="C348" s="246"/>
      <c r="D348" s="240"/>
      <c r="E348" s="240"/>
      <c r="F348" s="240"/>
      <c r="G348" s="240"/>
      <c r="H348" s="263"/>
      <c r="I348" s="240"/>
      <c r="J348" s="240"/>
      <c r="K348" s="246"/>
      <c r="L348" s="246"/>
      <c r="M348" s="246"/>
      <c r="N348" s="240"/>
    </row>
    <row r="349" spans="2:14" ht="18" customHeight="1" x14ac:dyDescent="0.15">
      <c r="B349" s="246"/>
      <c r="C349" s="246"/>
      <c r="D349" s="240"/>
      <c r="E349" s="240"/>
      <c r="F349" s="240"/>
      <c r="G349" s="240"/>
      <c r="H349" s="263"/>
      <c r="I349" s="240"/>
      <c r="J349" s="240"/>
      <c r="K349" s="246"/>
      <c r="L349" s="246"/>
      <c r="M349" s="246"/>
      <c r="N349" s="240"/>
    </row>
    <row r="350" spans="2:14" ht="18" customHeight="1" x14ac:dyDescent="0.15">
      <c r="B350" s="246"/>
      <c r="C350" s="246"/>
      <c r="D350" s="240"/>
      <c r="E350" s="240"/>
      <c r="F350" s="240"/>
      <c r="G350" s="240"/>
      <c r="H350" s="263"/>
      <c r="I350" s="240"/>
      <c r="J350" s="240"/>
      <c r="K350" s="246"/>
      <c r="L350" s="246"/>
      <c r="M350" s="246"/>
      <c r="N350" s="240"/>
    </row>
    <row r="351" spans="2:14" ht="18" customHeight="1" x14ac:dyDescent="0.15">
      <c r="B351" s="246"/>
      <c r="C351" s="246"/>
      <c r="D351" s="240"/>
      <c r="E351" s="240"/>
      <c r="F351" s="240"/>
      <c r="G351" s="240"/>
      <c r="H351" s="263"/>
      <c r="I351" s="240"/>
      <c r="J351" s="240"/>
      <c r="K351" s="246"/>
      <c r="L351" s="246"/>
      <c r="M351" s="246"/>
      <c r="N351" s="240"/>
    </row>
    <row r="352" spans="2:14" ht="18" customHeight="1" x14ac:dyDescent="0.15">
      <c r="B352" s="246"/>
      <c r="C352" s="246"/>
      <c r="D352" s="240"/>
      <c r="E352" s="240"/>
      <c r="F352" s="240"/>
      <c r="G352" s="240"/>
      <c r="H352" s="263"/>
      <c r="I352" s="240"/>
      <c r="J352" s="240"/>
      <c r="K352" s="246"/>
      <c r="L352" s="246"/>
      <c r="M352" s="246"/>
      <c r="N352" s="240"/>
    </row>
    <row r="353" spans="2:14" ht="18" customHeight="1" x14ac:dyDescent="0.15">
      <c r="B353" s="246"/>
      <c r="C353" s="246"/>
      <c r="D353" s="240"/>
      <c r="E353" s="240"/>
      <c r="F353" s="240"/>
      <c r="G353" s="240"/>
      <c r="H353" s="263"/>
      <c r="I353" s="240"/>
      <c r="J353" s="240"/>
      <c r="K353" s="246"/>
      <c r="L353" s="246"/>
      <c r="M353" s="246"/>
      <c r="N353" s="240"/>
    </row>
    <row r="354" spans="2:14" ht="18" customHeight="1" x14ac:dyDescent="0.15">
      <c r="B354" s="246"/>
      <c r="C354" s="246"/>
      <c r="D354" s="240"/>
      <c r="E354" s="240"/>
      <c r="F354" s="240"/>
      <c r="G354" s="240"/>
      <c r="H354" s="263"/>
      <c r="I354" s="240"/>
      <c r="J354" s="240"/>
      <c r="K354" s="246"/>
      <c r="L354" s="246"/>
      <c r="M354" s="246"/>
      <c r="N354" s="240"/>
    </row>
    <row r="355" spans="2:14" ht="18" customHeight="1" x14ac:dyDescent="0.15">
      <c r="B355" s="246"/>
      <c r="C355" s="246"/>
      <c r="D355" s="240"/>
      <c r="E355" s="240"/>
      <c r="F355" s="240"/>
      <c r="G355" s="240"/>
      <c r="H355" s="263"/>
      <c r="I355" s="240"/>
      <c r="J355" s="240"/>
      <c r="K355" s="246"/>
      <c r="L355" s="246"/>
      <c r="M355" s="246"/>
      <c r="N355" s="240"/>
    </row>
    <row r="356" spans="2:14" ht="18" customHeight="1" x14ac:dyDescent="0.15">
      <c r="B356" s="246"/>
      <c r="C356" s="246"/>
      <c r="D356" s="240"/>
      <c r="E356" s="240"/>
      <c r="F356" s="240"/>
      <c r="G356" s="240"/>
      <c r="H356" s="263"/>
      <c r="I356" s="240"/>
      <c r="J356" s="240"/>
      <c r="K356" s="246"/>
      <c r="L356" s="246"/>
      <c r="M356" s="246"/>
      <c r="N356" s="240"/>
    </row>
    <row r="357" spans="2:14" ht="18" customHeight="1" x14ac:dyDescent="0.15">
      <c r="B357" s="246"/>
      <c r="C357" s="246"/>
      <c r="D357" s="240"/>
      <c r="E357" s="240"/>
      <c r="F357" s="240"/>
      <c r="G357" s="240"/>
      <c r="H357" s="263"/>
      <c r="I357" s="240"/>
      <c r="J357" s="240"/>
      <c r="K357" s="246"/>
      <c r="L357" s="246"/>
      <c r="M357" s="246"/>
      <c r="N357" s="240"/>
    </row>
    <row r="358" spans="2:14" ht="18" customHeight="1" x14ac:dyDescent="0.15">
      <c r="B358" s="246"/>
      <c r="C358" s="246"/>
      <c r="D358" s="240"/>
      <c r="E358" s="240"/>
      <c r="F358" s="240"/>
      <c r="G358" s="240"/>
      <c r="H358" s="263"/>
      <c r="I358" s="240"/>
      <c r="J358" s="240"/>
      <c r="K358" s="246"/>
      <c r="L358" s="246"/>
      <c r="M358" s="246"/>
      <c r="N358" s="240"/>
    </row>
    <row r="359" spans="2:14" ht="18" customHeight="1" x14ac:dyDescent="0.15">
      <c r="B359" s="246"/>
      <c r="C359" s="246"/>
      <c r="D359" s="240"/>
      <c r="E359" s="240"/>
      <c r="F359" s="240"/>
      <c r="G359" s="240"/>
      <c r="H359" s="263"/>
      <c r="I359" s="240"/>
      <c r="J359" s="240"/>
      <c r="K359" s="246"/>
      <c r="L359" s="246"/>
      <c r="M359" s="246"/>
      <c r="N359" s="240"/>
    </row>
    <row r="360" spans="2:14" ht="18" customHeight="1" x14ac:dyDescent="0.15">
      <c r="B360" s="246"/>
      <c r="C360" s="246"/>
      <c r="D360" s="240"/>
      <c r="E360" s="240"/>
      <c r="F360" s="240"/>
      <c r="G360" s="240"/>
      <c r="H360" s="263"/>
      <c r="I360" s="240"/>
      <c r="J360" s="240"/>
      <c r="K360" s="246"/>
      <c r="L360" s="246"/>
      <c r="M360" s="246"/>
      <c r="N360" s="240"/>
    </row>
    <row r="361" spans="2:14" ht="18" customHeight="1" x14ac:dyDescent="0.15">
      <c r="B361" s="246"/>
      <c r="C361" s="246"/>
      <c r="D361" s="240"/>
      <c r="E361" s="240"/>
      <c r="F361" s="240"/>
      <c r="G361" s="240"/>
      <c r="H361" s="263"/>
      <c r="I361" s="240"/>
      <c r="J361" s="240"/>
      <c r="K361" s="246"/>
      <c r="L361" s="246"/>
      <c r="M361" s="246"/>
      <c r="N361" s="240"/>
    </row>
    <row r="362" spans="2:14" ht="18" customHeight="1" x14ac:dyDescent="0.15">
      <c r="B362" s="246"/>
      <c r="C362" s="246"/>
      <c r="D362" s="240"/>
      <c r="E362" s="240"/>
      <c r="F362" s="240"/>
      <c r="G362" s="240"/>
      <c r="H362" s="263"/>
      <c r="I362" s="240"/>
      <c r="J362" s="240"/>
      <c r="K362" s="246"/>
      <c r="L362" s="246"/>
      <c r="M362" s="246"/>
      <c r="N362" s="240"/>
    </row>
    <row r="363" spans="2:14" ht="18" customHeight="1" x14ac:dyDescent="0.15">
      <c r="B363" s="246"/>
      <c r="C363" s="246"/>
      <c r="D363" s="240"/>
      <c r="E363" s="240"/>
      <c r="F363" s="240"/>
      <c r="G363" s="240"/>
      <c r="H363" s="263"/>
      <c r="I363" s="240"/>
      <c r="J363" s="240"/>
      <c r="K363" s="246"/>
      <c r="L363" s="246"/>
      <c r="M363" s="246"/>
      <c r="N363" s="240"/>
    </row>
    <row r="364" spans="2:14" ht="18" customHeight="1" x14ac:dyDescent="0.15">
      <c r="B364" s="246"/>
      <c r="C364" s="246"/>
      <c r="D364" s="240"/>
      <c r="E364" s="240"/>
      <c r="F364" s="240"/>
      <c r="G364" s="240"/>
      <c r="H364" s="263"/>
      <c r="I364" s="240"/>
      <c r="J364" s="240"/>
      <c r="K364" s="246"/>
      <c r="L364" s="246"/>
      <c r="M364" s="246"/>
      <c r="N364" s="240"/>
    </row>
    <row r="365" spans="2:14" ht="18" customHeight="1" x14ac:dyDescent="0.15">
      <c r="B365" s="246"/>
      <c r="C365" s="246"/>
      <c r="D365" s="240"/>
      <c r="E365" s="240"/>
      <c r="F365" s="240"/>
      <c r="G365" s="240"/>
      <c r="H365" s="263"/>
      <c r="I365" s="240"/>
      <c r="J365" s="240"/>
      <c r="K365" s="246"/>
      <c r="L365" s="246"/>
      <c r="M365" s="246"/>
      <c r="N365" s="240"/>
    </row>
    <row r="366" spans="2:14" ht="18" customHeight="1" x14ac:dyDescent="0.15">
      <c r="B366" s="246"/>
      <c r="C366" s="246"/>
      <c r="D366" s="240"/>
      <c r="E366" s="240"/>
      <c r="F366" s="240"/>
      <c r="G366" s="240"/>
      <c r="H366" s="263"/>
      <c r="I366" s="240"/>
      <c r="J366" s="240"/>
      <c r="K366" s="246"/>
      <c r="L366" s="246"/>
      <c r="M366" s="246"/>
      <c r="N366" s="240"/>
    </row>
    <row r="367" spans="2:14" ht="18" customHeight="1" x14ac:dyDescent="0.15">
      <c r="B367" s="246"/>
      <c r="C367" s="246"/>
      <c r="D367" s="240"/>
      <c r="E367" s="240"/>
      <c r="F367" s="240"/>
      <c r="G367" s="240"/>
      <c r="H367" s="263"/>
      <c r="I367" s="240"/>
      <c r="J367" s="240"/>
      <c r="K367" s="246"/>
      <c r="L367" s="246"/>
      <c r="M367" s="246"/>
      <c r="N367" s="240"/>
    </row>
    <row r="368" spans="2:14" ht="18" customHeight="1" x14ac:dyDescent="0.15">
      <c r="B368" s="246"/>
      <c r="C368" s="246"/>
      <c r="D368" s="240"/>
      <c r="E368" s="240"/>
      <c r="F368" s="240"/>
      <c r="G368" s="240"/>
      <c r="H368" s="263"/>
      <c r="I368" s="240"/>
      <c r="J368" s="240"/>
      <c r="K368" s="246"/>
      <c r="L368" s="246"/>
      <c r="M368" s="246"/>
      <c r="N368" s="240"/>
    </row>
    <row r="369" spans="2:14" ht="18" customHeight="1" x14ac:dyDescent="0.15">
      <c r="B369" s="246"/>
      <c r="C369" s="246"/>
      <c r="D369" s="240"/>
      <c r="E369" s="240"/>
      <c r="F369" s="240"/>
      <c r="G369" s="240"/>
      <c r="H369" s="263"/>
      <c r="I369" s="240"/>
      <c r="J369" s="240"/>
      <c r="K369" s="246"/>
      <c r="L369" s="246"/>
      <c r="M369" s="246"/>
      <c r="N369" s="240"/>
    </row>
    <row r="370" spans="2:14" ht="18" customHeight="1" x14ac:dyDescent="0.15">
      <c r="B370" s="246"/>
      <c r="C370" s="246"/>
      <c r="D370" s="240"/>
      <c r="E370" s="240"/>
      <c r="F370" s="240"/>
      <c r="G370" s="240"/>
      <c r="H370" s="263"/>
      <c r="I370" s="240"/>
      <c r="J370" s="240"/>
      <c r="K370" s="246"/>
      <c r="L370" s="246"/>
      <c r="M370" s="246"/>
      <c r="N370" s="240"/>
    </row>
    <row r="371" spans="2:14" ht="18" customHeight="1" x14ac:dyDescent="0.15">
      <c r="B371" s="246"/>
      <c r="C371" s="246"/>
      <c r="D371" s="240"/>
      <c r="E371" s="240"/>
      <c r="F371" s="240"/>
      <c r="G371" s="240"/>
      <c r="H371" s="263"/>
      <c r="I371" s="240"/>
      <c r="J371" s="240"/>
      <c r="K371" s="246"/>
      <c r="L371" s="246"/>
      <c r="M371" s="246"/>
      <c r="N371" s="240"/>
    </row>
    <row r="372" spans="2:14" ht="18" customHeight="1" x14ac:dyDescent="0.15">
      <c r="B372" s="246"/>
      <c r="C372" s="246"/>
      <c r="D372" s="240"/>
      <c r="E372" s="240"/>
      <c r="F372" s="240"/>
      <c r="G372" s="240"/>
      <c r="H372" s="263"/>
      <c r="I372" s="240"/>
      <c r="J372" s="240"/>
      <c r="K372" s="246"/>
      <c r="L372" s="246"/>
      <c r="M372" s="246"/>
      <c r="N372" s="240"/>
    </row>
    <row r="373" spans="2:14" ht="18" customHeight="1" x14ac:dyDescent="0.15">
      <c r="B373" s="246"/>
      <c r="C373" s="246"/>
      <c r="D373" s="240"/>
      <c r="E373" s="240"/>
      <c r="F373" s="240"/>
      <c r="G373" s="240"/>
      <c r="H373" s="263"/>
      <c r="I373" s="240"/>
      <c r="J373" s="240"/>
      <c r="K373" s="246"/>
      <c r="L373" s="246"/>
      <c r="M373" s="246"/>
      <c r="N373" s="240"/>
    </row>
    <row r="374" spans="2:14" ht="18" customHeight="1" x14ac:dyDescent="0.15">
      <c r="B374" s="246"/>
      <c r="C374" s="246"/>
      <c r="D374" s="240"/>
      <c r="E374" s="240"/>
      <c r="F374" s="240"/>
      <c r="G374" s="240"/>
      <c r="H374" s="263"/>
      <c r="I374" s="240"/>
      <c r="J374" s="240"/>
      <c r="K374" s="246"/>
      <c r="L374" s="246"/>
      <c r="M374" s="246"/>
      <c r="N374" s="240"/>
    </row>
    <row r="375" spans="2:14" ht="18" customHeight="1" x14ac:dyDescent="0.15">
      <c r="B375" s="246"/>
      <c r="C375" s="246"/>
      <c r="D375" s="240"/>
      <c r="E375" s="240"/>
      <c r="F375" s="240"/>
      <c r="G375" s="240"/>
      <c r="H375" s="263"/>
      <c r="I375" s="240"/>
      <c r="J375" s="240"/>
      <c r="K375" s="246"/>
      <c r="L375" s="246"/>
      <c r="M375" s="246"/>
      <c r="N375" s="240"/>
    </row>
    <row r="376" spans="2:14" ht="18" customHeight="1" x14ac:dyDescent="0.15">
      <c r="B376" s="246"/>
      <c r="C376" s="246"/>
      <c r="D376" s="240"/>
      <c r="E376" s="240"/>
      <c r="F376" s="240"/>
      <c r="G376" s="240"/>
      <c r="H376" s="263"/>
      <c r="I376" s="240"/>
      <c r="J376" s="240"/>
      <c r="K376" s="246"/>
      <c r="L376" s="246"/>
      <c r="M376" s="246"/>
      <c r="N376" s="240"/>
    </row>
    <row r="377" spans="2:14" ht="18" customHeight="1" x14ac:dyDescent="0.15">
      <c r="B377" s="246"/>
      <c r="C377" s="246"/>
      <c r="D377" s="240"/>
      <c r="E377" s="240"/>
      <c r="F377" s="240"/>
      <c r="G377" s="240"/>
      <c r="H377" s="263"/>
      <c r="I377" s="240"/>
      <c r="J377" s="240"/>
      <c r="K377" s="246"/>
      <c r="L377" s="246"/>
      <c r="M377" s="246"/>
      <c r="N377" s="240"/>
    </row>
    <row r="378" spans="2:14" ht="18" customHeight="1" x14ac:dyDescent="0.15">
      <c r="B378" s="246"/>
      <c r="C378" s="246"/>
      <c r="D378" s="240"/>
      <c r="E378" s="240"/>
      <c r="F378" s="240"/>
      <c r="G378" s="240"/>
      <c r="H378" s="263"/>
      <c r="I378" s="240"/>
      <c r="J378" s="240"/>
      <c r="K378" s="246"/>
      <c r="L378" s="246"/>
      <c r="M378" s="246"/>
      <c r="N378" s="240"/>
    </row>
    <row r="379" spans="2:14" ht="18" customHeight="1" x14ac:dyDescent="0.15">
      <c r="B379" s="246"/>
      <c r="C379" s="246"/>
      <c r="D379" s="240"/>
      <c r="E379" s="240"/>
      <c r="F379" s="240"/>
      <c r="G379" s="240"/>
      <c r="H379" s="263"/>
      <c r="I379" s="240"/>
      <c r="J379" s="240"/>
      <c r="K379" s="246"/>
      <c r="L379" s="246"/>
      <c r="M379" s="246"/>
      <c r="N379" s="240"/>
    </row>
    <row r="380" spans="2:14" ht="18" customHeight="1" x14ac:dyDescent="0.15">
      <c r="B380" s="246"/>
      <c r="C380" s="246"/>
      <c r="D380" s="240"/>
      <c r="E380" s="240"/>
      <c r="F380" s="240"/>
      <c r="G380" s="240"/>
      <c r="H380" s="263"/>
      <c r="I380" s="240"/>
      <c r="J380" s="240"/>
      <c r="K380" s="246"/>
      <c r="L380" s="246"/>
      <c r="M380" s="246"/>
      <c r="N380" s="240"/>
    </row>
    <row r="381" spans="2:14" ht="18" customHeight="1" x14ac:dyDescent="0.15">
      <c r="B381" s="246"/>
      <c r="C381" s="246"/>
      <c r="D381" s="240"/>
      <c r="E381" s="240"/>
      <c r="F381" s="240"/>
      <c r="G381" s="240"/>
      <c r="H381" s="263"/>
      <c r="I381" s="240"/>
      <c r="J381" s="240"/>
      <c r="K381" s="246"/>
      <c r="L381" s="246"/>
      <c r="M381" s="246"/>
      <c r="N381" s="240"/>
    </row>
    <row r="382" spans="2:14" ht="18" customHeight="1" x14ac:dyDescent="0.15">
      <c r="B382" s="246"/>
      <c r="C382" s="246"/>
      <c r="D382" s="240"/>
      <c r="E382" s="240"/>
      <c r="F382" s="240"/>
      <c r="G382" s="240"/>
      <c r="H382" s="263"/>
      <c r="I382" s="240"/>
      <c r="J382" s="240"/>
      <c r="K382" s="246"/>
      <c r="L382" s="246"/>
      <c r="M382" s="246"/>
      <c r="N382" s="240"/>
    </row>
    <row r="383" spans="2:14" ht="18" customHeight="1" x14ac:dyDescent="0.15">
      <c r="B383" s="246"/>
      <c r="C383" s="246"/>
      <c r="D383" s="240"/>
      <c r="E383" s="240"/>
      <c r="F383" s="240"/>
      <c r="G383" s="240"/>
      <c r="H383" s="263"/>
      <c r="I383" s="240"/>
      <c r="J383" s="240"/>
      <c r="K383" s="246"/>
      <c r="L383" s="246"/>
      <c r="M383" s="246"/>
      <c r="N383" s="240"/>
    </row>
    <row r="384" spans="2:14" ht="18" customHeight="1" x14ac:dyDescent="0.15">
      <c r="B384" s="246"/>
      <c r="C384" s="246"/>
      <c r="D384" s="240"/>
      <c r="E384" s="240"/>
      <c r="F384" s="240"/>
      <c r="G384" s="240"/>
      <c r="H384" s="263"/>
      <c r="I384" s="240"/>
      <c r="J384" s="240"/>
      <c r="K384" s="246"/>
      <c r="L384" s="246"/>
      <c r="M384" s="246"/>
      <c r="N384" s="240"/>
    </row>
    <row r="385" spans="2:14" ht="18" customHeight="1" x14ac:dyDescent="0.15">
      <c r="B385" s="246"/>
      <c r="C385" s="246"/>
      <c r="D385" s="240"/>
      <c r="E385" s="240"/>
      <c r="F385" s="240"/>
      <c r="G385" s="240"/>
      <c r="H385" s="263"/>
      <c r="I385" s="240"/>
      <c r="J385" s="240"/>
      <c r="K385" s="246"/>
      <c r="L385" s="246"/>
      <c r="M385" s="246"/>
      <c r="N385" s="240"/>
    </row>
    <row r="386" spans="2:14" ht="18" customHeight="1" x14ac:dyDescent="0.15">
      <c r="B386" s="246"/>
      <c r="C386" s="246"/>
      <c r="D386" s="240"/>
      <c r="E386" s="240"/>
      <c r="F386" s="240"/>
      <c r="G386" s="240"/>
      <c r="H386" s="263"/>
      <c r="I386" s="240"/>
      <c r="J386" s="240"/>
      <c r="K386" s="246"/>
      <c r="L386" s="246"/>
      <c r="M386" s="246"/>
      <c r="N386" s="240"/>
    </row>
    <row r="387" spans="2:14" ht="18" customHeight="1" x14ac:dyDescent="0.15">
      <c r="B387" s="246"/>
      <c r="C387" s="246"/>
      <c r="D387" s="240"/>
      <c r="E387" s="240"/>
      <c r="F387" s="240"/>
      <c r="G387" s="240"/>
      <c r="H387" s="263"/>
      <c r="I387" s="240"/>
      <c r="J387" s="240"/>
      <c r="K387" s="246"/>
      <c r="L387" s="246"/>
      <c r="M387" s="246"/>
      <c r="N387" s="240"/>
    </row>
    <row r="388" spans="2:14" ht="18" customHeight="1" x14ac:dyDescent="0.15">
      <c r="B388" s="246"/>
      <c r="C388" s="246"/>
      <c r="D388" s="240"/>
      <c r="E388" s="240"/>
      <c r="F388" s="240"/>
      <c r="G388" s="240"/>
      <c r="H388" s="263"/>
      <c r="I388" s="240"/>
      <c r="J388" s="240"/>
      <c r="K388" s="246"/>
      <c r="L388" s="246"/>
      <c r="M388" s="246"/>
      <c r="N388" s="240"/>
    </row>
    <row r="389" spans="2:14" ht="18" customHeight="1" x14ac:dyDescent="0.15">
      <c r="B389" s="246"/>
      <c r="C389" s="246"/>
      <c r="D389" s="240"/>
      <c r="E389" s="240"/>
      <c r="F389" s="240"/>
      <c r="G389" s="240"/>
      <c r="H389" s="263"/>
      <c r="I389" s="240"/>
      <c r="J389" s="240"/>
      <c r="K389" s="246"/>
      <c r="L389" s="246"/>
      <c r="M389" s="246"/>
      <c r="N389" s="240"/>
    </row>
    <row r="390" spans="2:14" ht="18" customHeight="1" x14ac:dyDescent="0.15">
      <c r="B390" s="246"/>
      <c r="C390" s="246"/>
      <c r="D390" s="240"/>
      <c r="E390" s="240"/>
      <c r="F390" s="240"/>
      <c r="G390" s="240"/>
      <c r="H390" s="263"/>
      <c r="I390" s="240"/>
      <c r="J390" s="240"/>
      <c r="K390" s="246"/>
      <c r="L390" s="246"/>
      <c r="M390" s="246"/>
      <c r="N390" s="240"/>
    </row>
    <row r="391" spans="2:14" ht="18" customHeight="1" x14ac:dyDescent="0.15">
      <c r="B391" s="246"/>
      <c r="C391" s="246"/>
      <c r="D391" s="240"/>
      <c r="E391" s="240"/>
      <c r="F391" s="240"/>
      <c r="G391" s="240"/>
      <c r="H391" s="263"/>
      <c r="I391" s="240"/>
      <c r="J391" s="240"/>
      <c r="K391" s="246"/>
      <c r="L391" s="246"/>
      <c r="M391" s="246"/>
      <c r="N391" s="240"/>
    </row>
    <row r="392" spans="2:14" ht="18" customHeight="1" x14ac:dyDescent="0.15">
      <c r="B392" s="246"/>
      <c r="C392" s="246"/>
      <c r="D392" s="240"/>
      <c r="E392" s="240"/>
      <c r="F392" s="240"/>
      <c r="G392" s="240"/>
      <c r="H392" s="263"/>
      <c r="I392" s="240"/>
      <c r="J392" s="240"/>
      <c r="K392" s="246"/>
      <c r="L392" s="246"/>
      <c r="M392" s="246"/>
      <c r="N392" s="240"/>
    </row>
    <row r="393" spans="2:14" ht="18" customHeight="1" x14ac:dyDescent="0.15">
      <c r="B393" s="246"/>
      <c r="C393" s="246"/>
      <c r="D393" s="240"/>
      <c r="E393" s="240"/>
      <c r="F393" s="240"/>
      <c r="G393" s="240"/>
      <c r="H393" s="263"/>
      <c r="I393" s="240"/>
      <c r="J393" s="240"/>
      <c r="K393" s="246"/>
      <c r="L393" s="246"/>
      <c r="M393" s="246"/>
      <c r="N393" s="240"/>
    </row>
    <row r="394" spans="2:14" ht="18" customHeight="1" x14ac:dyDescent="0.15">
      <c r="B394" s="246"/>
      <c r="C394" s="246"/>
      <c r="D394" s="240"/>
      <c r="E394" s="240"/>
      <c r="F394" s="240"/>
      <c r="G394" s="240"/>
      <c r="H394" s="263"/>
      <c r="I394" s="240"/>
      <c r="J394" s="240"/>
      <c r="K394" s="246"/>
      <c r="L394" s="246"/>
      <c r="M394" s="246"/>
      <c r="N394" s="240"/>
    </row>
    <row r="395" spans="2:14" ht="18" customHeight="1" x14ac:dyDescent="0.15">
      <c r="B395" s="246"/>
      <c r="C395" s="246"/>
      <c r="D395" s="240"/>
      <c r="E395" s="240"/>
      <c r="F395" s="240"/>
      <c r="G395" s="240"/>
      <c r="H395" s="263"/>
      <c r="I395" s="240"/>
      <c r="J395" s="240"/>
      <c r="K395" s="246"/>
      <c r="L395" s="246"/>
      <c r="M395" s="246"/>
      <c r="N395" s="240"/>
    </row>
    <row r="396" spans="2:14" ht="18" customHeight="1" x14ac:dyDescent="0.15">
      <c r="B396" s="246"/>
      <c r="C396" s="246"/>
      <c r="D396" s="240"/>
      <c r="E396" s="240"/>
      <c r="F396" s="240"/>
      <c r="G396" s="240"/>
      <c r="H396" s="263"/>
      <c r="I396" s="240"/>
      <c r="J396" s="240"/>
      <c r="K396" s="246"/>
      <c r="L396" s="246"/>
      <c r="M396" s="246"/>
      <c r="N396" s="240"/>
    </row>
    <row r="397" spans="2:14" ht="18" customHeight="1" x14ac:dyDescent="0.15">
      <c r="B397" s="246"/>
      <c r="C397" s="246"/>
      <c r="D397" s="240"/>
      <c r="E397" s="240"/>
      <c r="F397" s="240"/>
      <c r="G397" s="240"/>
      <c r="H397" s="263"/>
      <c r="I397" s="240"/>
      <c r="J397" s="240"/>
      <c r="K397" s="246"/>
      <c r="L397" s="246"/>
      <c r="M397" s="246"/>
      <c r="N397" s="240"/>
    </row>
    <row r="398" spans="2:14" ht="18" customHeight="1" x14ac:dyDescent="0.15">
      <c r="B398" s="246"/>
      <c r="C398" s="246"/>
      <c r="D398" s="240"/>
      <c r="E398" s="240"/>
      <c r="F398" s="240"/>
      <c r="G398" s="240"/>
      <c r="H398" s="263"/>
      <c r="I398" s="240"/>
      <c r="J398" s="240"/>
      <c r="K398" s="246"/>
      <c r="L398" s="246"/>
      <c r="M398" s="246"/>
      <c r="N398" s="240"/>
    </row>
    <row r="399" spans="2:14" ht="18" customHeight="1" x14ac:dyDescent="0.15">
      <c r="B399" s="246"/>
      <c r="C399" s="246"/>
      <c r="D399" s="240"/>
      <c r="E399" s="240"/>
      <c r="F399" s="240"/>
      <c r="G399" s="240"/>
      <c r="H399" s="263"/>
      <c r="I399" s="240"/>
      <c r="J399" s="240"/>
      <c r="K399" s="246"/>
      <c r="L399" s="246"/>
      <c r="M399" s="246"/>
      <c r="N399" s="240"/>
    </row>
    <row r="400" spans="2:14" ht="18" customHeight="1" x14ac:dyDescent="0.15">
      <c r="B400" s="246"/>
      <c r="C400" s="246"/>
      <c r="D400" s="240"/>
      <c r="E400" s="240"/>
      <c r="F400" s="240"/>
      <c r="G400" s="240"/>
      <c r="H400" s="263"/>
      <c r="I400" s="240"/>
      <c r="J400" s="240"/>
      <c r="K400" s="246"/>
      <c r="L400" s="246"/>
      <c r="M400" s="246"/>
      <c r="N400" s="240"/>
    </row>
    <row r="401" spans="2:14" ht="18" customHeight="1" x14ac:dyDescent="0.15">
      <c r="B401" s="246"/>
      <c r="C401" s="246"/>
      <c r="D401" s="240"/>
      <c r="E401" s="240"/>
      <c r="F401" s="240"/>
      <c r="G401" s="240"/>
      <c r="H401" s="263"/>
      <c r="I401" s="240"/>
      <c r="J401" s="240"/>
      <c r="K401" s="246"/>
      <c r="L401" s="246"/>
      <c r="M401" s="246"/>
      <c r="N401" s="240"/>
    </row>
    <row r="402" spans="2:14" ht="18" customHeight="1" x14ac:dyDescent="0.15">
      <c r="B402" s="246"/>
      <c r="C402" s="246"/>
      <c r="D402" s="240"/>
      <c r="E402" s="240"/>
      <c r="F402" s="240"/>
      <c r="G402" s="240"/>
      <c r="H402" s="263"/>
      <c r="I402" s="240"/>
      <c r="J402" s="240"/>
      <c r="K402" s="246"/>
      <c r="L402" s="246"/>
      <c r="M402" s="246"/>
      <c r="N402" s="240"/>
    </row>
    <row r="403" spans="2:14" ht="18" customHeight="1" x14ac:dyDescent="0.15">
      <c r="B403" s="246"/>
      <c r="C403" s="246"/>
      <c r="D403" s="240"/>
      <c r="E403" s="240"/>
      <c r="F403" s="240"/>
      <c r="G403" s="240"/>
      <c r="H403" s="263"/>
      <c r="I403" s="240"/>
      <c r="J403" s="240"/>
      <c r="K403" s="246"/>
      <c r="L403" s="246"/>
      <c r="M403" s="246"/>
      <c r="N403" s="240"/>
    </row>
    <row r="404" spans="2:14" ht="18" customHeight="1" x14ac:dyDescent="0.15">
      <c r="B404" s="246"/>
      <c r="C404" s="246"/>
      <c r="D404" s="240"/>
      <c r="E404" s="240"/>
      <c r="F404" s="240"/>
      <c r="G404" s="240"/>
      <c r="H404" s="263"/>
      <c r="I404" s="240"/>
      <c r="J404" s="240"/>
      <c r="K404" s="246"/>
      <c r="L404" s="246"/>
      <c r="M404" s="246"/>
      <c r="N404" s="240"/>
    </row>
    <row r="405" spans="2:14" ht="18" customHeight="1" x14ac:dyDescent="0.15">
      <c r="B405" s="246"/>
      <c r="C405" s="246"/>
      <c r="D405" s="240"/>
      <c r="E405" s="240"/>
      <c r="F405" s="240"/>
      <c r="G405" s="240"/>
      <c r="H405" s="263"/>
      <c r="I405" s="240"/>
      <c r="J405" s="240"/>
      <c r="K405" s="246"/>
      <c r="L405" s="246"/>
      <c r="M405" s="246"/>
      <c r="N405" s="240"/>
    </row>
    <row r="406" spans="2:14" ht="18" customHeight="1" x14ac:dyDescent="0.15">
      <c r="B406" s="246"/>
      <c r="C406" s="246"/>
      <c r="D406" s="240"/>
      <c r="E406" s="240"/>
      <c r="F406" s="240"/>
      <c r="G406" s="240"/>
      <c r="H406" s="263"/>
      <c r="I406" s="240"/>
      <c r="J406" s="240"/>
      <c r="K406" s="246"/>
      <c r="L406" s="246"/>
      <c r="M406" s="246"/>
      <c r="N406" s="240"/>
    </row>
    <row r="407" spans="2:14" ht="18" customHeight="1" x14ac:dyDescent="0.15">
      <c r="B407" s="246"/>
      <c r="C407" s="246"/>
      <c r="D407" s="240"/>
      <c r="E407" s="240"/>
      <c r="F407" s="240"/>
      <c r="G407" s="240"/>
      <c r="H407" s="263"/>
      <c r="I407" s="240"/>
      <c r="J407" s="240"/>
      <c r="K407" s="246"/>
      <c r="L407" s="246"/>
      <c r="M407" s="246"/>
      <c r="N407" s="240"/>
    </row>
    <row r="408" spans="2:14" ht="18" customHeight="1" x14ac:dyDescent="0.15">
      <c r="B408" s="246"/>
      <c r="C408" s="246"/>
      <c r="D408" s="240"/>
      <c r="E408" s="240"/>
      <c r="F408" s="240"/>
      <c r="G408" s="240"/>
      <c r="H408" s="263"/>
      <c r="I408" s="240"/>
      <c r="J408" s="240"/>
      <c r="K408" s="246"/>
      <c r="L408" s="246"/>
      <c r="M408" s="246"/>
      <c r="N408" s="240"/>
    </row>
    <row r="409" spans="2:14" ht="18" customHeight="1" x14ac:dyDescent="0.15">
      <c r="B409" s="246"/>
      <c r="C409" s="246"/>
      <c r="D409" s="240"/>
      <c r="E409" s="240"/>
      <c r="F409" s="240"/>
      <c r="G409" s="240"/>
      <c r="H409" s="263"/>
      <c r="I409" s="240"/>
      <c r="J409" s="240"/>
      <c r="K409" s="246"/>
      <c r="L409" s="246"/>
      <c r="M409" s="246"/>
      <c r="N409" s="240"/>
    </row>
    <row r="410" spans="2:14" ht="18" customHeight="1" x14ac:dyDescent="0.15">
      <c r="B410" s="246"/>
      <c r="C410" s="246"/>
      <c r="D410" s="240"/>
      <c r="E410" s="240"/>
      <c r="F410" s="240"/>
      <c r="G410" s="240"/>
      <c r="H410" s="263"/>
      <c r="I410" s="240"/>
      <c r="J410" s="240"/>
      <c r="K410" s="246"/>
      <c r="L410" s="246"/>
      <c r="M410" s="246"/>
      <c r="N410" s="240"/>
    </row>
    <row r="411" spans="2:14" ht="18" customHeight="1" x14ac:dyDescent="0.15">
      <c r="B411" s="246"/>
      <c r="C411" s="246"/>
      <c r="D411" s="240"/>
      <c r="E411" s="240"/>
      <c r="F411" s="240"/>
      <c r="G411" s="240"/>
      <c r="H411" s="263"/>
      <c r="I411" s="240"/>
      <c r="J411" s="240"/>
      <c r="K411" s="246"/>
      <c r="L411" s="246"/>
      <c r="M411" s="246"/>
      <c r="N411" s="240"/>
    </row>
    <row r="412" spans="2:14" ht="18" customHeight="1" x14ac:dyDescent="0.15">
      <c r="B412" s="246"/>
      <c r="C412" s="246"/>
      <c r="D412" s="240"/>
      <c r="E412" s="240"/>
      <c r="F412" s="240"/>
      <c r="G412" s="240"/>
      <c r="H412" s="263"/>
      <c r="I412" s="240"/>
      <c r="J412" s="240"/>
      <c r="K412" s="246"/>
      <c r="L412" s="246"/>
      <c r="M412" s="246"/>
      <c r="N412" s="240"/>
    </row>
    <row r="413" spans="2:14" ht="18" customHeight="1" x14ac:dyDescent="0.15">
      <c r="B413" s="246"/>
      <c r="C413" s="246"/>
      <c r="D413" s="240"/>
      <c r="E413" s="240"/>
      <c r="F413" s="240"/>
      <c r="G413" s="240"/>
      <c r="H413" s="263"/>
      <c r="I413" s="240"/>
      <c r="J413" s="240"/>
      <c r="K413" s="246"/>
      <c r="L413" s="246"/>
      <c r="M413" s="246"/>
      <c r="N413" s="240"/>
    </row>
    <row r="414" spans="2:14" ht="18" customHeight="1" x14ac:dyDescent="0.15">
      <c r="B414" s="246"/>
      <c r="C414" s="246"/>
      <c r="D414" s="240"/>
      <c r="E414" s="240"/>
      <c r="F414" s="240"/>
      <c r="G414" s="240"/>
      <c r="H414" s="263"/>
      <c r="I414" s="240"/>
      <c r="J414" s="240"/>
      <c r="K414" s="246"/>
      <c r="L414" s="246"/>
      <c r="M414" s="246"/>
      <c r="N414" s="240"/>
    </row>
    <row r="415" spans="2:14" ht="18" customHeight="1" x14ac:dyDescent="0.15">
      <c r="B415" s="246"/>
      <c r="C415" s="246"/>
      <c r="D415" s="240"/>
      <c r="E415" s="240"/>
      <c r="F415" s="240"/>
      <c r="G415" s="240"/>
      <c r="H415" s="263"/>
      <c r="I415" s="240"/>
      <c r="J415" s="240"/>
      <c r="K415" s="246"/>
      <c r="L415" s="246"/>
      <c r="M415" s="246"/>
      <c r="N415" s="240"/>
    </row>
    <row r="416" spans="2:14" ht="18" customHeight="1" x14ac:dyDescent="0.15">
      <c r="B416" s="246"/>
      <c r="C416" s="246"/>
      <c r="D416" s="240"/>
      <c r="E416" s="240"/>
      <c r="F416" s="240"/>
      <c r="G416" s="240"/>
      <c r="H416" s="263"/>
      <c r="I416" s="240"/>
      <c r="J416" s="240"/>
      <c r="K416" s="246"/>
      <c r="L416" s="246"/>
      <c r="M416" s="246"/>
      <c r="N416" s="240"/>
    </row>
    <row r="417" spans="2:14" ht="18" customHeight="1" x14ac:dyDescent="0.15">
      <c r="B417" s="246"/>
      <c r="C417" s="246"/>
      <c r="D417" s="240"/>
      <c r="E417" s="240"/>
      <c r="F417" s="240"/>
      <c r="G417" s="240"/>
      <c r="H417" s="263"/>
      <c r="I417" s="240"/>
      <c r="J417" s="240"/>
      <c r="K417" s="246"/>
      <c r="L417" s="246"/>
      <c r="M417" s="246"/>
      <c r="N417" s="240"/>
    </row>
    <row r="418" spans="2:14" ht="18" customHeight="1" x14ac:dyDescent="0.15">
      <c r="B418" s="246"/>
      <c r="C418" s="246"/>
      <c r="D418" s="240"/>
      <c r="E418" s="240"/>
      <c r="F418" s="240"/>
      <c r="G418" s="240"/>
      <c r="H418" s="263"/>
      <c r="I418" s="240"/>
      <c r="J418" s="240"/>
      <c r="K418" s="246"/>
      <c r="L418" s="246"/>
      <c r="M418" s="246"/>
      <c r="N418" s="240"/>
    </row>
    <row r="419" spans="2:14" ht="18" customHeight="1" x14ac:dyDescent="0.15">
      <c r="B419" s="246"/>
      <c r="C419" s="246"/>
      <c r="D419" s="240"/>
      <c r="E419" s="240"/>
      <c r="F419" s="240"/>
      <c r="G419" s="240"/>
      <c r="H419" s="263"/>
      <c r="I419" s="240"/>
      <c r="J419" s="240"/>
      <c r="K419" s="246"/>
      <c r="L419" s="246"/>
      <c r="M419" s="246"/>
      <c r="N419" s="240"/>
    </row>
    <row r="420" spans="2:14" ht="18" customHeight="1" x14ac:dyDescent="0.15">
      <c r="B420" s="246"/>
      <c r="C420" s="246"/>
      <c r="D420" s="240"/>
      <c r="E420" s="240"/>
      <c r="F420" s="240"/>
      <c r="G420" s="240"/>
      <c r="H420" s="263"/>
      <c r="I420" s="240"/>
      <c r="J420" s="240"/>
      <c r="K420" s="246"/>
      <c r="L420" s="246"/>
      <c r="M420" s="246"/>
      <c r="N420" s="240"/>
    </row>
    <row r="421" spans="2:14" ht="18" customHeight="1" x14ac:dyDescent="0.15">
      <c r="B421" s="246"/>
      <c r="C421" s="246"/>
      <c r="D421" s="240"/>
      <c r="E421" s="240"/>
      <c r="F421" s="240"/>
      <c r="G421" s="240"/>
      <c r="H421" s="263"/>
      <c r="I421" s="240"/>
      <c r="J421" s="240"/>
      <c r="K421" s="246"/>
      <c r="L421" s="246"/>
      <c r="M421" s="246"/>
      <c r="N421" s="240"/>
    </row>
    <row r="422" spans="2:14" ht="18" customHeight="1" x14ac:dyDescent="0.15">
      <c r="B422" s="246"/>
      <c r="C422" s="246"/>
      <c r="D422" s="240"/>
      <c r="E422" s="240"/>
      <c r="F422" s="240"/>
      <c r="G422" s="240"/>
      <c r="H422" s="263"/>
      <c r="I422" s="240"/>
      <c r="J422" s="240"/>
      <c r="K422" s="246"/>
      <c r="L422" s="246"/>
      <c r="M422" s="246"/>
      <c r="N422" s="240"/>
    </row>
    <row r="423" spans="2:14" ht="18" customHeight="1" x14ac:dyDescent="0.15">
      <c r="B423" s="246"/>
      <c r="C423" s="246"/>
      <c r="D423" s="240"/>
      <c r="E423" s="240"/>
      <c r="F423" s="240"/>
      <c r="G423" s="240"/>
      <c r="H423" s="263"/>
      <c r="I423" s="240"/>
      <c r="J423" s="240"/>
      <c r="K423" s="246"/>
      <c r="L423" s="246"/>
      <c r="M423" s="246"/>
      <c r="N423" s="240"/>
    </row>
    <row r="424" spans="2:14" ht="18" customHeight="1" x14ac:dyDescent="0.15">
      <c r="B424" s="246"/>
      <c r="C424" s="246"/>
      <c r="D424" s="240"/>
      <c r="E424" s="240"/>
      <c r="F424" s="240"/>
      <c r="G424" s="240"/>
      <c r="H424" s="263"/>
      <c r="I424" s="240"/>
      <c r="J424" s="240"/>
      <c r="K424" s="246"/>
      <c r="L424" s="246"/>
      <c r="M424" s="246"/>
      <c r="N424" s="240"/>
    </row>
    <row r="425" spans="2:14" ht="18" customHeight="1" x14ac:dyDescent="0.15">
      <c r="B425" s="246"/>
      <c r="C425" s="246"/>
      <c r="D425" s="240"/>
      <c r="E425" s="240"/>
      <c r="F425" s="240"/>
      <c r="G425" s="240"/>
      <c r="H425" s="263"/>
      <c r="I425" s="240"/>
      <c r="J425" s="240"/>
      <c r="K425" s="246"/>
      <c r="L425" s="246"/>
      <c r="M425" s="246"/>
      <c r="N425" s="240"/>
    </row>
    <row r="426" spans="2:14" ht="18" customHeight="1" x14ac:dyDescent="0.15">
      <c r="B426" s="246"/>
      <c r="C426" s="246"/>
      <c r="D426" s="240"/>
      <c r="E426" s="240"/>
      <c r="F426" s="240"/>
      <c r="G426" s="240"/>
      <c r="H426" s="263"/>
      <c r="I426" s="240"/>
      <c r="J426" s="240"/>
      <c r="K426" s="246"/>
      <c r="L426" s="246"/>
      <c r="M426" s="246"/>
      <c r="N426" s="240"/>
    </row>
    <row r="427" spans="2:14" ht="18" customHeight="1" x14ac:dyDescent="0.15">
      <c r="B427" s="246"/>
      <c r="C427" s="246"/>
      <c r="D427" s="240"/>
      <c r="E427" s="240"/>
      <c r="F427" s="240"/>
      <c r="G427" s="240"/>
      <c r="H427" s="263"/>
      <c r="I427" s="240"/>
      <c r="J427" s="240"/>
      <c r="K427" s="246"/>
      <c r="L427" s="246"/>
      <c r="M427" s="246"/>
      <c r="N427" s="240"/>
    </row>
    <row r="428" spans="2:14" ht="18" customHeight="1" x14ac:dyDescent="0.15">
      <c r="B428" s="246"/>
      <c r="C428" s="246"/>
      <c r="D428" s="240"/>
      <c r="E428" s="240"/>
      <c r="F428" s="240"/>
      <c r="G428" s="240"/>
      <c r="H428" s="263"/>
      <c r="I428" s="240"/>
      <c r="J428" s="240"/>
      <c r="K428" s="246"/>
      <c r="L428" s="246"/>
      <c r="M428" s="246"/>
      <c r="N428" s="240"/>
    </row>
    <row r="429" spans="2:14" ht="18" customHeight="1" x14ac:dyDescent="0.15">
      <c r="B429" s="246"/>
      <c r="C429" s="246"/>
      <c r="D429" s="240"/>
      <c r="E429" s="240"/>
      <c r="F429" s="240"/>
      <c r="G429" s="240"/>
      <c r="H429" s="263"/>
      <c r="I429" s="240"/>
      <c r="J429" s="240"/>
      <c r="K429" s="246"/>
      <c r="L429" s="246"/>
      <c r="M429" s="246"/>
      <c r="N429" s="240"/>
    </row>
    <row r="430" spans="2:14" ht="18" customHeight="1" x14ac:dyDescent="0.15">
      <c r="B430" s="246"/>
      <c r="C430" s="246"/>
      <c r="D430" s="240"/>
      <c r="E430" s="240"/>
      <c r="F430" s="240"/>
      <c r="G430" s="240"/>
      <c r="H430" s="263"/>
      <c r="I430" s="240"/>
      <c r="J430" s="240"/>
      <c r="K430" s="246"/>
      <c r="L430" s="246"/>
      <c r="M430" s="246"/>
      <c r="N430" s="240"/>
    </row>
    <row r="431" spans="2:14" ht="18" customHeight="1" x14ac:dyDescent="0.15">
      <c r="B431" s="246"/>
      <c r="C431" s="246"/>
      <c r="D431" s="240"/>
      <c r="E431" s="240"/>
      <c r="F431" s="240"/>
      <c r="G431" s="240"/>
      <c r="H431" s="263"/>
      <c r="I431" s="240"/>
      <c r="J431" s="240"/>
      <c r="K431" s="246"/>
      <c r="L431" s="246"/>
      <c r="M431" s="246"/>
      <c r="N431" s="240"/>
    </row>
    <row r="432" spans="2:14" ht="18" customHeight="1" x14ac:dyDescent="0.15">
      <c r="B432" s="246"/>
      <c r="C432" s="246"/>
      <c r="D432" s="240"/>
      <c r="E432" s="240"/>
      <c r="F432" s="240"/>
      <c r="G432" s="240"/>
      <c r="H432" s="263"/>
      <c r="I432" s="240"/>
      <c r="J432" s="240"/>
      <c r="K432" s="246"/>
      <c r="L432" s="246"/>
      <c r="M432" s="246"/>
      <c r="N432" s="240"/>
    </row>
    <row r="433" spans="2:14" ht="18" customHeight="1" x14ac:dyDescent="0.15">
      <c r="B433" s="246"/>
      <c r="C433" s="246"/>
      <c r="D433" s="240"/>
      <c r="E433" s="240"/>
      <c r="F433" s="240"/>
      <c r="G433" s="240"/>
      <c r="H433" s="263"/>
      <c r="I433" s="240"/>
      <c r="J433" s="240"/>
      <c r="K433" s="246"/>
      <c r="L433" s="246"/>
      <c r="M433" s="246"/>
      <c r="N433" s="240"/>
    </row>
    <row r="434" spans="2:14" ht="18" customHeight="1" x14ac:dyDescent="0.15">
      <c r="B434" s="246"/>
      <c r="C434" s="246"/>
      <c r="D434" s="240"/>
      <c r="E434" s="240"/>
      <c r="F434" s="240"/>
      <c r="G434" s="240"/>
      <c r="H434" s="263"/>
      <c r="I434" s="240"/>
      <c r="J434" s="240"/>
      <c r="K434" s="246"/>
      <c r="L434" s="246"/>
      <c r="M434" s="246"/>
      <c r="N434" s="240"/>
    </row>
    <row r="435" spans="2:14" ht="18" customHeight="1" x14ac:dyDescent="0.15">
      <c r="B435" s="246"/>
      <c r="C435" s="246"/>
      <c r="D435" s="240"/>
      <c r="E435" s="240"/>
      <c r="F435" s="240"/>
      <c r="G435" s="240"/>
      <c r="H435" s="263"/>
      <c r="I435" s="240"/>
      <c r="J435" s="240"/>
      <c r="K435" s="246"/>
      <c r="L435" s="246"/>
      <c r="M435" s="246"/>
      <c r="N435" s="240"/>
    </row>
    <row r="436" spans="2:14" ht="18" customHeight="1" x14ac:dyDescent="0.15">
      <c r="B436" s="246"/>
      <c r="C436" s="246"/>
      <c r="D436" s="240"/>
      <c r="E436" s="240"/>
      <c r="F436" s="240"/>
      <c r="G436" s="240"/>
      <c r="H436" s="263"/>
      <c r="I436" s="240"/>
      <c r="J436" s="240"/>
      <c r="K436" s="246"/>
      <c r="L436" s="246"/>
      <c r="M436" s="246"/>
      <c r="N436" s="240"/>
    </row>
    <row r="437" spans="2:14" ht="18" customHeight="1" x14ac:dyDescent="0.15">
      <c r="B437" s="246"/>
      <c r="C437" s="246"/>
      <c r="D437" s="240"/>
      <c r="E437" s="240"/>
      <c r="F437" s="240"/>
      <c r="G437" s="240"/>
      <c r="H437" s="263"/>
      <c r="I437" s="240"/>
      <c r="J437" s="240"/>
      <c r="K437" s="246"/>
      <c r="L437" s="246"/>
      <c r="M437" s="246"/>
      <c r="N437" s="240"/>
    </row>
    <row r="438" spans="2:14" ht="18" customHeight="1" x14ac:dyDescent="0.15">
      <c r="B438" s="246"/>
      <c r="C438" s="246"/>
      <c r="D438" s="240"/>
      <c r="E438" s="240"/>
      <c r="F438" s="240"/>
      <c r="G438" s="240"/>
      <c r="H438" s="263"/>
      <c r="I438" s="240"/>
      <c r="J438" s="240"/>
      <c r="K438" s="246"/>
      <c r="L438" s="246"/>
      <c r="M438" s="246"/>
      <c r="N438" s="240"/>
    </row>
    <row r="439" spans="2:14" ht="18" customHeight="1" x14ac:dyDescent="0.15">
      <c r="B439" s="246"/>
      <c r="C439" s="246"/>
      <c r="D439" s="240"/>
      <c r="E439" s="240"/>
      <c r="F439" s="240"/>
      <c r="G439" s="240"/>
      <c r="H439" s="263"/>
      <c r="I439" s="240"/>
      <c r="J439" s="240"/>
      <c r="K439" s="246"/>
      <c r="L439" s="246"/>
      <c r="M439" s="246"/>
      <c r="N439" s="240"/>
    </row>
    <row r="440" spans="2:14" ht="18" customHeight="1" x14ac:dyDescent="0.15">
      <c r="B440" s="246"/>
      <c r="C440" s="246"/>
      <c r="D440" s="240"/>
      <c r="E440" s="240"/>
      <c r="F440" s="240"/>
      <c r="G440" s="240"/>
      <c r="H440" s="263"/>
      <c r="I440" s="240"/>
      <c r="J440" s="240"/>
      <c r="K440" s="246"/>
      <c r="L440" s="246"/>
      <c r="M440" s="246"/>
      <c r="N440" s="240"/>
    </row>
    <row r="441" spans="2:14" ht="18" customHeight="1" x14ac:dyDescent="0.15">
      <c r="B441" s="246"/>
      <c r="C441" s="246"/>
      <c r="D441" s="240"/>
      <c r="E441" s="240"/>
      <c r="F441" s="240"/>
      <c r="G441" s="240"/>
      <c r="H441" s="263"/>
      <c r="I441" s="240"/>
      <c r="J441" s="240"/>
      <c r="K441" s="246"/>
      <c r="L441" s="246"/>
      <c r="M441" s="246"/>
      <c r="N441" s="240"/>
    </row>
    <row r="442" spans="2:14" ht="18" customHeight="1" x14ac:dyDescent="0.15">
      <c r="B442" s="246"/>
      <c r="C442" s="246"/>
      <c r="D442" s="240"/>
      <c r="E442" s="240"/>
      <c r="F442" s="240"/>
      <c r="G442" s="240"/>
      <c r="H442" s="263"/>
      <c r="I442" s="240"/>
      <c r="J442" s="240"/>
      <c r="K442" s="246"/>
      <c r="L442" s="246"/>
      <c r="M442" s="246"/>
      <c r="N442" s="240"/>
    </row>
    <row r="443" spans="2:14" ht="18" customHeight="1" x14ac:dyDescent="0.15">
      <c r="B443" s="246"/>
      <c r="C443" s="246"/>
      <c r="D443" s="240"/>
      <c r="E443" s="240"/>
      <c r="F443" s="240"/>
      <c r="G443" s="240"/>
      <c r="H443" s="263"/>
      <c r="I443" s="240"/>
      <c r="J443" s="240"/>
      <c r="K443" s="246"/>
      <c r="L443" s="246"/>
      <c r="M443" s="246"/>
      <c r="N443" s="240"/>
    </row>
    <row r="444" spans="2:14" ht="18" customHeight="1" x14ac:dyDescent="0.15">
      <c r="B444" s="246"/>
      <c r="C444" s="246"/>
      <c r="D444" s="240"/>
      <c r="E444" s="240"/>
      <c r="F444" s="240"/>
      <c r="G444" s="240"/>
      <c r="H444" s="263"/>
      <c r="I444" s="240"/>
      <c r="J444" s="240"/>
      <c r="K444" s="246"/>
      <c r="L444" s="246"/>
      <c r="M444" s="246"/>
      <c r="N444" s="240"/>
    </row>
    <row r="445" spans="2:14" ht="18" customHeight="1" x14ac:dyDescent="0.15">
      <c r="B445" s="246"/>
      <c r="C445" s="246"/>
      <c r="D445" s="240"/>
      <c r="E445" s="240"/>
      <c r="F445" s="240"/>
      <c r="G445" s="240"/>
      <c r="H445" s="263"/>
      <c r="I445" s="240"/>
      <c r="J445" s="240"/>
      <c r="K445" s="246"/>
      <c r="L445" s="246"/>
      <c r="M445" s="246"/>
      <c r="N445" s="240"/>
    </row>
    <row r="446" spans="2:14" ht="18" customHeight="1" x14ac:dyDescent="0.15">
      <c r="B446" s="246"/>
      <c r="C446" s="246"/>
      <c r="D446" s="240"/>
      <c r="E446" s="240"/>
      <c r="F446" s="240"/>
      <c r="G446" s="240"/>
      <c r="H446" s="263"/>
      <c r="I446" s="240"/>
      <c r="J446" s="240"/>
      <c r="K446" s="246"/>
      <c r="L446" s="246"/>
      <c r="M446" s="246"/>
      <c r="N446" s="240"/>
    </row>
    <row r="447" spans="2:14" ht="18" customHeight="1" x14ac:dyDescent="0.15">
      <c r="B447" s="246"/>
      <c r="C447" s="246"/>
      <c r="D447" s="240"/>
      <c r="E447" s="240"/>
      <c r="F447" s="240"/>
      <c r="G447" s="240"/>
      <c r="H447" s="263"/>
      <c r="I447" s="240"/>
      <c r="J447" s="240"/>
      <c r="K447" s="246"/>
      <c r="L447" s="246"/>
      <c r="M447" s="246"/>
      <c r="N447" s="240"/>
    </row>
    <row r="448" spans="2:14" ht="18" customHeight="1" x14ac:dyDescent="0.15">
      <c r="B448" s="246"/>
      <c r="C448" s="246"/>
      <c r="D448" s="240"/>
      <c r="E448" s="240"/>
      <c r="F448" s="240"/>
      <c r="G448" s="240"/>
      <c r="H448" s="263"/>
      <c r="I448" s="240"/>
      <c r="J448" s="240"/>
      <c r="K448" s="246"/>
      <c r="L448" s="246"/>
      <c r="M448" s="246"/>
      <c r="N448" s="240"/>
    </row>
    <row r="449" spans="2:14" ht="18" customHeight="1" x14ac:dyDescent="0.15">
      <c r="B449" s="246"/>
      <c r="C449" s="246"/>
      <c r="D449" s="240"/>
      <c r="E449" s="240"/>
      <c r="F449" s="240"/>
      <c r="G449" s="240"/>
      <c r="H449" s="263"/>
      <c r="I449" s="240"/>
      <c r="J449" s="240"/>
      <c r="K449" s="246"/>
      <c r="L449" s="246"/>
      <c r="M449" s="246"/>
      <c r="N449" s="240"/>
    </row>
    <row r="450" spans="2:14" ht="18" customHeight="1" x14ac:dyDescent="0.15">
      <c r="B450" s="246"/>
      <c r="C450" s="246"/>
      <c r="D450" s="240"/>
      <c r="E450" s="240"/>
      <c r="F450" s="240"/>
      <c r="G450" s="240"/>
      <c r="H450" s="263"/>
      <c r="I450" s="240"/>
      <c r="J450" s="240"/>
      <c r="K450" s="246"/>
      <c r="L450" s="246"/>
      <c r="M450" s="246"/>
      <c r="N450" s="240"/>
    </row>
    <row r="451" spans="2:14" ht="18" customHeight="1" x14ac:dyDescent="0.15">
      <c r="B451" s="246"/>
      <c r="C451" s="246"/>
      <c r="D451" s="240"/>
      <c r="E451" s="240"/>
      <c r="F451" s="240"/>
      <c r="G451" s="240"/>
      <c r="H451" s="263"/>
      <c r="I451" s="240"/>
      <c r="J451" s="240"/>
      <c r="K451" s="246"/>
      <c r="L451" s="246"/>
      <c r="M451" s="246"/>
      <c r="N451" s="240"/>
    </row>
    <row r="452" spans="2:14" ht="18" customHeight="1" x14ac:dyDescent="0.15">
      <c r="B452" s="246"/>
      <c r="C452" s="246"/>
      <c r="D452" s="240"/>
      <c r="E452" s="240"/>
      <c r="F452" s="240"/>
      <c r="G452" s="240"/>
      <c r="H452" s="263"/>
      <c r="I452" s="240"/>
      <c r="J452" s="240"/>
      <c r="K452" s="246"/>
      <c r="L452" s="246"/>
      <c r="M452" s="246"/>
      <c r="N452" s="240"/>
    </row>
    <row r="453" spans="2:14" ht="18" customHeight="1" x14ac:dyDescent="0.15">
      <c r="B453" s="246"/>
      <c r="C453" s="246"/>
      <c r="D453" s="240"/>
      <c r="E453" s="240"/>
      <c r="F453" s="240"/>
      <c r="G453" s="240"/>
      <c r="H453" s="263"/>
      <c r="I453" s="240"/>
      <c r="J453" s="240"/>
      <c r="K453" s="246"/>
      <c r="L453" s="246"/>
      <c r="M453" s="246"/>
      <c r="N453" s="240"/>
    </row>
    <row r="454" spans="2:14" ht="18" customHeight="1" x14ac:dyDescent="0.15">
      <c r="B454" s="246"/>
      <c r="C454" s="246"/>
      <c r="D454" s="240"/>
      <c r="E454" s="240"/>
      <c r="F454" s="240"/>
      <c r="G454" s="240"/>
      <c r="H454" s="263"/>
      <c r="I454" s="240"/>
      <c r="J454" s="240"/>
      <c r="K454" s="246"/>
      <c r="L454" s="246"/>
      <c r="M454" s="246"/>
      <c r="N454" s="240"/>
    </row>
    <row r="455" spans="2:14" ht="18" customHeight="1" x14ac:dyDescent="0.15">
      <c r="B455" s="246"/>
      <c r="C455" s="246"/>
      <c r="D455" s="240"/>
      <c r="E455" s="240"/>
      <c r="F455" s="240"/>
      <c r="G455" s="240"/>
      <c r="H455" s="263"/>
      <c r="I455" s="240"/>
      <c r="J455" s="240"/>
      <c r="K455" s="246"/>
      <c r="L455" s="246"/>
      <c r="M455" s="246"/>
      <c r="N455" s="240"/>
    </row>
    <row r="456" spans="2:14" ht="18" customHeight="1" x14ac:dyDescent="0.15">
      <c r="B456" s="246"/>
      <c r="C456" s="246"/>
      <c r="D456" s="240"/>
      <c r="E456" s="240"/>
      <c r="F456" s="240"/>
      <c r="G456" s="240"/>
      <c r="H456" s="263"/>
      <c r="I456" s="240"/>
      <c r="J456" s="240"/>
      <c r="K456" s="246"/>
      <c r="L456" s="246"/>
      <c r="M456" s="246"/>
      <c r="N456" s="240"/>
    </row>
    <row r="457" spans="2:14" ht="18" customHeight="1" x14ac:dyDescent="0.15">
      <c r="B457" s="246"/>
      <c r="C457" s="246"/>
      <c r="D457" s="240"/>
      <c r="E457" s="240"/>
      <c r="F457" s="240"/>
      <c r="G457" s="240"/>
      <c r="H457" s="263"/>
      <c r="I457" s="240"/>
      <c r="J457" s="240"/>
      <c r="K457" s="246"/>
      <c r="L457" s="246"/>
      <c r="M457" s="246"/>
      <c r="N457" s="240"/>
    </row>
    <row r="458" spans="2:14" ht="18" customHeight="1" x14ac:dyDescent="0.15">
      <c r="B458" s="246"/>
      <c r="C458" s="246"/>
      <c r="D458" s="240"/>
      <c r="E458" s="240"/>
      <c r="F458" s="240"/>
      <c r="G458" s="240"/>
      <c r="H458" s="263"/>
      <c r="I458" s="240"/>
      <c r="J458" s="240"/>
      <c r="K458" s="246"/>
      <c r="L458" s="246"/>
      <c r="M458" s="246"/>
      <c r="N458" s="240"/>
    </row>
    <row r="459" spans="2:14" ht="18" customHeight="1" x14ac:dyDescent="0.15">
      <c r="B459" s="246"/>
      <c r="C459" s="246"/>
      <c r="D459" s="240"/>
      <c r="E459" s="240"/>
      <c r="F459" s="240"/>
      <c r="G459" s="240"/>
      <c r="H459" s="263"/>
      <c r="I459" s="240"/>
      <c r="J459" s="240"/>
      <c r="K459" s="246"/>
      <c r="L459" s="246"/>
      <c r="M459" s="246"/>
      <c r="N459" s="240"/>
    </row>
    <row r="460" spans="2:14" ht="18" customHeight="1" x14ac:dyDescent="0.15">
      <c r="B460" s="246"/>
      <c r="C460" s="246"/>
      <c r="D460" s="240"/>
      <c r="E460" s="240"/>
      <c r="F460" s="240"/>
      <c r="G460" s="240"/>
      <c r="H460" s="263"/>
      <c r="I460" s="240"/>
      <c r="J460" s="240"/>
      <c r="K460" s="246"/>
      <c r="L460" s="246"/>
      <c r="M460" s="246"/>
      <c r="N460" s="240"/>
    </row>
    <row r="461" spans="2:14" ht="18" customHeight="1" x14ac:dyDescent="0.15">
      <c r="B461" s="246"/>
      <c r="C461" s="246"/>
      <c r="D461" s="240"/>
      <c r="E461" s="240"/>
      <c r="F461" s="240"/>
      <c r="G461" s="240"/>
      <c r="H461" s="263"/>
      <c r="I461" s="240"/>
      <c r="J461" s="240"/>
      <c r="K461" s="246"/>
      <c r="L461" s="246"/>
      <c r="M461" s="246"/>
      <c r="N461" s="240"/>
    </row>
    <row r="462" spans="2:14" ht="18" customHeight="1" x14ac:dyDescent="0.15">
      <c r="B462" s="246"/>
      <c r="C462" s="246"/>
      <c r="D462" s="240"/>
      <c r="E462" s="240"/>
      <c r="F462" s="240"/>
      <c r="G462" s="240"/>
      <c r="H462" s="263"/>
      <c r="I462" s="240"/>
      <c r="J462" s="240"/>
      <c r="K462" s="246"/>
      <c r="L462" s="246"/>
      <c r="M462" s="246"/>
      <c r="N462" s="240"/>
    </row>
    <row r="463" spans="2:14" ht="18" customHeight="1" x14ac:dyDescent="0.15">
      <c r="B463" s="246"/>
      <c r="C463" s="246"/>
      <c r="D463" s="240"/>
      <c r="E463" s="240"/>
      <c r="F463" s="240"/>
      <c r="G463" s="240"/>
      <c r="H463" s="263"/>
      <c r="I463" s="240"/>
      <c r="J463" s="240"/>
      <c r="K463" s="246"/>
      <c r="L463" s="246"/>
      <c r="M463" s="246"/>
      <c r="N463" s="240"/>
    </row>
    <row r="464" spans="2:14" ht="18" customHeight="1" x14ac:dyDescent="0.15">
      <c r="B464" s="246"/>
      <c r="C464" s="246"/>
      <c r="D464" s="240"/>
      <c r="E464" s="240"/>
      <c r="F464" s="240"/>
      <c r="G464" s="240"/>
      <c r="H464" s="263"/>
      <c r="I464" s="240"/>
      <c r="J464" s="240"/>
      <c r="K464" s="246"/>
      <c r="L464" s="246"/>
      <c r="M464" s="246"/>
      <c r="N464" s="240"/>
    </row>
    <row r="465" spans="2:14" ht="18" customHeight="1" x14ac:dyDescent="0.15">
      <c r="B465" s="246"/>
      <c r="C465" s="246"/>
      <c r="D465" s="240"/>
      <c r="E465" s="240"/>
      <c r="F465" s="240"/>
      <c r="G465" s="240"/>
      <c r="H465" s="263"/>
      <c r="I465" s="240"/>
      <c r="J465" s="240"/>
      <c r="K465" s="246"/>
      <c r="L465" s="246"/>
      <c r="M465" s="246"/>
      <c r="N465" s="240"/>
    </row>
    <row r="466" spans="2:14" ht="18" customHeight="1" x14ac:dyDescent="0.15">
      <c r="B466" s="246"/>
      <c r="C466" s="246"/>
      <c r="D466" s="240"/>
      <c r="E466" s="240"/>
      <c r="F466" s="240"/>
      <c r="G466" s="240"/>
      <c r="H466" s="263"/>
      <c r="I466" s="240"/>
      <c r="J466" s="240"/>
      <c r="K466" s="246"/>
      <c r="L466" s="246"/>
      <c r="M466" s="246"/>
      <c r="N466" s="240"/>
    </row>
    <row r="467" spans="2:14" ht="18" customHeight="1" x14ac:dyDescent="0.15">
      <c r="B467" s="246"/>
      <c r="C467" s="246"/>
      <c r="D467" s="240"/>
      <c r="E467" s="240"/>
      <c r="F467" s="240"/>
      <c r="G467" s="240"/>
      <c r="H467" s="263"/>
      <c r="I467" s="240"/>
      <c r="J467" s="240"/>
      <c r="K467" s="246"/>
      <c r="L467" s="246"/>
      <c r="M467" s="246"/>
      <c r="N467" s="240"/>
    </row>
    <row r="468" spans="2:14" ht="18" customHeight="1" x14ac:dyDescent="0.15">
      <c r="B468" s="246"/>
      <c r="C468" s="246"/>
      <c r="D468" s="240"/>
      <c r="E468" s="240"/>
      <c r="F468" s="240"/>
      <c r="G468" s="240"/>
      <c r="H468" s="263"/>
      <c r="I468" s="240"/>
      <c r="J468" s="240"/>
      <c r="K468" s="246"/>
      <c r="L468" s="246"/>
      <c r="M468" s="246"/>
      <c r="N468" s="240"/>
    </row>
    <row r="469" spans="2:14" ht="18" customHeight="1" x14ac:dyDescent="0.15">
      <c r="B469" s="246"/>
      <c r="C469" s="246"/>
      <c r="D469" s="240"/>
      <c r="E469" s="240"/>
      <c r="F469" s="240"/>
      <c r="G469" s="240"/>
      <c r="H469" s="263"/>
      <c r="I469" s="240"/>
      <c r="J469" s="240"/>
      <c r="K469" s="246"/>
      <c r="L469" s="246"/>
      <c r="M469" s="246"/>
      <c r="N469" s="240"/>
    </row>
    <row r="470" spans="2:14" ht="18" customHeight="1" x14ac:dyDescent="0.15">
      <c r="B470" s="246"/>
      <c r="C470" s="246"/>
      <c r="D470" s="240"/>
      <c r="E470" s="240"/>
      <c r="F470" s="240"/>
      <c r="G470" s="240"/>
      <c r="H470" s="263"/>
      <c r="I470" s="240"/>
      <c r="J470" s="240"/>
      <c r="K470" s="246"/>
      <c r="L470" s="246"/>
      <c r="M470" s="246"/>
      <c r="N470" s="240"/>
    </row>
    <row r="471" spans="2:14" ht="18" customHeight="1" x14ac:dyDescent="0.15">
      <c r="B471" s="246"/>
      <c r="C471" s="246"/>
      <c r="D471" s="240"/>
      <c r="E471" s="240"/>
      <c r="F471" s="240"/>
      <c r="G471" s="240"/>
      <c r="H471" s="263"/>
      <c r="I471" s="240"/>
      <c r="J471" s="240"/>
      <c r="K471" s="246"/>
      <c r="L471" s="246"/>
      <c r="M471" s="246"/>
      <c r="N471" s="240"/>
    </row>
    <row r="472" spans="2:14" ht="18" customHeight="1" x14ac:dyDescent="0.15">
      <c r="B472" s="246"/>
      <c r="C472" s="246"/>
      <c r="D472" s="240"/>
      <c r="E472" s="240"/>
      <c r="F472" s="240"/>
      <c r="G472" s="240"/>
      <c r="H472" s="263"/>
      <c r="I472" s="240"/>
      <c r="J472" s="240"/>
      <c r="K472" s="246"/>
      <c r="L472" s="246"/>
      <c r="M472" s="246"/>
      <c r="N472" s="240"/>
    </row>
    <row r="473" spans="2:14" ht="18" customHeight="1" x14ac:dyDescent="0.15">
      <c r="B473" s="246"/>
      <c r="C473" s="246"/>
      <c r="D473" s="240"/>
      <c r="E473" s="240"/>
      <c r="F473" s="240"/>
      <c r="G473" s="240"/>
      <c r="H473" s="263"/>
      <c r="I473" s="240"/>
      <c r="J473" s="240"/>
      <c r="K473" s="246"/>
      <c r="L473" s="246"/>
      <c r="M473" s="246"/>
      <c r="N473" s="240"/>
    </row>
    <row r="474" spans="2:14" ht="18" customHeight="1" x14ac:dyDescent="0.15">
      <c r="B474" s="246"/>
      <c r="C474" s="246"/>
      <c r="D474" s="240"/>
      <c r="E474" s="240"/>
      <c r="F474" s="240"/>
      <c r="G474" s="240"/>
      <c r="H474" s="263"/>
      <c r="I474" s="240"/>
      <c r="J474" s="240"/>
      <c r="K474" s="246"/>
      <c r="L474" s="246"/>
      <c r="M474" s="246"/>
      <c r="N474" s="240"/>
    </row>
    <row r="475" spans="2:14" ht="18" customHeight="1" x14ac:dyDescent="0.15">
      <c r="B475" s="246"/>
      <c r="C475" s="246"/>
      <c r="D475" s="240"/>
      <c r="E475" s="240"/>
      <c r="F475" s="240"/>
      <c r="G475" s="240"/>
      <c r="H475" s="263"/>
      <c r="I475" s="240"/>
      <c r="J475" s="240"/>
      <c r="K475" s="246"/>
      <c r="L475" s="246"/>
      <c r="M475" s="246"/>
      <c r="N475" s="240"/>
    </row>
    <row r="476" spans="2:14" ht="18" customHeight="1" x14ac:dyDescent="0.15">
      <c r="B476" s="246"/>
      <c r="C476" s="246"/>
      <c r="D476" s="240"/>
      <c r="E476" s="240"/>
      <c r="F476" s="240"/>
      <c r="G476" s="240"/>
      <c r="H476" s="263"/>
      <c r="I476" s="240"/>
      <c r="J476" s="240"/>
      <c r="K476" s="246"/>
      <c r="L476" s="246"/>
      <c r="M476" s="246"/>
      <c r="N476" s="240"/>
    </row>
    <row r="477" spans="2:14" ht="18" customHeight="1" x14ac:dyDescent="0.15">
      <c r="B477" s="246"/>
      <c r="C477" s="246"/>
      <c r="D477" s="240"/>
      <c r="E477" s="240"/>
      <c r="F477" s="240"/>
      <c r="G477" s="240"/>
      <c r="H477" s="263"/>
      <c r="I477" s="240"/>
      <c r="J477" s="240"/>
      <c r="K477" s="246"/>
      <c r="L477" s="246"/>
      <c r="M477" s="246"/>
      <c r="N477" s="240"/>
    </row>
    <row r="478" spans="2:14" ht="18" customHeight="1" x14ac:dyDescent="0.15">
      <c r="B478" s="246"/>
      <c r="C478" s="246"/>
      <c r="D478" s="240"/>
      <c r="E478" s="240"/>
      <c r="F478" s="240"/>
      <c r="G478" s="240"/>
      <c r="H478" s="263"/>
      <c r="I478" s="240"/>
      <c r="J478" s="240"/>
      <c r="K478" s="246"/>
      <c r="L478" s="246"/>
      <c r="M478" s="246"/>
      <c r="N478" s="240"/>
    </row>
    <row r="479" spans="2:14" ht="18" customHeight="1" x14ac:dyDescent="0.15">
      <c r="B479" s="246"/>
      <c r="C479" s="246"/>
      <c r="D479" s="240"/>
      <c r="E479" s="240"/>
      <c r="F479" s="240"/>
      <c r="G479" s="240"/>
      <c r="H479" s="263"/>
      <c r="I479" s="240"/>
      <c r="J479" s="240"/>
      <c r="K479" s="246"/>
      <c r="L479" s="246"/>
      <c r="M479" s="246"/>
      <c r="N479" s="240"/>
    </row>
    <row r="480" spans="2:14" ht="18" customHeight="1" x14ac:dyDescent="0.15">
      <c r="B480" s="246"/>
      <c r="C480" s="246"/>
      <c r="D480" s="240"/>
      <c r="E480" s="240"/>
      <c r="F480" s="240"/>
      <c r="G480" s="240"/>
      <c r="H480" s="263"/>
      <c r="I480" s="240"/>
      <c r="J480" s="240"/>
      <c r="K480" s="246"/>
      <c r="L480" s="246"/>
      <c r="M480" s="246"/>
      <c r="N480" s="240"/>
    </row>
    <row r="481" spans="2:14" ht="18" customHeight="1" x14ac:dyDescent="0.15">
      <c r="B481" s="246"/>
      <c r="C481" s="246"/>
      <c r="D481" s="240"/>
      <c r="E481" s="240"/>
      <c r="F481" s="240"/>
      <c r="G481" s="240"/>
      <c r="H481" s="263"/>
      <c r="I481" s="240"/>
      <c r="J481" s="240"/>
      <c r="K481" s="246"/>
      <c r="L481" s="246"/>
      <c r="M481" s="246"/>
      <c r="N481" s="240"/>
    </row>
    <row r="482" spans="2:14" ht="18" customHeight="1" x14ac:dyDescent="0.15">
      <c r="B482" s="246"/>
      <c r="C482" s="246"/>
      <c r="D482" s="240"/>
      <c r="E482" s="240"/>
      <c r="F482" s="240"/>
      <c r="G482" s="240"/>
      <c r="H482" s="263"/>
      <c r="I482" s="240"/>
      <c r="J482" s="240"/>
      <c r="K482" s="246"/>
      <c r="L482" s="246"/>
      <c r="M482" s="246"/>
      <c r="N482" s="240"/>
    </row>
    <row r="483" spans="2:14" ht="18" customHeight="1" x14ac:dyDescent="0.15">
      <c r="B483" s="246"/>
      <c r="C483" s="246"/>
      <c r="D483" s="240"/>
      <c r="E483" s="240"/>
      <c r="F483" s="240"/>
      <c r="G483" s="240"/>
      <c r="H483" s="263"/>
      <c r="I483" s="240"/>
      <c r="J483" s="240"/>
      <c r="K483" s="246"/>
      <c r="L483" s="246"/>
      <c r="M483" s="246"/>
      <c r="N483" s="240"/>
    </row>
    <row r="484" spans="2:14" ht="18" customHeight="1" x14ac:dyDescent="0.15">
      <c r="B484" s="246"/>
      <c r="C484" s="246"/>
      <c r="D484" s="240"/>
      <c r="E484" s="240"/>
      <c r="F484" s="240"/>
      <c r="G484" s="240"/>
      <c r="H484" s="263"/>
      <c r="I484" s="240"/>
      <c r="J484" s="240"/>
      <c r="K484" s="246"/>
      <c r="L484" s="246"/>
      <c r="M484" s="246"/>
      <c r="N484" s="240"/>
    </row>
    <row r="485" spans="2:14" ht="18" customHeight="1" x14ac:dyDescent="0.15">
      <c r="B485" s="246"/>
      <c r="C485" s="246"/>
      <c r="D485" s="240"/>
      <c r="E485" s="240"/>
      <c r="F485" s="240"/>
      <c r="G485" s="240"/>
      <c r="H485" s="263"/>
      <c r="I485" s="240"/>
      <c r="J485" s="240"/>
      <c r="K485" s="246"/>
      <c r="L485" s="246"/>
      <c r="M485" s="246"/>
      <c r="N485" s="240"/>
    </row>
    <row r="486" spans="2:14" ht="18" customHeight="1" x14ac:dyDescent="0.15">
      <c r="B486" s="246"/>
      <c r="C486" s="246"/>
      <c r="D486" s="240"/>
      <c r="E486" s="240"/>
      <c r="F486" s="240"/>
      <c r="G486" s="240"/>
      <c r="H486" s="263"/>
      <c r="I486" s="240"/>
      <c r="J486" s="240"/>
      <c r="K486" s="246"/>
      <c r="L486" s="246"/>
      <c r="M486" s="246"/>
      <c r="N486" s="240"/>
    </row>
    <row r="487" spans="2:14" ht="18" customHeight="1" x14ac:dyDescent="0.15">
      <c r="B487" s="246"/>
      <c r="C487" s="246"/>
      <c r="D487" s="240"/>
      <c r="E487" s="240"/>
      <c r="F487" s="240"/>
      <c r="G487" s="240"/>
      <c r="H487" s="263"/>
      <c r="I487" s="240"/>
      <c r="J487" s="240"/>
      <c r="K487" s="246"/>
      <c r="L487" s="246"/>
      <c r="M487" s="246"/>
      <c r="N487" s="240"/>
    </row>
    <row r="488" spans="2:14" ht="18" customHeight="1" x14ac:dyDescent="0.15">
      <c r="B488" s="246"/>
      <c r="C488" s="246"/>
      <c r="D488" s="240"/>
      <c r="E488" s="240"/>
      <c r="F488" s="240"/>
      <c r="G488" s="240"/>
      <c r="H488" s="263"/>
      <c r="I488" s="240"/>
      <c r="J488" s="240"/>
      <c r="K488" s="246"/>
      <c r="L488" s="246"/>
      <c r="M488" s="246"/>
      <c r="N488" s="240"/>
    </row>
    <row r="489" spans="2:14" ht="18" customHeight="1" x14ac:dyDescent="0.15">
      <c r="B489" s="246"/>
      <c r="C489" s="246"/>
      <c r="D489" s="240"/>
      <c r="E489" s="240"/>
      <c r="F489" s="240"/>
      <c r="G489" s="240"/>
      <c r="H489" s="263"/>
      <c r="I489" s="240"/>
      <c r="J489" s="240"/>
      <c r="K489" s="246"/>
      <c r="L489" s="246"/>
      <c r="M489" s="246"/>
      <c r="N489" s="240"/>
    </row>
    <row r="490" spans="2:14" ht="18" customHeight="1" x14ac:dyDescent="0.15">
      <c r="B490" s="246"/>
      <c r="C490" s="246"/>
      <c r="D490" s="240"/>
      <c r="E490" s="240"/>
      <c r="F490" s="240"/>
      <c r="G490" s="240"/>
      <c r="H490" s="263"/>
      <c r="I490" s="240"/>
      <c r="J490" s="240"/>
      <c r="K490" s="246"/>
      <c r="L490" s="246"/>
      <c r="M490" s="246"/>
      <c r="N490" s="240"/>
    </row>
    <row r="491" spans="2:14" ht="18" customHeight="1" x14ac:dyDescent="0.15">
      <c r="B491" s="246"/>
      <c r="C491" s="246"/>
      <c r="D491" s="240"/>
      <c r="E491" s="240"/>
      <c r="F491" s="240"/>
      <c r="G491" s="240"/>
      <c r="H491" s="263"/>
      <c r="I491" s="240"/>
      <c r="J491" s="240"/>
      <c r="K491" s="246"/>
      <c r="L491" s="246"/>
      <c r="M491" s="246"/>
      <c r="N491" s="240"/>
    </row>
    <row r="492" spans="2:14" ht="18" customHeight="1" x14ac:dyDescent="0.15">
      <c r="B492" s="246"/>
      <c r="C492" s="246"/>
      <c r="D492" s="240"/>
      <c r="E492" s="240"/>
      <c r="F492" s="240"/>
      <c r="G492" s="240"/>
      <c r="H492" s="263"/>
      <c r="I492" s="240"/>
      <c r="J492" s="240"/>
      <c r="K492" s="246"/>
      <c r="L492" s="246"/>
      <c r="M492" s="246"/>
      <c r="N492" s="240"/>
    </row>
    <row r="493" spans="2:14" ht="18" customHeight="1" x14ac:dyDescent="0.15">
      <c r="B493" s="246"/>
      <c r="C493" s="246"/>
      <c r="D493" s="240"/>
      <c r="E493" s="240"/>
      <c r="F493" s="240"/>
      <c r="G493" s="240"/>
      <c r="H493" s="263"/>
      <c r="I493" s="240"/>
      <c r="J493" s="240"/>
      <c r="K493" s="246"/>
      <c r="L493" s="246"/>
      <c r="M493" s="246"/>
      <c r="N493" s="240"/>
    </row>
    <row r="494" spans="2:14" ht="18" customHeight="1" x14ac:dyDescent="0.15">
      <c r="B494" s="246"/>
      <c r="C494" s="246"/>
      <c r="D494" s="240"/>
      <c r="E494" s="240"/>
      <c r="F494" s="240"/>
      <c r="G494" s="240"/>
      <c r="H494" s="263"/>
      <c r="I494" s="240"/>
      <c r="J494" s="240"/>
      <c r="K494" s="246"/>
      <c r="L494" s="246"/>
      <c r="M494" s="246"/>
      <c r="N494" s="240"/>
    </row>
    <row r="495" spans="2:14" ht="18" customHeight="1" x14ac:dyDescent="0.15">
      <c r="B495" s="246"/>
      <c r="C495" s="246"/>
      <c r="D495" s="240"/>
      <c r="E495" s="240"/>
      <c r="F495" s="240"/>
      <c r="G495" s="240"/>
      <c r="H495" s="263"/>
      <c r="I495" s="240"/>
      <c r="J495" s="240"/>
      <c r="K495" s="246"/>
      <c r="L495" s="246"/>
      <c r="M495" s="246"/>
      <c r="N495" s="240"/>
    </row>
    <row r="496" spans="2:14" ht="18" customHeight="1" x14ac:dyDescent="0.15">
      <c r="B496" s="246"/>
      <c r="C496" s="246"/>
      <c r="D496" s="240"/>
      <c r="E496" s="240"/>
      <c r="F496" s="240"/>
      <c r="G496" s="240"/>
      <c r="H496" s="263"/>
      <c r="I496" s="240"/>
      <c r="J496" s="240"/>
      <c r="K496" s="246"/>
      <c r="L496" s="246"/>
      <c r="M496" s="246"/>
      <c r="N496" s="240"/>
    </row>
    <row r="497" spans="2:14" ht="18" customHeight="1" x14ac:dyDescent="0.15">
      <c r="B497" s="246"/>
      <c r="C497" s="246"/>
      <c r="D497" s="240"/>
      <c r="E497" s="240"/>
      <c r="F497" s="240"/>
      <c r="G497" s="240"/>
      <c r="H497" s="263"/>
      <c r="I497" s="240"/>
      <c r="J497" s="240"/>
      <c r="K497" s="246"/>
      <c r="L497" s="246"/>
      <c r="M497" s="246"/>
      <c r="N497" s="240"/>
    </row>
    <row r="498" spans="2:14" ht="18" customHeight="1" x14ac:dyDescent="0.15">
      <c r="B498" s="246"/>
      <c r="C498" s="246"/>
      <c r="D498" s="240"/>
      <c r="E498" s="240"/>
      <c r="F498" s="240"/>
      <c r="G498" s="240"/>
      <c r="H498" s="263"/>
      <c r="I498" s="240"/>
      <c r="J498" s="240"/>
      <c r="K498" s="246"/>
      <c r="L498" s="246"/>
      <c r="M498" s="246"/>
      <c r="N498" s="240"/>
    </row>
    <row r="499" spans="2:14" ht="18" customHeight="1" x14ac:dyDescent="0.15">
      <c r="B499" s="246"/>
      <c r="C499" s="246"/>
      <c r="D499" s="240"/>
      <c r="E499" s="240"/>
      <c r="F499" s="240"/>
      <c r="G499" s="240"/>
      <c r="H499" s="263"/>
      <c r="I499" s="240"/>
      <c r="J499" s="240"/>
      <c r="K499" s="246"/>
      <c r="L499" s="246"/>
      <c r="M499" s="246"/>
      <c r="N499" s="240"/>
    </row>
    <row r="500" spans="2:14" ht="18" customHeight="1" x14ac:dyDescent="0.15">
      <c r="B500" s="246"/>
      <c r="C500" s="246"/>
      <c r="D500" s="240"/>
      <c r="E500" s="240"/>
      <c r="F500" s="240"/>
      <c r="G500" s="240"/>
      <c r="H500" s="263"/>
      <c r="I500" s="240"/>
      <c r="J500" s="240"/>
      <c r="K500" s="246"/>
      <c r="L500" s="246"/>
      <c r="M500" s="246"/>
      <c r="N500" s="240"/>
    </row>
    <row r="501" spans="2:14" ht="18" customHeight="1" x14ac:dyDescent="0.15">
      <c r="B501" s="246"/>
      <c r="C501" s="246"/>
      <c r="D501" s="240"/>
      <c r="E501" s="240"/>
      <c r="F501" s="240"/>
      <c r="G501" s="240"/>
      <c r="H501" s="263"/>
      <c r="I501" s="240"/>
      <c r="J501" s="240"/>
      <c r="K501" s="246"/>
      <c r="L501" s="246"/>
      <c r="M501" s="246"/>
      <c r="N501" s="240"/>
    </row>
    <row r="502" spans="2:14" ht="18" customHeight="1" x14ac:dyDescent="0.15">
      <c r="B502" s="246"/>
      <c r="C502" s="246"/>
      <c r="D502" s="240"/>
      <c r="E502" s="240"/>
      <c r="F502" s="240"/>
      <c r="G502" s="240"/>
      <c r="H502" s="263"/>
      <c r="I502" s="240"/>
      <c r="J502" s="240"/>
      <c r="K502" s="246"/>
      <c r="L502" s="246"/>
      <c r="M502" s="246"/>
      <c r="N502" s="240"/>
    </row>
    <row r="503" spans="2:14" ht="18" customHeight="1" x14ac:dyDescent="0.15">
      <c r="B503" s="246"/>
      <c r="C503" s="246"/>
      <c r="D503" s="240"/>
      <c r="E503" s="240"/>
      <c r="F503" s="240"/>
      <c r="G503" s="240"/>
      <c r="H503" s="263"/>
      <c r="I503" s="240"/>
      <c r="J503" s="240"/>
      <c r="K503" s="246"/>
      <c r="L503" s="246"/>
      <c r="M503" s="246"/>
      <c r="N503" s="240"/>
    </row>
    <row r="504" spans="2:14" ht="18" customHeight="1" x14ac:dyDescent="0.15">
      <c r="B504" s="246"/>
      <c r="C504" s="246"/>
      <c r="D504" s="240"/>
      <c r="E504" s="240"/>
      <c r="F504" s="240"/>
      <c r="G504" s="240"/>
      <c r="H504" s="263"/>
      <c r="I504" s="240"/>
      <c r="J504" s="240"/>
      <c r="K504" s="246"/>
      <c r="L504" s="246"/>
      <c r="M504" s="246"/>
      <c r="N504" s="240"/>
    </row>
    <row r="505" spans="2:14" ht="18" customHeight="1" x14ac:dyDescent="0.15">
      <c r="B505" s="246"/>
      <c r="C505" s="246"/>
      <c r="D505" s="240"/>
      <c r="E505" s="240"/>
      <c r="F505" s="240"/>
      <c r="G505" s="240"/>
      <c r="H505" s="263"/>
      <c r="I505" s="240"/>
      <c r="J505" s="240"/>
      <c r="K505" s="246"/>
      <c r="L505" s="246"/>
      <c r="M505" s="246"/>
      <c r="N505" s="240"/>
    </row>
    <row r="506" spans="2:14" ht="18" customHeight="1" x14ac:dyDescent="0.15">
      <c r="B506" s="246"/>
      <c r="C506" s="246"/>
      <c r="D506" s="240"/>
      <c r="E506" s="240"/>
      <c r="F506" s="240"/>
      <c r="G506" s="240"/>
      <c r="H506" s="263"/>
      <c r="I506" s="240"/>
      <c r="J506" s="240"/>
      <c r="K506" s="246"/>
      <c r="L506" s="246"/>
      <c r="M506" s="246"/>
      <c r="N506" s="240"/>
    </row>
    <row r="507" spans="2:14" ht="18" customHeight="1" x14ac:dyDescent="0.15">
      <c r="B507" s="246"/>
      <c r="C507" s="246"/>
      <c r="D507" s="240"/>
      <c r="E507" s="240"/>
      <c r="F507" s="240"/>
      <c r="G507" s="240"/>
      <c r="H507" s="263"/>
      <c r="I507" s="240"/>
      <c r="J507" s="240"/>
      <c r="K507" s="246"/>
      <c r="L507" s="246"/>
      <c r="M507" s="246"/>
      <c r="N507" s="240"/>
    </row>
    <row r="508" spans="2:14" ht="18" customHeight="1" x14ac:dyDescent="0.15">
      <c r="B508" s="246"/>
      <c r="C508" s="246"/>
      <c r="D508" s="240"/>
      <c r="E508" s="240"/>
      <c r="F508" s="240"/>
      <c r="G508" s="240"/>
      <c r="H508" s="263"/>
      <c r="I508" s="240"/>
      <c r="J508" s="240"/>
      <c r="K508" s="246"/>
      <c r="L508" s="246"/>
      <c r="M508" s="246"/>
      <c r="N508" s="240"/>
    </row>
    <row r="509" spans="2:14" ht="18" customHeight="1" x14ac:dyDescent="0.15">
      <c r="B509" s="246"/>
      <c r="C509" s="246"/>
      <c r="D509" s="240"/>
      <c r="E509" s="240"/>
      <c r="F509" s="240"/>
      <c r="G509" s="240"/>
      <c r="H509" s="263"/>
      <c r="I509" s="240"/>
      <c r="J509" s="240"/>
      <c r="K509" s="246"/>
      <c r="L509" s="246"/>
      <c r="M509" s="246"/>
      <c r="N509" s="240"/>
    </row>
    <row r="510" spans="2:14" ht="18" customHeight="1" x14ac:dyDescent="0.15">
      <c r="B510" s="246"/>
      <c r="C510" s="246"/>
      <c r="D510" s="240"/>
      <c r="E510" s="240"/>
      <c r="F510" s="240"/>
      <c r="G510" s="240"/>
      <c r="H510" s="263"/>
      <c r="I510" s="240"/>
      <c r="J510" s="240"/>
      <c r="K510" s="246"/>
      <c r="L510" s="246"/>
      <c r="M510" s="246"/>
      <c r="N510" s="240"/>
    </row>
    <row r="511" spans="2:14" ht="18" customHeight="1" x14ac:dyDescent="0.15">
      <c r="B511" s="246"/>
      <c r="C511" s="246"/>
      <c r="D511" s="240"/>
      <c r="E511" s="240"/>
      <c r="F511" s="240"/>
      <c r="G511" s="240"/>
      <c r="H511" s="263"/>
      <c r="I511" s="240"/>
      <c r="J511" s="240"/>
      <c r="K511" s="246"/>
      <c r="L511" s="246"/>
      <c r="M511" s="246"/>
      <c r="N511" s="240"/>
    </row>
    <row r="512" spans="2:14" ht="18" customHeight="1" x14ac:dyDescent="0.15">
      <c r="B512" s="246"/>
      <c r="C512" s="246"/>
      <c r="D512" s="240"/>
      <c r="E512" s="240"/>
      <c r="F512" s="240"/>
      <c r="G512" s="240"/>
      <c r="H512" s="263"/>
      <c r="I512" s="240"/>
      <c r="J512" s="240"/>
      <c r="K512" s="246"/>
      <c r="L512" s="246"/>
      <c r="M512" s="246"/>
      <c r="N512" s="240"/>
    </row>
    <row r="513" spans="2:14" ht="18" customHeight="1" x14ac:dyDescent="0.15">
      <c r="B513" s="246"/>
      <c r="C513" s="246"/>
      <c r="D513" s="240"/>
      <c r="E513" s="240"/>
      <c r="F513" s="240"/>
      <c r="G513" s="240"/>
      <c r="H513" s="263"/>
      <c r="I513" s="240"/>
      <c r="J513" s="240"/>
      <c r="K513" s="246"/>
      <c r="L513" s="246"/>
      <c r="M513" s="246"/>
      <c r="N513" s="240"/>
    </row>
    <row r="514" spans="2:14" ht="18" customHeight="1" x14ac:dyDescent="0.15">
      <c r="B514" s="246"/>
      <c r="C514" s="246"/>
      <c r="D514" s="240"/>
      <c r="E514" s="240"/>
      <c r="F514" s="240"/>
      <c r="G514" s="240"/>
      <c r="H514" s="263"/>
      <c r="I514" s="240"/>
      <c r="J514" s="240"/>
      <c r="K514" s="246"/>
      <c r="L514" s="246"/>
      <c r="M514" s="246"/>
      <c r="N514" s="240"/>
    </row>
    <row r="515" spans="2:14" ht="18" customHeight="1" x14ac:dyDescent="0.15">
      <c r="B515" s="246"/>
      <c r="C515" s="246"/>
      <c r="D515" s="240"/>
      <c r="E515" s="240"/>
      <c r="F515" s="240"/>
      <c r="G515" s="240"/>
      <c r="H515" s="263"/>
      <c r="I515" s="240"/>
      <c r="J515" s="240"/>
      <c r="K515" s="246"/>
      <c r="L515" s="246"/>
      <c r="M515" s="246"/>
      <c r="N515" s="240"/>
    </row>
    <row r="516" spans="2:14" ht="18" customHeight="1" x14ac:dyDescent="0.15">
      <c r="B516" s="246"/>
      <c r="C516" s="246"/>
      <c r="D516" s="240"/>
      <c r="E516" s="240"/>
      <c r="F516" s="240"/>
      <c r="G516" s="240"/>
      <c r="H516" s="263"/>
      <c r="I516" s="240"/>
      <c r="J516" s="240"/>
      <c r="K516" s="246"/>
      <c r="L516" s="246"/>
      <c r="M516" s="246"/>
      <c r="N516" s="240"/>
    </row>
    <row r="517" spans="2:14" ht="18" customHeight="1" x14ac:dyDescent="0.15">
      <c r="B517" s="246"/>
      <c r="C517" s="246"/>
      <c r="D517" s="240"/>
      <c r="E517" s="240"/>
      <c r="F517" s="240"/>
      <c r="G517" s="240"/>
      <c r="H517" s="263"/>
      <c r="I517" s="240"/>
      <c r="J517" s="240"/>
      <c r="K517" s="246"/>
      <c r="L517" s="246"/>
      <c r="M517" s="246"/>
      <c r="N517" s="240"/>
    </row>
    <row r="518" spans="2:14" ht="18" customHeight="1" x14ac:dyDescent="0.15">
      <c r="B518" s="246"/>
      <c r="C518" s="246"/>
      <c r="D518" s="240"/>
      <c r="E518" s="240"/>
      <c r="F518" s="240"/>
      <c r="G518" s="240"/>
      <c r="H518" s="263"/>
      <c r="I518" s="240"/>
      <c r="J518" s="240"/>
      <c r="K518" s="246"/>
      <c r="L518" s="246"/>
      <c r="M518" s="246"/>
      <c r="N518" s="240"/>
    </row>
    <row r="519" spans="2:14" ht="18" customHeight="1" x14ac:dyDescent="0.15">
      <c r="B519" s="246"/>
      <c r="C519" s="246"/>
      <c r="D519" s="240"/>
      <c r="E519" s="240"/>
      <c r="F519" s="240"/>
      <c r="G519" s="240"/>
      <c r="H519" s="263"/>
      <c r="I519" s="240"/>
      <c r="J519" s="240"/>
      <c r="K519" s="246"/>
      <c r="L519" s="246"/>
      <c r="M519" s="246"/>
      <c r="N519" s="240"/>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13"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299">
        <v>0</v>
      </c>
      <c r="C1" s="299">
        <f t="shared" ref="C1:K1" si="0">+B1+1</f>
        <v>1</v>
      </c>
      <c r="D1" s="299">
        <f t="shared" si="0"/>
        <v>2</v>
      </c>
      <c r="E1" s="299">
        <f t="shared" si="0"/>
        <v>3</v>
      </c>
      <c r="F1" s="299">
        <f t="shared" si="0"/>
        <v>4</v>
      </c>
      <c r="G1" s="299">
        <f t="shared" si="0"/>
        <v>5</v>
      </c>
      <c r="H1" s="299">
        <f t="shared" si="0"/>
        <v>6</v>
      </c>
      <c r="I1" s="299">
        <f t="shared" si="0"/>
        <v>7</v>
      </c>
      <c r="J1" s="299">
        <f t="shared" si="0"/>
        <v>8</v>
      </c>
      <c r="K1" s="299">
        <f t="shared" si="0"/>
        <v>9</v>
      </c>
      <c r="L1" s="299"/>
      <c r="M1" s="299"/>
      <c r="N1" s="299"/>
      <c r="O1" s="299"/>
      <c r="P1" s="299"/>
      <c r="Q1" s="299"/>
    </row>
    <row r="2" spans="2:24" s="21" customFormat="1" ht="18" customHeight="1" collapsed="1" x14ac:dyDescent="0.3">
      <c r="B2" s="246"/>
      <c r="C2" s="246"/>
      <c r="D2" s="247"/>
      <c r="E2" s="247"/>
      <c r="F2" s="247"/>
      <c r="G2" s="247"/>
      <c r="H2" s="247"/>
      <c r="I2" s="247"/>
      <c r="J2" s="247"/>
      <c r="K2" s="247"/>
      <c r="L2" s="247"/>
      <c r="M2" s="247"/>
      <c r="N2" s="247"/>
      <c r="O2" s="247"/>
      <c r="P2" s="247"/>
      <c r="Q2" s="247"/>
    </row>
    <row r="3" spans="2:24" s="21" customFormat="1" ht="18" hidden="1" customHeight="1" outlineLevel="1" collapsed="1" x14ac:dyDescent="0.3">
      <c r="B3" s="246"/>
      <c r="C3" s="246"/>
      <c r="D3" s="247"/>
      <c r="E3" s="7" t="s">
        <v>638</v>
      </c>
      <c r="F3" s="7" t="s">
        <v>777</v>
      </c>
      <c r="G3" s="240"/>
      <c r="H3" s="247"/>
      <c r="I3" s="247"/>
      <c r="J3" s="247"/>
      <c r="K3" s="247"/>
      <c r="L3" s="247"/>
      <c r="M3" s="247"/>
      <c r="N3" s="247"/>
      <c r="O3" s="247"/>
      <c r="P3" s="247"/>
      <c r="Q3" s="247"/>
    </row>
    <row r="4" spans="2:24" s="21" customFormat="1" ht="18" hidden="1" customHeight="1" outlineLevel="1" x14ac:dyDescent="0.3">
      <c r="B4" s="246"/>
      <c r="C4" s="246"/>
      <c r="D4" s="247"/>
      <c r="E4" s="240">
        <f t="shared" ref="E4:E12" si="1">IFERROR(E3+1,1)</f>
        <v>1</v>
      </c>
      <c r="F4" s="7" t="s">
        <v>417</v>
      </c>
      <c r="G4" s="240"/>
      <c r="H4" s="247"/>
      <c r="I4" s="247"/>
      <c r="J4" s="247"/>
      <c r="K4" s="247"/>
      <c r="L4" s="247"/>
      <c r="M4" s="247"/>
      <c r="N4" s="247"/>
      <c r="O4" s="247"/>
      <c r="P4" s="247"/>
      <c r="Q4" s="247"/>
    </row>
    <row r="5" spans="2:24" s="21" customFormat="1" ht="18" hidden="1" customHeight="1" outlineLevel="1" x14ac:dyDescent="0.3">
      <c r="B5" s="246"/>
      <c r="C5" s="246"/>
      <c r="D5" s="247"/>
      <c r="E5" s="240">
        <f t="shared" si="1"/>
        <v>2</v>
      </c>
      <c r="F5" s="7" t="s">
        <v>418</v>
      </c>
      <c r="G5" s="240"/>
      <c r="H5" s="247"/>
      <c r="I5" s="247"/>
      <c r="J5" s="247"/>
      <c r="K5" s="247"/>
      <c r="L5" s="247"/>
      <c r="M5" s="247"/>
      <c r="N5" s="247"/>
      <c r="O5" s="247"/>
      <c r="P5" s="247"/>
      <c r="Q5" s="247"/>
    </row>
    <row r="6" spans="2:24" s="21" customFormat="1" ht="18" hidden="1" customHeight="1" outlineLevel="1" x14ac:dyDescent="0.3">
      <c r="B6" s="246"/>
      <c r="C6" s="246"/>
      <c r="D6" s="247"/>
      <c r="E6" s="240">
        <f t="shared" si="1"/>
        <v>3</v>
      </c>
      <c r="F6" s="7" t="s">
        <v>419</v>
      </c>
      <c r="G6" s="240"/>
      <c r="H6" s="247"/>
      <c r="I6" s="247"/>
      <c r="J6" s="247"/>
      <c r="K6" s="247"/>
      <c r="L6" s="247"/>
      <c r="M6" s="247"/>
      <c r="N6" s="247"/>
      <c r="O6" s="247"/>
      <c r="P6" s="247"/>
      <c r="Q6" s="247"/>
    </row>
    <row r="7" spans="2:24" s="21" customFormat="1" ht="18" hidden="1" customHeight="1" outlineLevel="1" x14ac:dyDescent="0.3">
      <c r="B7" s="246"/>
      <c r="C7" s="246"/>
      <c r="D7" s="247"/>
      <c r="E7" s="240">
        <f t="shared" si="1"/>
        <v>4</v>
      </c>
      <c r="F7" s="7" t="s">
        <v>421</v>
      </c>
      <c r="G7" s="240"/>
      <c r="H7" s="247"/>
      <c r="I7" s="247"/>
      <c r="J7" s="247"/>
      <c r="K7" s="247"/>
      <c r="L7" s="247"/>
      <c r="M7" s="247"/>
      <c r="N7" s="247"/>
      <c r="O7" s="247"/>
      <c r="P7" s="247"/>
      <c r="Q7" s="247"/>
    </row>
    <row r="8" spans="2:24" s="21" customFormat="1" ht="18" hidden="1" customHeight="1" outlineLevel="1" x14ac:dyDescent="0.3">
      <c r="B8" s="246"/>
      <c r="C8" s="246"/>
      <c r="D8" s="247"/>
      <c r="E8" s="240">
        <f t="shared" si="1"/>
        <v>5</v>
      </c>
      <c r="F8" s="7" t="s">
        <v>424</v>
      </c>
      <c r="G8" s="240"/>
      <c r="H8" s="247"/>
      <c r="I8" s="247"/>
      <c r="J8" s="247"/>
      <c r="K8" s="247"/>
      <c r="L8" s="247"/>
      <c r="M8" s="247"/>
      <c r="N8" s="247"/>
      <c r="O8" s="247"/>
      <c r="P8" s="247"/>
      <c r="Q8" s="247"/>
    </row>
    <row r="9" spans="2:24" s="21" customFormat="1" ht="18" hidden="1" customHeight="1" outlineLevel="1" x14ac:dyDescent="0.3">
      <c r="B9" s="246"/>
      <c r="C9" s="246"/>
      <c r="D9" s="247"/>
      <c r="E9" s="240">
        <f t="shared" si="1"/>
        <v>6</v>
      </c>
      <c r="F9" s="7" t="s">
        <v>426</v>
      </c>
      <c r="G9" s="240"/>
      <c r="H9" s="247"/>
      <c r="I9" s="247"/>
      <c r="J9" s="247"/>
      <c r="K9" s="247"/>
      <c r="L9" s="247"/>
      <c r="M9" s="247"/>
      <c r="N9" s="247"/>
      <c r="O9" s="247"/>
      <c r="P9" s="247"/>
      <c r="Q9" s="247"/>
    </row>
    <row r="10" spans="2:24" s="21" customFormat="1" ht="18" hidden="1" customHeight="1" outlineLevel="1" x14ac:dyDescent="0.3">
      <c r="B10" s="246"/>
      <c r="C10" s="246"/>
      <c r="D10" s="247"/>
      <c r="E10" s="240">
        <f t="shared" si="1"/>
        <v>7</v>
      </c>
      <c r="F10" s="7" t="s">
        <v>428</v>
      </c>
      <c r="G10" s="240"/>
      <c r="H10" s="247"/>
      <c r="I10" s="247"/>
      <c r="J10" s="247"/>
      <c r="K10" s="247"/>
      <c r="L10" s="247"/>
      <c r="M10" s="247"/>
      <c r="N10" s="247"/>
      <c r="O10" s="247"/>
      <c r="P10" s="247"/>
      <c r="Q10" s="247"/>
    </row>
    <row r="11" spans="2:24" s="21" customFormat="1" ht="18" hidden="1" customHeight="1" outlineLevel="1" x14ac:dyDescent="0.3">
      <c r="B11" s="246"/>
      <c r="C11" s="246"/>
      <c r="D11" s="247"/>
      <c r="E11" s="240">
        <f t="shared" si="1"/>
        <v>8</v>
      </c>
      <c r="F11" s="7" t="s">
        <v>430</v>
      </c>
      <c r="G11" s="240"/>
      <c r="H11" s="247"/>
      <c r="I11" s="247"/>
      <c r="J11" s="247"/>
      <c r="K11" s="247"/>
      <c r="L11" s="247"/>
      <c r="M11" s="247"/>
      <c r="N11" s="247"/>
      <c r="O11" s="247"/>
      <c r="P11" s="247"/>
      <c r="Q11" s="247"/>
    </row>
    <row r="12" spans="2:24" s="21" customFormat="1" ht="18" hidden="1" customHeight="1" outlineLevel="1" x14ac:dyDescent="0.3">
      <c r="B12" s="246"/>
      <c r="C12" s="246"/>
      <c r="D12" s="247"/>
      <c r="E12" s="240">
        <f t="shared" si="1"/>
        <v>9</v>
      </c>
      <c r="F12" s="7" t="s">
        <v>414</v>
      </c>
      <c r="G12" s="240"/>
      <c r="H12" s="247"/>
      <c r="I12" s="247"/>
      <c r="J12" s="247"/>
      <c r="K12" s="247"/>
      <c r="L12" s="247"/>
      <c r="M12" s="247"/>
      <c r="N12" s="247"/>
      <c r="O12" s="247"/>
      <c r="P12" s="247"/>
      <c r="Q12" s="247"/>
    </row>
    <row r="13" spans="2:24" s="21" customFormat="1" ht="18" hidden="1" customHeight="1" outlineLevel="1" x14ac:dyDescent="0.3">
      <c r="B13" s="246"/>
      <c r="C13" s="246"/>
      <c r="D13" s="247"/>
      <c r="E13" s="7" t="s">
        <v>280</v>
      </c>
      <c r="F13" s="240"/>
      <c r="G13" s="240"/>
      <c r="H13" s="247"/>
      <c r="I13" s="247"/>
      <c r="J13" s="247"/>
      <c r="K13" s="247"/>
      <c r="L13" s="247"/>
      <c r="M13" s="247"/>
      <c r="N13" s="247"/>
      <c r="O13" s="247"/>
      <c r="P13" s="247"/>
      <c r="Q13" s="247"/>
    </row>
    <row r="14" spans="2:24" s="21" customFormat="1" ht="18" customHeight="1" x14ac:dyDescent="0.3">
      <c r="B14" s="246"/>
      <c r="C14" s="246"/>
      <c r="D14" s="247"/>
      <c r="E14" s="240"/>
      <c r="F14" s="240"/>
      <c r="G14" s="240"/>
      <c r="H14" s="247"/>
      <c r="I14" s="247"/>
      <c r="J14" s="247"/>
      <c r="K14" s="247"/>
      <c r="L14" s="247"/>
      <c r="M14" s="247"/>
      <c r="N14" s="247"/>
      <c r="O14" s="247"/>
      <c r="P14" s="247"/>
      <c r="Q14" s="247"/>
    </row>
    <row r="15" spans="2:24" s="21" customFormat="1" ht="18" customHeight="1" x14ac:dyDescent="0.3">
      <c r="B15" s="248">
        <v>1</v>
      </c>
      <c r="C15" s="51" t="str">
        <f>CONCATENATE(E15,"-",H15,"-",MOD(YEAR(D15),100)*10000+MONTH(D15)*100+DAY(D15),"-",B15)</f>
        <v>--100-1</v>
      </c>
      <c r="D15" s="393"/>
      <c r="E15" s="249"/>
      <c r="F15" s="249"/>
      <c r="G15" s="249"/>
      <c r="H15" s="243"/>
      <c r="I15" s="249"/>
      <c r="J15" s="391"/>
      <c r="K15" s="266">
        <f>IFERROR(
VLOOKUP(H15,Table_VayNo[],COUNTA(Table_VayNo[[#Headers],[Mã khoản vay]:[Kết thúc trả gốc]]),0),
IFERROR(
VLOOKUP(H15,Table_DauTu[],COUNTA(Table_DauTu[[#Headers],[Mã khoản đầu tư]:[Kỳ đáo hạn]]),0),
0))</f>
        <v>0</v>
      </c>
      <c r="L15" s="245"/>
      <c r="M15" s="247"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7">
        <f ca="1"/>
        <v>0</v>
      </c>
      <c r="O15" s="247" t="str">
        <f ca="1"/>
        <v>TS1</v>
      </c>
      <c r="P15" s="247" t="str">
        <f ca="1"/>
        <v>TS2</v>
      </c>
      <c r="Q15" s="247"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638</v>
      </c>
      <c r="C16" s="7" t="s">
        <v>769</v>
      </c>
      <c r="D16" s="7" t="s">
        <v>770</v>
      </c>
      <c r="E16" s="7" t="s">
        <v>771</v>
      </c>
      <c r="F16" s="7" t="s">
        <v>767</v>
      </c>
      <c r="G16" s="46" t="s">
        <v>556</v>
      </c>
      <c r="H16" s="7" t="s">
        <v>551</v>
      </c>
      <c r="I16" s="7" t="s">
        <v>772</v>
      </c>
      <c r="J16" s="7" t="s">
        <v>773</v>
      </c>
      <c r="K16" s="7" t="s">
        <v>778</v>
      </c>
      <c r="L16" s="7" t="s">
        <v>873</v>
      </c>
      <c r="M16" s="240"/>
      <c r="N16" s="240"/>
      <c r="O16" s="240"/>
      <c r="P16" s="240"/>
      <c r="Q16" s="240"/>
    </row>
    <row r="17" spans="2:17" ht="18" customHeight="1" x14ac:dyDescent="0.3">
      <c r="B17" s="248">
        <v>1</v>
      </c>
      <c r="C17" s="51" t="str">
        <f>CONCATENATE(E17,"-",H17,"-",MOD(YEAR(D17),100)*10000+MONTH(D17)*100+DAY(D17),"-",B17)</f>
        <v>--100-1</v>
      </c>
      <c r="D17" s="392"/>
      <c r="E17" s="249"/>
      <c r="F17" s="249"/>
      <c r="G17" s="249"/>
      <c r="H17" s="243"/>
      <c r="I17" s="249"/>
      <c r="J17" s="390"/>
      <c r="K17" s="267">
        <f>IFERROR(
VLOOKUP(Table_ThuChiTC[[#This Row],[Đối tác]],Table_VayNo[],COUNTA(Table_VayNo[[#Headers],[Mã khoản vay]:[Kết thúc trả gốc]]),0),
IFERROR(
VLOOKUP(Table_ThuChiTC[[#This Row],[Đối tác]],Table_DauTu[],COUNTA(Table_DauTu[[#Headers],[Mã khoản đầu tư]:[Kỳ đáo hạn]]),0),
0))</f>
        <v>0</v>
      </c>
      <c r="L17" s="245"/>
      <c r="M17" s="240"/>
      <c r="N17" s="240"/>
      <c r="O17" s="240"/>
      <c r="P17" s="240"/>
      <c r="Q17" s="240"/>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290"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299">
        <v>0</v>
      </c>
      <c r="B3" s="299">
        <f>+A3+1</f>
        <v>1</v>
      </c>
      <c r="C3" s="299">
        <f>+B3+1</f>
        <v>2</v>
      </c>
      <c r="D3" s="299">
        <f>+C3+1</f>
        <v>3</v>
      </c>
      <c r="E3" s="299">
        <f>+D3+1</f>
        <v>4</v>
      </c>
      <c r="F3" s="299">
        <v>5</v>
      </c>
      <c r="G3" s="299"/>
      <c r="H3" s="299"/>
      <c r="I3" s="299"/>
    </row>
    <row r="4" spans="1:9" ht="18" customHeight="1" x14ac:dyDescent="0.3">
      <c r="A4" s="240"/>
      <c r="B4" s="7" t="s">
        <v>794</v>
      </c>
      <c r="C4" s="7" t="s">
        <v>795</v>
      </c>
      <c r="D4" s="7" t="s">
        <v>796</v>
      </c>
      <c r="E4" s="7" t="s">
        <v>797</v>
      </c>
      <c r="F4" s="7" t="s">
        <v>883</v>
      </c>
      <c r="G4" s="7" t="s">
        <v>873</v>
      </c>
      <c r="H4" s="240"/>
      <c r="I4" s="240"/>
    </row>
    <row r="5" spans="1:9" ht="18" customHeight="1" x14ac:dyDescent="0.3">
      <c r="A5" s="240"/>
      <c r="B5" s="240" t="s">
        <v>1226</v>
      </c>
      <c r="C5" s="240"/>
      <c r="D5" s="240"/>
      <c r="E5" s="45"/>
      <c r="F5" s="15"/>
      <c r="G5" s="240"/>
      <c r="H5" s="240"/>
      <c r="I5" s="240"/>
    </row>
    <row r="6" spans="1:9" ht="18" customHeight="1" x14ac:dyDescent="0.3">
      <c r="A6" s="240"/>
      <c r="B6" s="241"/>
      <c r="C6" s="240"/>
      <c r="D6" s="240"/>
      <c r="E6" s="240"/>
      <c r="F6" s="240"/>
      <c r="G6" s="240"/>
      <c r="H6" s="240"/>
      <c r="I6" s="240"/>
    </row>
    <row r="7" spans="1:9" ht="18" customHeight="1" x14ac:dyDescent="0.3">
      <c r="A7" s="240"/>
      <c r="B7" s="241"/>
      <c r="C7" s="240"/>
      <c r="D7" s="240"/>
      <c r="E7" s="240"/>
      <c r="F7" s="240"/>
      <c r="G7" s="240"/>
      <c r="H7" s="240"/>
      <c r="I7" s="240"/>
    </row>
    <row r="8" spans="1:9" ht="18" customHeight="1" x14ac:dyDescent="0.3">
      <c r="A8" s="240"/>
      <c r="B8" s="241"/>
      <c r="C8" s="240"/>
      <c r="D8" s="240"/>
      <c r="E8" s="240"/>
      <c r="F8" s="240"/>
      <c r="G8" s="240"/>
      <c r="H8" s="240"/>
      <c r="I8" s="240"/>
    </row>
    <row r="9" spans="1:9" ht="18" customHeight="1" x14ac:dyDescent="0.3">
      <c r="A9" s="240"/>
      <c r="B9" s="241"/>
      <c r="C9" s="240"/>
      <c r="D9" s="240"/>
      <c r="E9" s="240"/>
      <c r="F9" s="240"/>
      <c r="G9" s="240"/>
      <c r="H9" s="240"/>
      <c r="I9" s="240"/>
    </row>
    <row r="10" spans="1:9" ht="18" customHeight="1" x14ac:dyDescent="0.3">
      <c r="A10" s="240"/>
      <c r="B10" s="241"/>
      <c r="C10" s="240"/>
      <c r="D10" s="240"/>
      <c r="E10" s="240"/>
      <c r="F10" s="240"/>
      <c r="G10" s="240"/>
      <c r="H10" s="240"/>
      <c r="I10" s="240"/>
    </row>
    <row r="11" spans="1:9" ht="18" customHeight="1" x14ac:dyDescent="0.3">
      <c r="A11" s="240"/>
      <c r="B11" s="241"/>
      <c r="C11" s="240"/>
      <c r="D11" s="240"/>
      <c r="E11" s="240"/>
      <c r="F11" s="240"/>
      <c r="G11" s="240"/>
      <c r="H11" s="240"/>
      <c r="I11" s="240"/>
    </row>
    <row r="12" spans="1:9" ht="18" customHeight="1" x14ac:dyDescent="0.3">
      <c r="A12" s="240"/>
      <c r="B12" s="241"/>
      <c r="C12" s="240"/>
      <c r="D12" s="240"/>
      <c r="E12" s="240"/>
      <c r="F12" s="240"/>
      <c r="G12" s="240"/>
      <c r="H12" s="240"/>
      <c r="I12" s="240"/>
    </row>
    <row r="13" spans="1:9" ht="18" customHeight="1" x14ac:dyDescent="0.3">
      <c r="A13" s="240"/>
      <c r="B13" s="241"/>
      <c r="C13" s="240"/>
      <c r="D13" s="240"/>
      <c r="E13" s="240"/>
      <c r="F13" s="240"/>
      <c r="G13" s="240"/>
      <c r="H13" s="240"/>
      <c r="I13" s="240"/>
    </row>
    <row r="14" spans="1:9" ht="18" customHeight="1" x14ac:dyDescent="0.3">
      <c r="A14" s="240"/>
      <c r="B14" s="241"/>
      <c r="C14" s="240"/>
      <c r="D14" s="240"/>
      <c r="E14" s="240"/>
      <c r="F14" s="240"/>
      <c r="G14" s="240"/>
      <c r="H14" s="240"/>
      <c r="I14" s="240"/>
    </row>
    <row r="15" spans="1:9" ht="18" customHeight="1" x14ac:dyDescent="0.3">
      <c r="A15" s="240"/>
      <c r="B15" s="241"/>
      <c r="C15" s="240"/>
      <c r="D15" s="240"/>
      <c r="E15" s="240"/>
      <c r="F15" s="240"/>
      <c r="G15" s="240"/>
      <c r="H15" s="240"/>
      <c r="I15" s="240"/>
    </row>
    <row r="16" spans="1:9" ht="18" customHeight="1" x14ac:dyDescent="0.3">
      <c r="B16" s="241"/>
      <c r="C16" s="240"/>
      <c r="D16" s="240"/>
      <c r="E16" s="240"/>
      <c r="F16" s="240"/>
      <c r="G16" s="240"/>
    </row>
    <row r="17" spans="2:7" ht="18" customHeight="1" x14ac:dyDescent="0.3">
      <c r="B17" s="241"/>
      <c r="C17" s="240"/>
      <c r="D17" s="240"/>
      <c r="E17" s="240"/>
      <c r="F17" s="240"/>
      <c r="G17" s="240"/>
    </row>
    <row r="18" spans="2:7" ht="18" customHeight="1" x14ac:dyDescent="0.3">
      <c r="B18" s="241"/>
      <c r="C18" s="240"/>
      <c r="D18" s="240"/>
      <c r="E18" s="240"/>
      <c r="F18" s="240"/>
      <c r="G18" s="240"/>
    </row>
    <row r="19" spans="2:7" ht="18" customHeight="1" x14ac:dyDescent="0.3">
      <c r="B19" s="241"/>
      <c r="C19" s="240"/>
      <c r="D19" s="240"/>
      <c r="E19" s="240"/>
      <c r="F19" s="240"/>
      <c r="G19" s="240"/>
    </row>
    <row r="20" spans="2:7" ht="18" customHeight="1" x14ac:dyDescent="0.3">
      <c r="B20" s="241"/>
      <c r="C20" s="240"/>
      <c r="D20" s="240"/>
      <c r="E20" s="240"/>
      <c r="F20" s="240"/>
      <c r="G20" s="240"/>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0"/>
      <c r="B2" s="240"/>
      <c r="C2" s="240"/>
      <c r="D2" s="240"/>
      <c r="E2" s="240"/>
      <c r="F2" s="240"/>
      <c r="G2" s="240"/>
      <c r="H2" s="240"/>
      <c r="I2" s="240"/>
      <c r="J2" s="240"/>
      <c r="K2" s="241"/>
      <c r="L2" s="241"/>
      <c r="M2" s="241"/>
      <c r="N2" s="241"/>
      <c r="O2" s="241"/>
      <c r="P2" s="241"/>
      <c r="Q2" s="241"/>
      <c r="R2" s="241"/>
      <c r="S2" s="241"/>
      <c r="T2" s="241"/>
      <c r="U2" s="241"/>
      <c r="V2" s="241"/>
    </row>
    <row r="3" spans="1:22" s="46" customFormat="1" ht="18" customHeight="1" x14ac:dyDescent="0.3">
      <c r="A3" s="299">
        <v>0</v>
      </c>
      <c r="B3" s="299">
        <f t="shared" ref="B3:I3" si="0">+A3+1</f>
        <v>1</v>
      </c>
      <c r="C3" s="299">
        <f t="shared" si="0"/>
        <v>2</v>
      </c>
      <c r="D3" s="299">
        <f t="shared" si="0"/>
        <v>3</v>
      </c>
      <c r="E3" s="299">
        <f t="shared" si="0"/>
        <v>4</v>
      </c>
      <c r="F3" s="299">
        <f t="shared" si="0"/>
        <v>5</v>
      </c>
      <c r="G3" s="299">
        <f t="shared" si="0"/>
        <v>6</v>
      </c>
      <c r="H3" s="299">
        <f t="shared" si="0"/>
        <v>7</v>
      </c>
      <c r="I3" s="299">
        <f t="shared" si="0"/>
        <v>8</v>
      </c>
      <c r="J3" s="299"/>
      <c r="K3" s="300"/>
      <c r="L3" s="300"/>
      <c r="M3" s="300"/>
      <c r="N3" s="300"/>
      <c r="O3" s="300"/>
      <c r="P3" s="300"/>
      <c r="Q3" s="300"/>
      <c r="R3" s="300"/>
      <c r="S3" s="300"/>
      <c r="T3" s="300"/>
      <c r="U3" s="300"/>
      <c r="V3" s="300"/>
    </row>
    <row r="4" spans="1:22" ht="18" customHeight="1" x14ac:dyDescent="0.3">
      <c r="A4" s="240"/>
      <c r="B4" s="7" t="s">
        <v>855</v>
      </c>
      <c r="C4" s="7" t="s">
        <v>659</v>
      </c>
      <c r="D4" s="7" t="s">
        <v>856</v>
      </c>
      <c r="E4" s="7" t="s">
        <v>789</v>
      </c>
      <c r="F4" s="7" t="s">
        <v>790</v>
      </c>
      <c r="G4" s="7" t="s">
        <v>857</v>
      </c>
      <c r="H4" s="46" t="s">
        <v>858</v>
      </c>
      <c r="I4" s="46" t="s">
        <v>859</v>
      </c>
      <c r="J4" s="7" t="s">
        <v>873</v>
      </c>
      <c r="K4" s="241"/>
      <c r="L4" s="241"/>
      <c r="M4" s="241"/>
      <c r="N4" s="241"/>
      <c r="O4" s="241"/>
      <c r="P4" s="241"/>
      <c r="Q4" s="241"/>
      <c r="R4" s="241"/>
      <c r="S4" s="241"/>
      <c r="T4" s="241"/>
      <c r="U4" s="241"/>
      <c r="V4" s="241"/>
    </row>
    <row r="5" spans="1:22" ht="18" customHeight="1" x14ac:dyDescent="0.3">
      <c r="A5" s="240"/>
      <c r="B5" s="240"/>
      <c r="C5" s="240"/>
      <c r="D5" s="242"/>
      <c r="E5" s="242"/>
      <c r="F5" s="45"/>
      <c r="G5" s="247"/>
      <c r="H5" s="268">
        <f>IF(ISBLANK(Table_DauTu[[#This Row],[Thời hạn (tháng)]]),0,
Table_DauTu[[#This Row],[Kỳ đầu tư]] + ROUND(Table_DauTu[[#This Row],[Thời hạn (tháng)]] * (365.25/12),0))</f>
        <v>0</v>
      </c>
      <c r="I5" s="464">
        <f>IF(ISBLANK(Table_DauTu[[#This Row],[Lãi suất (năm)]]),0,Table_DauTu[[#This Row],[Giá trị đầu tư]]* Table_DauTu[[#This Row],[Lãi suất (năm)]]/12)</f>
        <v>0</v>
      </c>
      <c r="J5" s="240"/>
      <c r="K5" s="241"/>
      <c r="L5" s="241"/>
      <c r="M5" s="241"/>
      <c r="N5" s="241"/>
      <c r="O5" s="241"/>
      <c r="P5" s="241"/>
      <c r="Q5" s="241"/>
      <c r="R5" s="241"/>
      <c r="S5" s="241"/>
      <c r="T5" s="241"/>
      <c r="U5" s="241"/>
      <c r="V5" s="241"/>
    </row>
    <row r="6" spans="1:22" ht="18" customHeight="1" x14ac:dyDescent="0.3">
      <c r="A6" s="240"/>
      <c r="B6" s="240"/>
      <c r="C6" s="240"/>
      <c r="D6" s="240"/>
      <c r="E6" s="240"/>
      <c r="F6" s="240"/>
      <c r="G6" s="240"/>
      <c r="H6" s="240"/>
      <c r="I6" s="240"/>
      <c r="J6" s="240"/>
      <c r="K6" s="241"/>
      <c r="L6" s="241"/>
      <c r="M6" s="241"/>
      <c r="N6" s="241"/>
      <c r="O6" s="241"/>
      <c r="P6" s="241"/>
      <c r="Q6" s="241"/>
      <c r="R6" s="241"/>
      <c r="S6" s="241"/>
      <c r="T6" s="241"/>
      <c r="U6" s="241"/>
      <c r="V6" s="241"/>
    </row>
    <row r="7" spans="1:22" ht="18" customHeight="1" x14ac:dyDescent="0.3">
      <c r="A7" s="240"/>
      <c r="B7" s="240"/>
      <c r="C7" s="240"/>
      <c r="D7" s="240"/>
      <c r="E7" s="240"/>
      <c r="F7" s="240"/>
      <c r="G7" s="240"/>
      <c r="H7" s="240"/>
      <c r="I7" s="240"/>
      <c r="J7" s="240"/>
      <c r="K7" s="241"/>
      <c r="L7" s="241"/>
      <c r="M7" s="241"/>
      <c r="N7" s="241"/>
      <c r="O7" s="241"/>
      <c r="P7" s="241"/>
      <c r="Q7" s="241"/>
      <c r="R7" s="241"/>
      <c r="S7" s="241"/>
      <c r="T7" s="241"/>
      <c r="U7" s="241"/>
      <c r="V7" s="241"/>
    </row>
    <row r="8" spans="1:22" ht="18" customHeight="1" x14ac:dyDescent="0.3">
      <c r="A8" s="240"/>
      <c r="B8" s="240"/>
      <c r="C8" s="240"/>
      <c r="D8" s="240"/>
      <c r="E8" s="240"/>
      <c r="F8" s="240"/>
      <c r="G8" s="240"/>
      <c r="H8" s="240"/>
      <c r="I8" s="240"/>
      <c r="J8" s="240"/>
      <c r="K8" s="241"/>
      <c r="L8" s="241"/>
      <c r="M8" s="241"/>
      <c r="N8" s="241"/>
      <c r="O8" s="241"/>
      <c r="P8" s="241"/>
      <c r="Q8" s="241"/>
      <c r="R8" s="241"/>
      <c r="S8" s="241"/>
      <c r="T8" s="241"/>
      <c r="U8" s="241"/>
      <c r="V8" s="241"/>
    </row>
    <row r="9" spans="1:22" ht="18" customHeight="1" x14ac:dyDescent="0.3">
      <c r="A9" s="240"/>
      <c r="B9" s="240"/>
      <c r="C9" s="240"/>
      <c r="D9" s="240"/>
      <c r="E9" s="240"/>
      <c r="F9" s="240"/>
      <c r="G9" s="240"/>
      <c r="H9" s="240"/>
      <c r="I9" s="240"/>
      <c r="J9" s="240"/>
      <c r="K9" s="241"/>
      <c r="L9" s="241"/>
      <c r="M9" s="241"/>
      <c r="N9" s="241"/>
      <c r="O9" s="241"/>
      <c r="P9" s="241"/>
      <c r="Q9" s="241"/>
      <c r="R9" s="241"/>
      <c r="S9" s="241"/>
      <c r="T9" s="241"/>
      <c r="U9" s="241"/>
      <c r="V9" s="241"/>
    </row>
    <row r="10" spans="1:22" ht="18" customHeight="1" x14ac:dyDescent="0.3">
      <c r="A10" s="240"/>
      <c r="B10" s="240"/>
      <c r="C10" s="240"/>
      <c r="D10" s="240"/>
      <c r="E10" s="240"/>
      <c r="F10" s="240"/>
      <c r="G10" s="240"/>
      <c r="H10" s="240"/>
      <c r="I10" s="240"/>
      <c r="J10" s="240"/>
      <c r="K10" s="241"/>
      <c r="L10" s="241"/>
      <c r="M10" s="241"/>
      <c r="N10" s="241"/>
      <c r="O10" s="241"/>
      <c r="P10" s="241"/>
      <c r="Q10" s="241"/>
      <c r="R10" s="241"/>
      <c r="S10" s="241"/>
      <c r="T10" s="241"/>
      <c r="U10" s="241"/>
      <c r="V10" s="241"/>
    </row>
    <row r="11" spans="1:22" ht="18" customHeight="1" x14ac:dyDescent="0.3">
      <c r="A11" s="240"/>
      <c r="B11" s="240"/>
      <c r="C11" s="240"/>
      <c r="D11" s="240"/>
      <c r="E11" s="240"/>
      <c r="F11" s="240"/>
      <c r="G11" s="240"/>
      <c r="H11" s="240"/>
      <c r="I11" s="240"/>
      <c r="J11" s="240"/>
      <c r="K11" s="241"/>
      <c r="L11" s="241"/>
      <c r="M11" s="241"/>
      <c r="N11" s="241"/>
      <c r="O11" s="241"/>
      <c r="P11" s="241"/>
      <c r="Q11" s="241"/>
      <c r="R11" s="241"/>
      <c r="S11" s="241"/>
      <c r="T11" s="241"/>
      <c r="U11" s="241"/>
      <c r="V11" s="241"/>
    </row>
    <row r="12" spans="1:22" ht="18" customHeight="1" x14ac:dyDescent="0.3">
      <c r="A12" s="240"/>
      <c r="B12" s="240"/>
      <c r="C12" s="240"/>
      <c r="D12" s="240"/>
      <c r="E12" s="240"/>
      <c r="F12" s="240"/>
      <c r="G12" s="240"/>
      <c r="H12" s="240"/>
      <c r="I12" s="240"/>
      <c r="J12" s="240"/>
      <c r="K12" s="241"/>
      <c r="L12" s="241"/>
      <c r="M12" s="241"/>
      <c r="N12" s="241"/>
      <c r="O12" s="241"/>
      <c r="P12" s="241"/>
      <c r="Q12" s="241"/>
      <c r="R12" s="241"/>
      <c r="S12" s="241"/>
      <c r="T12" s="241"/>
      <c r="U12" s="241"/>
      <c r="V12" s="241"/>
    </row>
    <row r="13" spans="1:22" ht="18" customHeight="1" x14ac:dyDescent="0.3">
      <c r="A13" s="240"/>
      <c r="B13" s="240"/>
      <c r="C13" s="240"/>
      <c r="D13" s="240"/>
      <c r="E13" s="240"/>
      <c r="F13" s="240"/>
      <c r="G13" s="240"/>
      <c r="H13" s="240"/>
      <c r="I13" s="240"/>
      <c r="J13" s="240"/>
      <c r="K13" s="241"/>
      <c r="L13" s="241"/>
      <c r="M13" s="241"/>
      <c r="N13" s="241"/>
      <c r="O13" s="241"/>
      <c r="P13" s="241"/>
      <c r="Q13" s="241"/>
      <c r="R13" s="241"/>
      <c r="S13" s="241"/>
      <c r="T13" s="241"/>
      <c r="U13" s="241"/>
      <c r="V13" s="241"/>
    </row>
    <row r="14" spans="1:22" ht="18" customHeight="1" x14ac:dyDescent="0.3">
      <c r="A14" s="240"/>
      <c r="B14" s="240"/>
      <c r="C14" s="240"/>
      <c r="D14" s="240"/>
      <c r="E14" s="240"/>
      <c r="F14" s="240"/>
      <c r="G14" s="240"/>
      <c r="H14" s="240"/>
      <c r="I14" s="240"/>
      <c r="J14" s="240"/>
      <c r="K14" s="241"/>
      <c r="L14" s="241"/>
      <c r="M14" s="241"/>
      <c r="N14" s="241"/>
      <c r="O14" s="241"/>
      <c r="P14" s="241"/>
      <c r="Q14" s="241"/>
      <c r="R14" s="241"/>
      <c r="S14" s="241"/>
      <c r="T14" s="241"/>
      <c r="U14" s="241"/>
      <c r="V14" s="241"/>
    </row>
    <row r="15" spans="1:22" ht="18" customHeight="1" x14ac:dyDescent="0.3">
      <c r="A15" s="240"/>
      <c r="B15" s="240"/>
      <c r="C15" s="240"/>
      <c r="D15" s="240"/>
      <c r="E15" s="240"/>
      <c r="F15" s="240"/>
      <c r="G15" s="240"/>
      <c r="H15" s="240"/>
      <c r="I15" s="240"/>
      <c r="J15" s="240"/>
      <c r="K15" s="241"/>
      <c r="L15" s="241"/>
      <c r="M15" s="241"/>
      <c r="N15" s="241"/>
      <c r="O15" s="241"/>
      <c r="P15" s="241"/>
      <c r="Q15" s="241"/>
      <c r="R15" s="241"/>
      <c r="S15" s="241"/>
      <c r="T15" s="241"/>
      <c r="U15" s="241"/>
      <c r="V15" s="241"/>
    </row>
    <row r="16" spans="1:22" ht="18" customHeight="1" x14ac:dyDescent="0.3">
      <c r="A16" s="240"/>
      <c r="B16" s="240"/>
      <c r="C16" s="240"/>
      <c r="D16" s="240"/>
      <c r="E16" s="240"/>
      <c r="F16" s="240"/>
      <c r="G16" s="240"/>
      <c r="H16" s="240"/>
      <c r="I16" s="240"/>
      <c r="J16" s="240"/>
      <c r="K16" s="241"/>
      <c r="L16" s="241"/>
      <c r="M16" s="241"/>
      <c r="N16" s="241"/>
      <c r="O16" s="241"/>
      <c r="P16" s="241"/>
      <c r="Q16" s="241"/>
      <c r="R16" s="241"/>
      <c r="S16" s="241"/>
      <c r="T16" s="241"/>
      <c r="U16" s="241"/>
      <c r="V16" s="241"/>
    </row>
    <row r="17" spans="1:22" ht="18" customHeight="1" x14ac:dyDescent="0.3">
      <c r="A17" s="240"/>
      <c r="B17" s="240"/>
      <c r="C17" s="240"/>
      <c r="D17" s="240"/>
      <c r="E17" s="240"/>
      <c r="F17" s="240"/>
      <c r="G17" s="240"/>
      <c r="H17" s="240"/>
      <c r="I17" s="240"/>
      <c r="J17" s="240"/>
      <c r="K17" s="241"/>
      <c r="L17" s="241"/>
      <c r="M17" s="241"/>
      <c r="N17" s="241"/>
      <c r="O17" s="241"/>
      <c r="P17" s="241"/>
      <c r="Q17" s="241"/>
      <c r="R17" s="241"/>
      <c r="S17" s="241"/>
      <c r="T17" s="241"/>
      <c r="U17" s="241"/>
      <c r="V17" s="241"/>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topLeftCell="B1" workbookViewId="0">
      <selection activeCell="K12" sqref="K12"/>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299">
        <v>0</v>
      </c>
      <c r="B3" s="299">
        <f t="shared" ref="B3:D3" si="0">+A3+1</f>
        <v>1</v>
      </c>
      <c r="C3" s="299">
        <f t="shared" si="0"/>
        <v>2</v>
      </c>
      <c r="D3" s="299">
        <f t="shared" si="0"/>
        <v>3</v>
      </c>
      <c r="E3" s="299">
        <f t="shared" ref="E3" si="1">+D3+1</f>
        <v>4</v>
      </c>
      <c r="F3" s="299">
        <f t="shared" ref="F3" si="2">+E3+1</f>
        <v>5</v>
      </c>
      <c r="G3" s="299">
        <f t="shared" ref="G3" si="3">+F3+1</f>
        <v>6</v>
      </c>
      <c r="H3" s="299">
        <f t="shared" ref="H3" si="4">+G3+1</f>
        <v>7</v>
      </c>
      <c r="I3" s="299">
        <f t="shared" ref="I3" si="5">+H3+1</f>
        <v>8</v>
      </c>
      <c r="J3" s="299">
        <f t="shared" ref="J3" si="6">+I3+1</f>
        <v>9</v>
      </c>
      <c r="K3" s="299">
        <f t="shared" ref="K3" si="7">+J3+1</f>
        <v>10</v>
      </c>
      <c r="L3" s="299">
        <f t="shared" ref="L3" si="8">+K3+1</f>
        <v>11</v>
      </c>
      <c r="M3" s="299"/>
      <c r="N3" s="300"/>
      <c r="O3" s="300"/>
      <c r="P3" s="300"/>
      <c r="Q3" s="300"/>
      <c r="R3" s="300"/>
      <c r="S3" s="300"/>
      <c r="T3" s="300"/>
      <c r="U3" s="300"/>
      <c r="V3" s="300"/>
      <c r="W3" s="300"/>
      <c r="X3" s="300"/>
      <c r="Y3" s="300"/>
      <c r="Z3" s="300"/>
      <c r="AA3" s="300"/>
      <c r="AB3" s="300"/>
    </row>
    <row r="4" spans="1:28" ht="18" customHeight="1" x14ac:dyDescent="0.3">
      <c r="A4" s="240"/>
      <c r="B4" s="7" t="s">
        <v>786</v>
      </c>
      <c r="C4" s="7" t="s">
        <v>787</v>
      </c>
      <c r="D4" s="7" t="s">
        <v>882</v>
      </c>
      <c r="E4" s="7" t="s">
        <v>1002</v>
      </c>
      <c r="F4" s="7" t="s">
        <v>788</v>
      </c>
      <c r="G4" s="7" t="s">
        <v>789</v>
      </c>
      <c r="H4" s="7" t="s">
        <v>790</v>
      </c>
      <c r="I4" s="7" t="s">
        <v>655</v>
      </c>
      <c r="J4" s="7" t="s">
        <v>791</v>
      </c>
      <c r="K4" s="46" t="s">
        <v>792</v>
      </c>
      <c r="L4" s="46" t="s">
        <v>793</v>
      </c>
      <c r="M4" s="7" t="s">
        <v>873</v>
      </c>
      <c r="N4" s="241"/>
      <c r="O4" s="241"/>
      <c r="P4" s="241"/>
      <c r="Q4" s="241"/>
      <c r="R4" s="241"/>
      <c r="S4" s="241"/>
      <c r="T4" s="241"/>
      <c r="U4" s="241"/>
      <c r="V4" s="241"/>
      <c r="W4" s="241"/>
      <c r="X4" s="241"/>
      <c r="Y4" s="241"/>
      <c r="Z4" s="241"/>
      <c r="AA4" s="241"/>
      <c r="AB4" s="241"/>
    </row>
    <row r="5" spans="1:28" ht="18" customHeight="1" x14ac:dyDescent="0.3">
      <c r="A5" s="240"/>
      <c r="B5" s="240" t="s">
        <v>1092</v>
      </c>
      <c r="C5" s="240" t="s">
        <v>1093</v>
      </c>
      <c r="D5" s="242">
        <v>100000000</v>
      </c>
      <c r="E5" s="15" t="s">
        <v>1094</v>
      </c>
      <c r="F5" s="242"/>
      <c r="G5" s="242">
        <v>3</v>
      </c>
      <c r="H5" s="45">
        <v>0.06</v>
      </c>
      <c r="I5" s="389">
        <v>45869</v>
      </c>
      <c r="J5" s="389"/>
      <c r="K5"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0"/>
      <c r="N5" s="241"/>
      <c r="O5" s="241"/>
      <c r="P5" s="241"/>
      <c r="Q5" s="241"/>
      <c r="R5" s="241"/>
      <c r="S5" s="241"/>
      <c r="T5" s="241"/>
      <c r="U5" s="241"/>
      <c r="V5" s="241"/>
      <c r="W5" s="241"/>
      <c r="X5" s="241"/>
      <c r="Y5" s="241"/>
      <c r="Z5" s="241"/>
      <c r="AA5" s="241"/>
      <c r="AB5" s="241"/>
    </row>
    <row r="6" spans="1:28" ht="18" customHeight="1" x14ac:dyDescent="0.3">
      <c r="A6" s="240"/>
      <c r="B6" s="240" t="s">
        <v>1095</v>
      </c>
      <c r="C6" s="240" t="s">
        <v>1096</v>
      </c>
      <c r="D6" s="242">
        <v>650000000</v>
      </c>
      <c r="E6" s="15" t="s">
        <v>1094</v>
      </c>
      <c r="F6" s="242"/>
      <c r="G6" s="242">
        <v>12</v>
      </c>
      <c r="H6" s="45">
        <v>0.08</v>
      </c>
      <c r="I6" s="389">
        <v>45792</v>
      </c>
      <c r="J6" s="389"/>
      <c r="K6"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0"/>
      <c r="N6" s="241"/>
      <c r="O6" s="241"/>
      <c r="P6" s="241"/>
      <c r="Q6" s="241"/>
      <c r="R6" s="241"/>
      <c r="S6" s="241"/>
      <c r="T6" s="241"/>
      <c r="U6" s="241"/>
      <c r="V6" s="241"/>
      <c r="W6" s="241"/>
      <c r="X6" s="241"/>
      <c r="Y6" s="241"/>
      <c r="Z6" s="241"/>
      <c r="AA6" s="241"/>
      <c r="AB6" s="241"/>
    </row>
    <row r="7" spans="1:28" ht="18" customHeight="1" x14ac:dyDescent="0.3">
      <c r="A7" s="240"/>
      <c r="B7" s="240" t="s">
        <v>1097</v>
      </c>
      <c r="C7" s="240" t="s">
        <v>1098</v>
      </c>
      <c r="D7" s="242">
        <v>200000000</v>
      </c>
      <c r="E7" s="15" t="s">
        <v>1099</v>
      </c>
      <c r="F7" s="242"/>
      <c r="G7" s="242">
        <v>6</v>
      </c>
      <c r="H7" s="45">
        <v>7.0000000000000007E-2</v>
      </c>
      <c r="I7" s="389">
        <v>45718</v>
      </c>
      <c r="J7" s="389">
        <v>45749</v>
      </c>
      <c r="K7"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0"/>
      <c r="N7" s="241"/>
      <c r="O7" s="241"/>
      <c r="P7" s="241"/>
      <c r="Q7" s="241"/>
      <c r="R7" s="241"/>
      <c r="S7" s="241"/>
      <c r="T7" s="241"/>
      <c r="U7" s="241"/>
      <c r="V7" s="241"/>
      <c r="W7" s="241"/>
      <c r="X7" s="241"/>
      <c r="Y7" s="241"/>
      <c r="Z7" s="241"/>
      <c r="AA7" s="241"/>
      <c r="AB7" s="241"/>
    </row>
    <row r="8" spans="1:28" ht="18" customHeight="1" x14ac:dyDescent="0.3">
      <c r="A8" s="240"/>
      <c r="B8" s="240" t="s">
        <v>1100</v>
      </c>
      <c r="C8" s="240" t="s">
        <v>997</v>
      </c>
      <c r="D8" s="242">
        <v>5000000000</v>
      </c>
      <c r="E8" s="15" t="s">
        <v>1101</v>
      </c>
      <c r="F8" s="242">
        <v>3</v>
      </c>
      <c r="G8" s="242"/>
      <c r="H8" s="45">
        <v>0.1</v>
      </c>
      <c r="I8" s="389">
        <v>45346</v>
      </c>
      <c r="J8" s="389">
        <v>45712</v>
      </c>
      <c r="K8" s="432">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0"/>
      <c r="N8" s="241"/>
      <c r="O8" s="241"/>
      <c r="P8" s="241"/>
      <c r="Q8" s="241"/>
      <c r="R8" s="241"/>
      <c r="S8" s="241"/>
      <c r="T8" s="241"/>
      <c r="U8" s="241"/>
      <c r="V8" s="241"/>
      <c r="W8" s="241"/>
      <c r="X8" s="241"/>
      <c r="Y8" s="241"/>
      <c r="Z8" s="241"/>
      <c r="AA8" s="241"/>
      <c r="AB8" s="241"/>
    </row>
    <row r="9" spans="1:28" ht="18" customHeight="1" x14ac:dyDescent="0.3">
      <c r="B9" s="240"/>
      <c r="C9" s="240"/>
      <c r="D9" s="240"/>
      <c r="E9" s="240"/>
      <c r="F9" s="240"/>
      <c r="G9" s="240"/>
      <c r="H9" s="240"/>
      <c r="I9" s="240"/>
      <c r="J9" s="240"/>
      <c r="K9" s="240"/>
      <c r="L9" s="240"/>
      <c r="M9" s="240"/>
    </row>
    <row r="10" spans="1:28" ht="18" customHeight="1" x14ac:dyDescent="0.3">
      <c r="B10" s="240"/>
      <c r="C10" s="240"/>
      <c r="D10" s="240"/>
      <c r="E10" s="240"/>
      <c r="F10" s="240"/>
      <c r="G10" s="240"/>
      <c r="H10" s="240"/>
      <c r="I10" s="240"/>
      <c r="J10" s="240"/>
      <c r="K10" s="240"/>
      <c r="L10" s="240"/>
      <c r="M10" s="240"/>
    </row>
    <row r="11" spans="1:28" ht="18" customHeight="1" x14ac:dyDescent="0.3">
      <c r="B11" s="240"/>
      <c r="C11" s="240"/>
      <c r="D11" s="240"/>
      <c r="E11" s="240"/>
      <c r="F11" s="240"/>
      <c r="G11" s="240"/>
      <c r="H11" s="240"/>
      <c r="I11" s="240"/>
      <c r="J11" s="240"/>
      <c r="K11" s="240"/>
      <c r="L11" s="240"/>
      <c r="M11" s="263"/>
    </row>
    <row r="12" spans="1:28" ht="18" customHeight="1" x14ac:dyDescent="0.3">
      <c r="B12" s="240"/>
      <c r="C12" s="240"/>
      <c r="D12" s="240"/>
      <c r="E12" s="240"/>
      <c r="F12" s="240"/>
      <c r="G12" s="240"/>
      <c r="H12" s="240"/>
      <c r="I12" s="240"/>
      <c r="J12" s="240"/>
      <c r="K12" s="240"/>
      <c r="L12" s="240"/>
      <c r="M12" s="263"/>
    </row>
    <row r="13" spans="1:28" ht="18" customHeight="1" x14ac:dyDescent="0.3">
      <c r="B13" s="240"/>
      <c r="C13" s="240"/>
      <c r="D13" s="240"/>
      <c r="E13" s="240"/>
      <c r="F13" s="240"/>
      <c r="G13" s="240"/>
      <c r="H13" s="240"/>
      <c r="I13" s="240"/>
      <c r="J13" s="240"/>
      <c r="K13" s="240"/>
      <c r="L13" s="240"/>
      <c r="M13" s="263"/>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48"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299">
        <v>0</v>
      </c>
      <c r="B3" s="299">
        <f>+A3+1</f>
        <v>1</v>
      </c>
      <c r="C3" s="299">
        <f t="shared" ref="C3:J3" si="0">+B3+1</f>
        <v>2</v>
      </c>
      <c r="D3" s="299">
        <f t="shared" si="0"/>
        <v>3</v>
      </c>
      <c r="E3" s="299">
        <f t="shared" si="0"/>
        <v>4</v>
      </c>
      <c r="F3" s="299">
        <f t="shared" si="0"/>
        <v>5</v>
      </c>
      <c r="G3" s="299">
        <f t="shared" si="0"/>
        <v>6</v>
      </c>
      <c r="H3" s="299">
        <f t="shared" si="0"/>
        <v>7</v>
      </c>
      <c r="I3" s="299">
        <f t="shared" si="0"/>
        <v>8</v>
      </c>
      <c r="J3" s="299">
        <f t="shared" si="0"/>
        <v>9</v>
      </c>
      <c r="K3" s="299"/>
    </row>
    <row r="4" spans="1:11" ht="18" customHeight="1" x14ac:dyDescent="0.3">
      <c r="A4" s="240"/>
      <c r="B4" s="7" t="s">
        <v>779</v>
      </c>
      <c r="C4" s="7" t="s">
        <v>780</v>
      </c>
      <c r="D4" s="7" t="s">
        <v>880</v>
      </c>
      <c r="E4" s="7" t="s">
        <v>881</v>
      </c>
      <c r="F4" s="7" t="s">
        <v>781</v>
      </c>
      <c r="G4" s="7" t="s">
        <v>782</v>
      </c>
      <c r="H4" s="7" t="s">
        <v>783</v>
      </c>
      <c r="I4" s="7" t="s">
        <v>784</v>
      </c>
      <c r="J4" s="7" t="s">
        <v>785</v>
      </c>
      <c r="K4" s="7" t="s">
        <v>873</v>
      </c>
    </row>
    <row r="5" spans="1:11" ht="18" customHeight="1" x14ac:dyDescent="0.3">
      <c r="A5" s="240"/>
      <c r="B5" s="240"/>
      <c r="C5" s="240"/>
      <c r="D5" s="242"/>
      <c r="E5" s="242">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0"/>
      <c r="I5" s="240"/>
      <c r="J5" s="240"/>
      <c r="K5" s="240"/>
    </row>
    <row r="6" spans="1:11" ht="18" customHeight="1" x14ac:dyDescent="0.3">
      <c r="A6" s="240"/>
      <c r="B6" s="240"/>
      <c r="C6" s="240"/>
      <c r="D6" s="240"/>
      <c r="E6" s="240"/>
      <c r="F6" s="240"/>
      <c r="G6" s="240"/>
      <c r="H6" s="240"/>
      <c r="I6" s="240"/>
      <c r="J6" s="240"/>
      <c r="K6" s="240"/>
    </row>
    <row r="7" spans="1:11" ht="18" customHeight="1" x14ac:dyDescent="0.3">
      <c r="A7" s="240"/>
      <c r="B7" s="240"/>
      <c r="C7" s="240"/>
      <c r="D7" s="240"/>
      <c r="E7" s="240"/>
      <c r="F7" s="240"/>
      <c r="G7" s="240"/>
      <c r="H7" s="240"/>
      <c r="I7" s="240"/>
      <c r="J7" s="240"/>
      <c r="K7" s="240"/>
    </row>
    <row r="8" spans="1:11" ht="18" customHeight="1" x14ac:dyDescent="0.3">
      <c r="A8" s="240"/>
      <c r="B8" s="240"/>
      <c r="C8" s="240"/>
      <c r="D8" s="240"/>
      <c r="E8" s="240"/>
      <c r="F8" s="240"/>
      <c r="G8" s="240"/>
      <c r="H8" s="240"/>
      <c r="I8" s="240"/>
      <c r="J8" s="240"/>
      <c r="K8" s="240"/>
    </row>
    <row r="9" spans="1:11" ht="18" customHeight="1" x14ac:dyDescent="0.3">
      <c r="A9" s="240"/>
      <c r="B9" s="240"/>
      <c r="C9" s="240"/>
      <c r="D9" s="240"/>
      <c r="E9" s="240"/>
      <c r="F9" s="240"/>
      <c r="G9" s="240"/>
      <c r="H9" s="240"/>
      <c r="I9" s="240"/>
      <c r="J9" s="240"/>
      <c r="K9" s="240"/>
    </row>
    <row r="10" spans="1:11" ht="18" customHeight="1" x14ac:dyDescent="0.3">
      <c r="A10" s="240"/>
      <c r="B10" s="240"/>
      <c r="C10" s="240"/>
      <c r="D10" s="240"/>
      <c r="E10" s="240"/>
      <c r="F10" s="240"/>
      <c r="G10" s="240"/>
      <c r="H10" s="240"/>
      <c r="I10" s="240"/>
      <c r="J10" s="240"/>
      <c r="K10" s="240"/>
    </row>
    <row r="11" spans="1:11" ht="18" customHeight="1" x14ac:dyDescent="0.3">
      <c r="A11" s="240"/>
      <c r="B11" s="240"/>
      <c r="C11" s="240"/>
      <c r="D11" s="240"/>
      <c r="E11" s="240"/>
      <c r="F11" s="240"/>
      <c r="G11" s="240"/>
      <c r="H11" s="240"/>
      <c r="I11" s="240"/>
      <c r="J11" s="240"/>
      <c r="K11" s="240"/>
    </row>
    <row r="12" spans="1:11" ht="18" customHeight="1" x14ac:dyDescent="0.3">
      <c r="A12" s="240"/>
      <c r="B12" s="240"/>
      <c r="C12" s="240"/>
      <c r="D12" s="240"/>
      <c r="E12" s="240"/>
      <c r="F12" s="240"/>
      <c r="G12" s="240"/>
      <c r="H12" s="240"/>
      <c r="I12" s="240"/>
      <c r="J12" s="240"/>
      <c r="K12" s="240"/>
    </row>
    <row r="13" spans="1:11" ht="18" customHeight="1" x14ac:dyDescent="0.3">
      <c r="A13" s="240"/>
      <c r="B13" s="240"/>
      <c r="C13" s="240"/>
      <c r="D13" s="240"/>
      <c r="E13" s="240"/>
      <c r="F13" s="240"/>
      <c r="G13" s="240"/>
      <c r="H13" s="240"/>
      <c r="I13" s="240"/>
      <c r="J13" s="240"/>
      <c r="K13" s="240"/>
    </row>
    <row r="14" spans="1:11" ht="18" customHeight="1" x14ac:dyDescent="0.3">
      <c r="A14" s="240"/>
      <c r="B14" s="240"/>
      <c r="C14" s="240"/>
      <c r="D14" s="240"/>
      <c r="E14" s="240"/>
      <c r="F14" s="240"/>
      <c r="G14" s="240"/>
      <c r="H14" s="240"/>
      <c r="I14" s="240"/>
      <c r="J14" s="240"/>
      <c r="K14" s="240"/>
    </row>
    <row r="15" spans="1:11" ht="18" customHeight="1" x14ac:dyDescent="0.3">
      <c r="A15" s="240"/>
      <c r="B15" s="240"/>
      <c r="C15" s="240"/>
      <c r="D15" s="240"/>
      <c r="E15" s="240"/>
      <c r="F15" s="240"/>
      <c r="G15" s="240"/>
      <c r="H15" s="240"/>
      <c r="I15" s="240"/>
      <c r="J15" s="240"/>
      <c r="K15" s="240"/>
    </row>
    <row r="16" spans="1:11" ht="18" customHeight="1" x14ac:dyDescent="0.3">
      <c r="A16" s="240"/>
      <c r="B16" s="240"/>
      <c r="C16" s="240"/>
      <c r="D16" s="240"/>
      <c r="E16" s="240"/>
      <c r="F16" s="240"/>
      <c r="G16" s="240"/>
      <c r="H16" s="240"/>
      <c r="I16" s="240"/>
      <c r="J16" s="240"/>
      <c r="K16" s="240"/>
    </row>
    <row r="17" spans="1:11" ht="18" customHeight="1" x14ac:dyDescent="0.3">
      <c r="A17" s="240"/>
      <c r="B17" s="240"/>
      <c r="C17" s="240"/>
      <c r="D17" s="240"/>
      <c r="E17" s="240"/>
      <c r="F17" s="240"/>
      <c r="G17" s="240"/>
      <c r="H17" s="240"/>
      <c r="I17" s="240"/>
      <c r="J17" s="240"/>
      <c r="K17" s="240"/>
    </row>
    <row r="18" spans="1:11" ht="18" customHeight="1" x14ac:dyDescent="0.3">
      <c r="A18" s="240"/>
      <c r="B18" s="240"/>
      <c r="C18" s="240"/>
      <c r="D18" s="240"/>
      <c r="E18" s="240"/>
      <c r="F18" s="240"/>
      <c r="G18" s="240"/>
      <c r="H18" s="240"/>
      <c r="I18" s="240"/>
      <c r="J18" s="240"/>
      <c r="K18" s="240"/>
    </row>
    <row r="19" spans="1:11" ht="18" customHeight="1" x14ac:dyDescent="0.3">
      <c r="A19" s="240"/>
      <c r="B19" s="240"/>
      <c r="C19" s="240"/>
      <c r="D19" s="240"/>
      <c r="E19" s="240"/>
      <c r="F19" s="240"/>
      <c r="G19" s="240"/>
      <c r="H19" s="240"/>
      <c r="I19" s="240"/>
      <c r="J19" s="240"/>
      <c r="K19" s="240"/>
    </row>
    <row r="20" spans="1:11" ht="18" customHeight="1" x14ac:dyDescent="0.3">
      <c r="A20" s="240"/>
      <c r="B20" s="240"/>
      <c r="C20" s="240"/>
      <c r="D20" s="240"/>
      <c r="E20" s="240"/>
      <c r="F20" s="240"/>
      <c r="G20" s="240"/>
      <c r="H20" s="240"/>
      <c r="I20" s="240"/>
      <c r="J20" s="240"/>
      <c r="K20" s="240"/>
    </row>
    <row r="21" spans="1:11" ht="18" customHeight="1" x14ac:dyDescent="0.3">
      <c r="A21" s="240"/>
      <c r="B21" s="240"/>
      <c r="C21" s="240"/>
      <c r="D21" s="240"/>
      <c r="E21" s="240"/>
      <c r="F21" s="240"/>
      <c r="G21" s="240"/>
      <c r="H21" s="240"/>
      <c r="I21" s="240"/>
      <c r="J21" s="240"/>
      <c r="K21" s="240"/>
    </row>
    <row r="22" spans="1:11" ht="18" customHeight="1" x14ac:dyDescent="0.3">
      <c r="A22" s="240"/>
      <c r="B22" s="240"/>
      <c r="C22" s="240"/>
      <c r="D22" s="240"/>
      <c r="E22" s="240"/>
      <c r="F22" s="240"/>
      <c r="G22" s="240"/>
      <c r="H22" s="240"/>
      <c r="I22" s="240"/>
      <c r="J22" s="240"/>
      <c r="K22" s="240"/>
    </row>
    <row r="23" spans="1:11" ht="18" customHeight="1" x14ac:dyDescent="0.3">
      <c r="A23" s="240"/>
      <c r="B23" s="240"/>
      <c r="C23" s="240"/>
      <c r="D23" s="240"/>
      <c r="E23" s="240"/>
      <c r="F23" s="240"/>
      <c r="G23" s="240"/>
      <c r="H23" s="240"/>
      <c r="I23" s="240"/>
      <c r="J23" s="240"/>
      <c r="K23" s="240"/>
    </row>
    <row r="24" spans="1:11" ht="18" customHeight="1" x14ac:dyDescent="0.3">
      <c r="A24" s="240"/>
      <c r="B24" s="240"/>
      <c r="C24" s="240"/>
      <c r="D24" s="240"/>
      <c r="E24" s="240"/>
      <c r="F24" s="240"/>
      <c r="G24" s="240"/>
      <c r="H24" s="240"/>
      <c r="I24" s="240"/>
      <c r="J24" s="240"/>
      <c r="K24" s="240"/>
    </row>
    <row r="25" spans="1:11" ht="18" customHeight="1" x14ac:dyDescent="0.3">
      <c r="A25" s="240"/>
      <c r="B25" s="240"/>
      <c r="C25" s="240"/>
      <c r="D25" s="240"/>
      <c r="E25" s="240"/>
      <c r="F25" s="240"/>
      <c r="G25" s="240"/>
      <c r="H25" s="240"/>
      <c r="I25" s="240"/>
      <c r="J25" s="240"/>
      <c r="K25" s="240"/>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B1:V20"/>
  <sheetViews>
    <sheetView showGridLines="0" topLeftCell="J1" workbookViewId="0">
      <selection activeCell="O20" sqref="O20"/>
    </sheetView>
  </sheetViews>
  <sheetFormatPr defaultRowHeight="18" customHeight="1" outlineLevelRow="1" outlineLevelCol="2" x14ac:dyDescent="0.3"/>
  <cols>
    <col min="1" max="1" width="8" style="7" customWidth="1"/>
    <col min="2" max="2" width="5.375" style="7" customWidth="1" outlineLevel="1"/>
    <col min="3" max="3" width="10" style="7" customWidth="1" outlineLevel="1"/>
    <col min="4" max="4" width="5.625" style="7" customWidth="1" outlineLevel="1"/>
    <col min="5" max="5" width="6" style="7" customWidth="1" outlineLevel="1"/>
    <col min="6" max="6" width="7.125" style="7" customWidth="1" outlineLevel="1"/>
    <col min="7" max="7" width="10.25" style="7" bestFit="1" customWidth="1" outlineLevel="1"/>
    <col min="8" max="8" width="11.5" style="7" bestFit="1" customWidth="1" outlineLevel="1"/>
    <col min="9" max="9" width="27.375" style="38" customWidth="1" outlineLevel="1"/>
    <col min="10" max="10" width="12.375" style="38" bestFit="1" customWidth="1" outlineLevel="1"/>
    <col min="11" max="11" width="8" style="7" customWidth="1" outlineLevel="1"/>
    <col min="12" max="12" width="18" style="7" customWidth="1" outlineLevel="1"/>
    <col min="13" max="13" width="17.875" style="7" customWidth="1" outlineLevel="1"/>
    <col min="14" max="14" width="12.25" style="7" bestFit="1" customWidth="1" outlineLevel="1"/>
    <col min="15" max="15" width="14.5" style="7" customWidth="1" outlineLevel="2"/>
    <col min="16" max="16" width="11.875" style="7" customWidth="1" outlineLevel="1"/>
    <col min="17" max="17" width="8.125" style="7" customWidth="1" outlineLevel="1"/>
    <col min="18" max="18" width="14.375" style="7" customWidth="1" outlineLevel="2"/>
    <col min="19" max="19" width="6.75" style="7" customWidth="1" outlineLevel="1" collapsed="1"/>
    <col min="20" max="20" width="8.125" style="7" customWidth="1" outlineLevel="1"/>
    <col min="21" max="21" width="6.75" style="7" bestFit="1" customWidth="1"/>
    <col min="22" max="22" width="9.125" style="7" bestFit="1" customWidth="1"/>
    <col min="23" max="16384" width="9" style="7"/>
  </cols>
  <sheetData>
    <row r="1" spans="2:20" ht="37.5" customHeight="1" x14ac:dyDescent="0.3">
      <c r="B1" s="46"/>
      <c r="C1" s="46">
        <v>1</v>
      </c>
      <c r="D1" s="46">
        <f t="shared" ref="D1:R1" si="0">+C1+1</f>
        <v>2</v>
      </c>
      <c r="E1" s="46">
        <f t="shared" si="0"/>
        <v>3</v>
      </c>
      <c r="F1" s="46">
        <f t="shared" si="0"/>
        <v>4</v>
      </c>
      <c r="G1" s="46">
        <f t="shared" si="0"/>
        <v>5</v>
      </c>
      <c r="H1" s="46">
        <f t="shared" si="0"/>
        <v>6</v>
      </c>
      <c r="I1" s="46">
        <f t="shared" si="0"/>
        <v>7</v>
      </c>
      <c r="J1" s="46">
        <f t="shared" si="0"/>
        <v>8</v>
      </c>
      <c r="K1" s="46">
        <f t="shared" si="0"/>
        <v>9</v>
      </c>
      <c r="L1" s="46">
        <f t="shared" si="0"/>
        <v>10</v>
      </c>
      <c r="M1" s="46">
        <f t="shared" si="0"/>
        <v>11</v>
      </c>
      <c r="N1" s="46"/>
      <c r="O1" s="46"/>
      <c r="P1" s="46">
        <f>+M1+1</f>
        <v>12</v>
      </c>
      <c r="Q1" s="46">
        <f t="shared" si="0"/>
        <v>13</v>
      </c>
      <c r="R1" s="46">
        <f t="shared" si="0"/>
        <v>14</v>
      </c>
      <c r="S1" s="46"/>
      <c r="T1" s="46">
        <f>+Q1+1</f>
        <v>14</v>
      </c>
    </row>
    <row r="2" spans="2:20" ht="18" hidden="1" customHeight="1" outlineLevel="1" x14ac:dyDescent="0.3">
      <c r="B2" s="46"/>
      <c r="C2" s="46"/>
      <c r="D2" s="46"/>
      <c r="E2" s="46"/>
      <c r="F2" s="46"/>
      <c r="G2" s="46"/>
      <c r="H2" s="46"/>
      <c r="I2" s="7">
        <v>1</v>
      </c>
      <c r="J2" s="7">
        <v>2</v>
      </c>
      <c r="K2" s="46"/>
      <c r="L2" s="46"/>
      <c r="M2" s="46"/>
      <c r="N2" s="46"/>
      <c r="O2" s="46"/>
      <c r="P2" s="46"/>
      <c r="Q2" s="46"/>
      <c r="R2" s="46"/>
      <c r="S2" s="46"/>
      <c r="T2" s="46"/>
    </row>
    <row r="3" spans="2:20" ht="18" hidden="1" customHeight="1" outlineLevel="1" x14ac:dyDescent="0.3">
      <c r="B3" s="46"/>
      <c r="C3" s="46"/>
      <c r="D3" s="46"/>
      <c r="E3" s="46"/>
      <c r="F3" s="46"/>
      <c r="G3" s="46"/>
      <c r="H3" s="46"/>
      <c r="I3" s="7" t="s">
        <v>129</v>
      </c>
      <c r="J3" s="7" t="s">
        <v>583</v>
      </c>
      <c r="K3" s="46"/>
      <c r="L3" s="46"/>
      <c r="M3" s="46"/>
      <c r="N3" s="46"/>
      <c r="O3" s="46"/>
      <c r="P3" s="46"/>
      <c r="Q3" s="46"/>
      <c r="R3" s="46"/>
      <c r="S3" s="46"/>
      <c r="T3" s="46"/>
    </row>
    <row r="4" spans="2:20" ht="18" hidden="1" customHeight="1" outlineLevel="1" x14ac:dyDescent="0.3">
      <c r="B4" s="46"/>
      <c r="C4" s="46"/>
      <c r="D4" s="46"/>
      <c r="E4" s="46"/>
      <c r="F4" s="46"/>
      <c r="G4" s="46"/>
      <c r="H4" s="46"/>
      <c r="I4" s="7" t="s">
        <v>346</v>
      </c>
      <c r="J4" s="7" t="s">
        <v>590</v>
      </c>
      <c r="K4" s="46"/>
      <c r="L4" s="46"/>
      <c r="M4" s="46"/>
      <c r="N4" s="46"/>
      <c r="O4" s="46"/>
      <c r="P4" s="46"/>
      <c r="Q4" s="46"/>
      <c r="R4" s="46"/>
      <c r="S4" s="46"/>
      <c r="T4" s="46"/>
    </row>
    <row r="5" spans="2:20" ht="18" hidden="1" customHeight="1" outlineLevel="1" x14ac:dyDescent="0.3">
      <c r="B5" s="46"/>
      <c r="C5" s="46"/>
      <c r="D5" s="46"/>
      <c r="E5" s="46"/>
      <c r="F5" s="46"/>
      <c r="G5" s="46"/>
      <c r="H5" s="46"/>
      <c r="I5" s="7" t="s">
        <v>369</v>
      </c>
      <c r="J5" s="7" t="s">
        <v>590</v>
      </c>
      <c r="K5" s="46"/>
      <c r="L5" s="46"/>
      <c r="M5" s="46"/>
      <c r="N5" s="46"/>
      <c r="O5" s="46"/>
      <c r="P5" s="46"/>
      <c r="Q5" s="46"/>
      <c r="R5" s="46"/>
      <c r="S5" s="46"/>
      <c r="T5" s="46"/>
    </row>
    <row r="6" spans="2:20" ht="18" hidden="1" customHeight="1" outlineLevel="1" x14ac:dyDescent="0.3">
      <c r="B6" s="46"/>
      <c r="C6" s="46"/>
      <c r="D6" s="46"/>
      <c r="E6" s="46"/>
      <c r="F6" s="46"/>
      <c r="G6" s="46"/>
      <c r="H6" s="46"/>
      <c r="I6" s="7" t="s">
        <v>343</v>
      </c>
      <c r="J6" s="7" t="s">
        <v>759</v>
      </c>
      <c r="K6" s="46"/>
      <c r="L6" s="46"/>
      <c r="M6" s="46"/>
      <c r="N6" s="46"/>
      <c r="O6" s="46"/>
      <c r="P6" s="46"/>
      <c r="Q6" s="46"/>
      <c r="R6" s="46"/>
      <c r="S6" s="46"/>
      <c r="T6" s="46"/>
    </row>
    <row r="7" spans="2:20" ht="18" hidden="1" customHeight="1" outlineLevel="1" x14ac:dyDescent="0.3">
      <c r="B7" s="46"/>
      <c r="C7" s="46"/>
      <c r="D7" s="46"/>
      <c r="E7" s="46"/>
      <c r="F7" s="46"/>
      <c r="G7" s="46"/>
      <c r="H7" s="46"/>
      <c r="I7" s="7" t="s">
        <v>344</v>
      </c>
      <c r="J7" s="7" t="s">
        <v>759</v>
      </c>
      <c r="K7" s="46"/>
      <c r="L7" s="46"/>
      <c r="M7" s="46"/>
      <c r="N7" s="46"/>
      <c r="O7" s="46"/>
      <c r="P7" s="46"/>
      <c r="Q7" s="46"/>
      <c r="R7" s="46"/>
      <c r="S7" s="46"/>
      <c r="T7" s="46"/>
    </row>
    <row r="8" spans="2:20" ht="18" hidden="1" customHeight="1" outlineLevel="1" x14ac:dyDescent="0.3">
      <c r="B8" s="46"/>
      <c r="C8" s="46"/>
      <c r="D8" s="46"/>
      <c r="E8" s="46"/>
      <c r="F8" s="46"/>
      <c r="G8" s="46"/>
      <c r="H8" s="46"/>
      <c r="I8" s="7" t="s">
        <v>345</v>
      </c>
      <c r="J8" s="7" t="s">
        <v>759</v>
      </c>
      <c r="K8" s="46"/>
      <c r="L8" s="46"/>
      <c r="M8" s="46"/>
      <c r="N8" s="46"/>
      <c r="O8" s="46"/>
      <c r="P8" s="46"/>
      <c r="Q8" s="46"/>
      <c r="R8" s="46"/>
      <c r="S8" s="46"/>
      <c r="T8" s="46"/>
    </row>
    <row r="9" spans="2:20" ht="18" hidden="1" customHeight="1" outlineLevel="1" x14ac:dyDescent="0.3">
      <c r="B9" s="46"/>
      <c r="C9" s="46"/>
      <c r="D9" s="46"/>
      <c r="E9" s="46"/>
      <c r="F9" s="46"/>
      <c r="G9" s="46"/>
      <c r="H9" s="46"/>
      <c r="I9" s="7" t="s">
        <v>378</v>
      </c>
      <c r="J9" s="7" t="s">
        <v>759</v>
      </c>
      <c r="K9" s="46"/>
      <c r="L9" s="46"/>
      <c r="M9" s="46"/>
      <c r="N9" s="46"/>
      <c r="O9" s="46"/>
      <c r="P9" s="46"/>
      <c r="Q9" s="46"/>
      <c r="R9" s="46"/>
      <c r="S9" s="46"/>
      <c r="T9" s="46"/>
    </row>
    <row r="10" spans="2:20" ht="18" hidden="1" customHeight="1" outlineLevel="1" x14ac:dyDescent="0.3">
      <c r="B10" s="46"/>
      <c r="C10" s="46"/>
      <c r="D10" s="46"/>
      <c r="E10" s="46"/>
      <c r="F10" s="46"/>
      <c r="G10" s="46"/>
      <c r="H10" s="46"/>
      <c r="I10" s="7" t="s">
        <v>347</v>
      </c>
      <c r="J10" s="7" t="s">
        <v>760</v>
      </c>
      <c r="K10" s="46"/>
      <c r="L10" s="46"/>
      <c r="M10" s="46"/>
      <c r="N10" s="46"/>
      <c r="O10" s="46"/>
      <c r="P10" s="46"/>
      <c r="Q10" s="46"/>
      <c r="R10" s="46"/>
      <c r="S10" s="46"/>
      <c r="T10" s="46"/>
    </row>
    <row r="11" spans="2:20" ht="18" hidden="1" customHeight="1" outlineLevel="1" x14ac:dyDescent="0.3">
      <c r="B11" s="46"/>
      <c r="C11" s="46"/>
      <c r="D11" s="46"/>
      <c r="E11" s="46"/>
      <c r="F11" s="46"/>
      <c r="G11" s="46"/>
      <c r="H11" s="46"/>
      <c r="I11" s="7" t="s">
        <v>299</v>
      </c>
      <c r="J11" s="7" t="s">
        <v>760</v>
      </c>
      <c r="K11" s="46"/>
      <c r="L11" s="46"/>
      <c r="M11" s="46"/>
      <c r="N11" s="46"/>
      <c r="O11" s="46"/>
      <c r="P11" s="46"/>
      <c r="Q11" s="46"/>
      <c r="R11" s="46"/>
      <c r="S11" s="46"/>
      <c r="T11" s="46"/>
    </row>
    <row r="12" spans="2:20" ht="18" hidden="1" customHeight="1" outlineLevel="1" x14ac:dyDescent="0.3">
      <c r="B12" s="46"/>
      <c r="C12" s="46"/>
      <c r="D12" s="46"/>
      <c r="E12" s="46"/>
      <c r="F12" s="46"/>
      <c r="G12" s="46"/>
      <c r="H12" s="46"/>
      <c r="I12" s="7" t="s">
        <v>398</v>
      </c>
      <c r="J12" s="7" t="s">
        <v>760</v>
      </c>
      <c r="K12" s="46"/>
      <c r="L12" s="46"/>
      <c r="M12" s="46"/>
      <c r="N12" s="46"/>
      <c r="O12" s="46"/>
      <c r="P12" s="46"/>
      <c r="Q12" s="46"/>
      <c r="R12" s="46"/>
      <c r="S12" s="46"/>
      <c r="T12" s="46"/>
    </row>
    <row r="13" spans="2:20" ht="18" hidden="1" customHeight="1" outlineLevel="1" x14ac:dyDescent="0.3">
      <c r="B13" s="46"/>
      <c r="C13" s="46"/>
      <c r="D13" s="46"/>
      <c r="E13" s="46"/>
      <c r="F13" s="46"/>
      <c r="G13" s="46"/>
      <c r="H13" s="46"/>
      <c r="I13" s="7" t="s">
        <v>385</v>
      </c>
      <c r="J13" s="7" t="s">
        <v>760</v>
      </c>
      <c r="K13" s="46"/>
      <c r="L13" s="46"/>
      <c r="M13" s="46"/>
      <c r="N13" s="46"/>
      <c r="O13" s="46"/>
      <c r="P13" s="46"/>
      <c r="Q13" s="46"/>
      <c r="R13" s="46"/>
      <c r="S13" s="46"/>
      <c r="T13" s="46"/>
    </row>
    <row r="14" spans="2:20" ht="18" hidden="1" customHeight="1" outlineLevel="1" x14ac:dyDescent="0.3">
      <c r="B14" s="46"/>
      <c r="C14" s="46"/>
      <c r="D14" s="46"/>
      <c r="E14" s="46"/>
      <c r="F14" s="46"/>
      <c r="G14" s="46"/>
      <c r="H14" s="46"/>
      <c r="I14" s="7" t="s">
        <v>761</v>
      </c>
      <c r="J14" s="7" t="s">
        <v>762</v>
      </c>
      <c r="K14" s="46"/>
      <c r="L14" s="46"/>
      <c r="M14" s="46"/>
      <c r="N14" s="21"/>
      <c r="O14" s="46"/>
      <c r="P14" s="46"/>
      <c r="Q14" s="46"/>
      <c r="R14" s="46"/>
      <c r="S14" s="46"/>
      <c r="T14" s="46"/>
    </row>
    <row r="15" spans="2:20" ht="18" hidden="1" customHeight="1" outlineLevel="1" x14ac:dyDescent="0.3">
      <c r="B15" s="46"/>
      <c r="C15" s="46"/>
      <c r="D15" s="46"/>
      <c r="E15" s="46"/>
      <c r="F15" s="46"/>
      <c r="G15" s="46"/>
      <c r="H15" s="46"/>
      <c r="I15" s="7" t="s">
        <v>763</v>
      </c>
      <c r="J15" s="7" t="s">
        <v>762</v>
      </c>
      <c r="K15" s="46"/>
      <c r="L15" s="46"/>
      <c r="M15" s="46"/>
      <c r="N15" s="21"/>
      <c r="O15" s="46"/>
      <c r="P15" s="46"/>
      <c r="Q15" s="46"/>
      <c r="R15" s="46"/>
      <c r="S15" s="46"/>
      <c r="T15" s="46"/>
    </row>
    <row r="16" spans="2:20" ht="18" hidden="1" customHeight="1" outlineLevel="1" x14ac:dyDescent="0.3">
      <c r="B16" s="46"/>
      <c r="C16" s="46"/>
      <c r="D16" s="46"/>
      <c r="E16" s="46"/>
      <c r="F16" s="46"/>
      <c r="G16" s="46"/>
      <c r="H16" s="46"/>
      <c r="I16" s="7" t="s">
        <v>764</v>
      </c>
      <c r="J16" s="7" t="s">
        <v>762</v>
      </c>
      <c r="K16" s="46"/>
      <c r="L16" s="46"/>
      <c r="M16" s="46"/>
      <c r="N16" s="46"/>
      <c r="O16" s="46"/>
      <c r="P16" s="46"/>
      <c r="Q16" s="46"/>
      <c r="R16" s="46"/>
      <c r="S16" s="46"/>
      <c r="T16" s="46"/>
    </row>
    <row r="17" spans="2:22" ht="18" hidden="1" customHeight="1" outlineLevel="1" x14ac:dyDescent="0.3">
      <c r="B17" s="46"/>
      <c r="C17" s="46"/>
      <c r="D17" s="46"/>
      <c r="E17" s="46"/>
      <c r="F17" s="46"/>
      <c r="G17" s="46"/>
      <c r="H17" s="46"/>
      <c r="I17" s="46"/>
      <c r="J17" s="46"/>
      <c r="K17" s="46"/>
      <c r="L17" s="46"/>
      <c r="M17" s="46"/>
      <c r="N17" s="46"/>
      <c r="O17" s="46"/>
      <c r="P17" s="46"/>
      <c r="Q17" s="46"/>
      <c r="R17" s="46"/>
      <c r="S17" s="46"/>
      <c r="T17" s="46"/>
    </row>
    <row r="18" spans="2:22" ht="18" customHeight="1" collapsed="1" x14ac:dyDescent="0.3">
      <c r="B18" s="233">
        <v>1</v>
      </c>
      <c r="C18" s="51" t="str">
        <f>CONCATENATE("CP-",K18,"-",MOD(E18,100)*100+F18,"-",B18)</f>
        <v>CP--0-1</v>
      </c>
      <c r="D18" s="63">
        <f>IFERROR(
IF(ISBLANK(F18),
DATE(E18,12,1),
DATE(E18,F18,1)),0)</f>
        <v>336</v>
      </c>
      <c r="E18" s="391"/>
      <c r="F18" s="391"/>
      <c r="G18" s="403"/>
      <c r="H18" s="403"/>
      <c r="I18" s="230"/>
      <c r="J18" s="230"/>
      <c r="K18" s="230"/>
      <c r="L18" s="230"/>
      <c r="M18" s="404"/>
      <c r="N18" s="553"/>
      <c r="O18" s="48">
        <f>M18*N18</f>
        <v>0</v>
      </c>
      <c r="P18" s="176"/>
      <c r="Q18" s="48">
        <f>P18*M18/(1+P18)</f>
        <v>0</v>
      </c>
      <c r="R18" s="48">
        <f>M18-Q18</f>
        <v>0</v>
      </c>
      <c r="S18" s="234"/>
      <c r="T18" s="234"/>
      <c r="V18" s="7" t="str" cm="1">
        <f t="array" ref="V18">IF(J18="Khách hàng",TRANSPOSE(_xlfn._xlws.SORT(Table_KhachHang[Mã KH])),
IF(J18="NSNN", TRANSPOSE(_xlfn._xlws.SORT(Table_NopNS_NganSach[Loại thuế])),
TRANSPOSE(_xlfn._xlws.SORT(_xlfn._xlws.FILTER(Table_NhaCungCap[Mã Đối tác],Table_NhaCungCap[Loại đối tác]=J18,"")))))</f>
        <v/>
      </c>
    </row>
    <row r="19" spans="2:22" ht="18" customHeight="1" x14ac:dyDescent="0.3">
      <c r="B19" s="7" t="s">
        <v>638</v>
      </c>
      <c r="C19" s="7" t="s">
        <v>639</v>
      </c>
      <c r="D19" s="7" t="s">
        <v>3</v>
      </c>
      <c r="E19" s="7" t="s">
        <v>2</v>
      </c>
      <c r="F19" s="7" t="s">
        <v>1</v>
      </c>
      <c r="G19" s="7" t="s">
        <v>640</v>
      </c>
      <c r="H19" s="7" t="s">
        <v>641</v>
      </c>
      <c r="I19" s="7" t="s">
        <v>129</v>
      </c>
      <c r="J19" s="7" t="s">
        <v>756</v>
      </c>
      <c r="K19" s="7" t="s">
        <v>757</v>
      </c>
      <c r="L19" s="7" t="s">
        <v>16</v>
      </c>
      <c r="M19" s="15" t="s">
        <v>21</v>
      </c>
      <c r="N19" s="43" t="s">
        <v>1247</v>
      </c>
      <c r="O19" s="45" t="s">
        <v>1248</v>
      </c>
      <c r="P19" s="45" t="s">
        <v>758</v>
      </c>
      <c r="Q19" s="15" t="s">
        <v>681</v>
      </c>
      <c r="R19" s="45" t="s">
        <v>652</v>
      </c>
      <c r="S19" s="7" t="s">
        <v>873</v>
      </c>
      <c r="T19" s="7" t="s">
        <v>1243</v>
      </c>
    </row>
    <row r="20" spans="2:22" ht="18" customHeight="1" x14ac:dyDescent="0.3">
      <c r="B20" s="233"/>
      <c r="C20" s="51" t="str">
        <f>CONCATENATE("CP-",Table_ChiPhiKD[[#This Row],[Vendor]],"-",MOD(Table_ChiPhiKD[[#This Row],[Năm]],100)*100+Table_ChiPhiKD[[#This Row],[Tháng]],"-",Table_ChiPhiKD[[#This Row],[STT]])</f>
        <v>CP--0-</v>
      </c>
      <c r="D20" s="63">
        <f>IFERROR(
IF(ISBLANK(Table_ChiPhiKD[[#This Row],[Tháng]]),
DATE(Table_ChiPhiKD[[#This Row],[Năm]],12,1),
DATE(Table_ChiPhiKD[[#This Row],[Năm]],Table_ChiPhiKD[[#This Row],[Tháng]],1)),0)</f>
        <v>336</v>
      </c>
      <c r="E20" s="391"/>
      <c r="F20" s="391"/>
      <c r="G20" s="403"/>
      <c r="H20" s="403"/>
      <c r="I20" s="230"/>
      <c r="J20" s="230"/>
      <c r="K20" s="230"/>
      <c r="L20" s="230"/>
      <c r="M20" s="404"/>
      <c r="N20" s="43"/>
      <c r="O20" s="18">
        <f>Table_ChiPhiKD[[#This Row],[Tỷ lệ sản xuất]]*Table_ChiPhiKD[[#This Row],[Giá trị]]</f>
        <v>0</v>
      </c>
      <c r="P20" s="176"/>
      <c r="Q20" s="48">
        <f>Table_ChiPhiKD[[#This Row],[Tỷ suất VAT kháu trừ]]*Table_ChiPhiKD[[#This Row],[Giá trị]]/(1+Table_ChiPhiKD[[#This Row],[Tỷ suất VAT kháu trừ]])</f>
        <v>0</v>
      </c>
      <c r="R20" s="48">
        <f>Table_ChiPhiKD[[#This Row],[Giá trị]]-Table_ChiPhiKD[[#This Row],[VAT khấu trừ]]</f>
        <v>0</v>
      </c>
      <c r="S20" s="231"/>
      <c r="T20" s="555">
        <f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sheetData>
  <sheetProtection algorithmName="SHA-512" hashValue="KaqO1xXHo9CjXTzyEQjLGOQgtg+/s24bwPJXJI6fNgWbW70kvl2zOyfsCGiumTZE4qevwNv0XCyPFXzXHlrx6g==" saltValue="0jZlSa3YZXgkmk2IXf70mg==" spinCount="100000" sheet="1" scenarios="1" formatCells="0" formatColumns="0" formatRows="0" insertColumns="0" insertRows="0" deleteColumns="0" deleteRows="0" sort="0" autoFilter="0" pivotTables="0"/>
  <phoneticPr fontId="14" type="noConversion"/>
  <conditionalFormatting sqref="C20 C18">
    <cfRule type="expression" dxfId="217" priority="830">
      <formula>MATCH($C$18,$C$20:$C$20,0)</formula>
    </cfRule>
  </conditionalFormatting>
  <dataValidations count="4">
    <dataValidation type="list" errorStyle="warning" allowBlank="1" showInputMessage="1" showErrorMessage="1" sqref="K18" xr:uid="{76FF6BBA-7939-4B3A-BEA0-F9C2E7630B81}">
      <formula1>_xlfn.ANCHORARRAY($V$18)</formula1>
    </dataValidation>
    <dataValidation type="list" errorStyle="warning" allowBlank="1" showInputMessage="1" showErrorMessage="1" sqref="I18" xr:uid="{D6280BA9-FE83-42B1-94DF-3B334D90FD6E}">
      <formula1>NhomChiPhi</formula1>
    </dataValidation>
    <dataValidation type="list" allowBlank="1" showInputMessage="1" showErrorMessage="1" sqref="I20" xr:uid="{BF0711AB-3ACC-4702-A2D2-6800A55FAFA7}">
      <formula1>NhomChiPhi</formula1>
    </dataValidation>
    <dataValidation type="list" errorStyle="warning" allowBlank="1" showInputMessage="1" sqref="K20" xr:uid="{755E79CB-39B7-4C25-95F2-5A68DD63F167}">
      <formula1>_xlfn.ANCHORARRAY($V$18)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5" r:id="rId4" name="Button 5">
              <controlPr defaultSize="0" print="0" autoFill="0" autoPict="0" macro="[0]!AddRow">
                <anchor moveWithCells="1">
                  <from>
                    <xdr:col>1</xdr:col>
                    <xdr:colOff>85725</xdr:colOff>
                    <xdr:row>0</xdr:row>
                    <xdr:rowOff>104775</xdr:rowOff>
                  </from>
                  <to>
                    <xdr:col>2</xdr:col>
                    <xdr:colOff>152400</xdr:colOff>
                    <xdr:row>0</xdr:row>
                    <xdr:rowOff>361950</xdr:rowOff>
                  </to>
                </anchor>
              </controlPr>
            </control>
          </mc:Choice>
        </mc:AlternateContent>
        <mc:AlternateContent xmlns:mc="http://schemas.openxmlformats.org/markup-compatibility/2006">
          <mc:Choice Requires="x14">
            <control shapeId="71686" r:id="rId5" name="Button 6">
              <controlPr defaultSize="0" print="0" autoFill="0" autoPict="0" macro="[0]!DeleteRow">
                <anchor moveWithCells="1">
                  <from>
                    <xdr:col>2</xdr:col>
                    <xdr:colOff>304800</xdr:colOff>
                    <xdr:row>0</xdr:row>
                    <xdr:rowOff>104775</xdr:rowOff>
                  </from>
                  <to>
                    <xdr:col>3</xdr:col>
                    <xdr:colOff>19050</xdr:colOff>
                    <xdr:row>0</xdr:row>
                    <xdr:rowOff>361950</xdr:rowOff>
                  </to>
                </anchor>
              </controlPr>
            </control>
          </mc:Choice>
        </mc:AlternateContent>
        <mc:AlternateContent xmlns:mc="http://schemas.openxmlformats.org/markup-compatibility/2006">
          <mc:Choice Requires="x14">
            <control shapeId="71687" r:id="rId6" name="Button 7">
              <controlPr defaultSize="0" print="0" autoFill="0" autoPict="0" macro="[0]!AddColumn">
                <anchor moveWithCells="1">
                  <from>
                    <xdr:col>18</xdr:col>
                    <xdr:colOff>95250</xdr:colOff>
                    <xdr:row>0</xdr:row>
                    <xdr:rowOff>114300</xdr:rowOff>
                  </from>
                  <to>
                    <xdr:col>19</xdr:col>
                    <xdr:colOff>95250</xdr:colOff>
                    <xdr:row>0</xdr:row>
                    <xdr:rowOff>371475</xdr:rowOff>
                  </to>
                </anchor>
              </controlPr>
            </control>
          </mc:Choice>
        </mc:AlternateContent>
        <mc:AlternateContent xmlns:mc="http://schemas.openxmlformats.org/markup-compatibility/2006">
          <mc:Choice Requires="x14">
            <control shapeId="71688" r:id="rId7" name="Button 8">
              <controlPr defaultSize="0" print="0" autoFill="0" autoPict="0" macro="[0]!DeleteColumn">
                <anchor moveWithCells="1">
                  <from>
                    <xdr:col>19</xdr:col>
                    <xdr:colOff>228600</xdr:colOff>
                    <xdr:row>0</xdr:row>
                    <xdr:rowOff>114300</xdr:rowOff>
                  </from>
                  <to>
                    <xdr:col>20</xdr:col>
                    <xdr:colOff>152400</xdr:colOff>
                    <xdr:row>0</xdr:row>
                    <xdr:rowOff>371475</xdr:rowOff>
                  </to>
                </anchor>
              </controlPr>
            </control>
          </mc:Choice>
        </mc:AlternateContent>
        <mc:AlternateContent xmlns:mc="http://schemas.openxmlformats.org/markup-compatibility/2006">
          <mc:Choice Requires="x14">
            <control shapeId="71693" r:id="rId8" name="Option Button 13">
              <controlPr defaultSize="0" autoFill="0" autoLine="0" autoPict="0" macro="[0]!DoiDonViHienThi">
                <anchor moveWithCells="1">
                  <from>
                    <xdr:col>6</xdr:col>
                    <xdr:colOff>495300</xdr:colOff>
                    <xdr:row>0</xdr:row>
                    <xdr:rowOff>152400</xdr:rowOff>
                  </from>
                  <to>
                    <xdr:col>7</xdr:col>
                    <xdr:colOff>304800</xdr:colOff>
                    <xdr:row>0</xdr:row>
                    <xdr:rowOff>428625</xdr:rowOff>
                  </to>
                </anchor>
              </controlPr>
            </control>
          </mc:Choice>
        </mc:AlternateContent>
        <mc:AlternateContent xmlns:mc="http://schemas.openxmlformats.org/markup-compatibility/2006">
          <mc:Choice Requires="x14">
            <control shapeId="71694" r:id="rId9" name="Option Button 14">
              <controlPr defaultSize="0" autoFill="0" autoLine="0" autoPict="0" macro="[0]!DoiDonViHienThi">
                <anchor moveWithCells="1">
                  <from>
                    <xdr:col>7</xdr:col>
                    <xdr:colOff>180975</xdr:colOff>
                    <xdr:row>0</xdr:row>
                    <xdr:rowOff>152400</xdr:rowOff>
                  </from>
                  <to>
                    <xdr:col>7</xdr:col>
                    <xdr:colOff>771525</xdr:colOff>
                    <xdr:row>0</xdr:row>
                    <xdr:rowOff>428625</xdr:rowOff>
                  </to>
                </anchor>
              </controlPr>
            </control>
          </mc:Choice>
        </mc:AlternateContent>
        <mc:AlternateContent xmlns:mc="http://schemas.openxmlformats.org/markup-compatibility/2006">
          <mc:Choice Requires="x14">
            <control shapeId="71695" r:id="rId10" name="Option Button 15">
              <controlPr defaultSize="0" autoFill="0" autoLine="0" autoPict="0" macro="[0]!DoiDonViHienThi">
                <anchor moveWithCells="1">
                  <from>
                    <xdr:col>7</xdr:col>
                    <xdr:colOff>647700</xdr:colOff>
                    <xdr:row>0</xdr:row>
                    <xdr:rowOff>152400</xdr:rowOff>
                  </from>
                  <to>
                    <xdr:col>8</xdr:col>
                    <xdr:colOff>361950</xdr:colOff>
                    <xdr:row>0</xdr:row>
                    <xdr:rowOff>428625</xdr:rowOff>
                  </to>
                </anchor>
              </controlPr>
            </control>
          </mc:Choice>
        </mc:AlternateContent>
        <mc:AlternateContent xmlns:mc="http://schemas.openxmlformats.org/markup-compatibility/2006">
          <mc:Choice Requires="x14">
            <control shapeId="71696" r:id="rId11" name="Option Button 16">
              <controlPr defaultSize="0" autoFill="0" autoLine="0" autoPict="0" macro="[0]!DoiDonViHienThi">
                <anchor moveWithCells="1">
                  <from>
                    <xdr:col>8</xdr:col>
                    <xdr:colOff>247650</xdr:colOff>
                    <xdr:row>0</xdr:row>
                    <xdr:rowOff>152400</xdr:rowOff>
                  </from>
                  <to>
                    <xdr:col>8</xdr:col>
                    <xdr:colOff>600075</xdr:colOff>
                    <xdr:row>0</xdr:row>
                    <xdr:rowOff>428625</xdr:rowOff>
                  </to>
                </anchor>
              </controlPr>
            </control>
          </mc:Choice>
        </mc:AlternateContent>
        <mc:AlternateContent xmlns:mc="http://schemas.openxmlformats.org/markup-compatibility/2006">
          <mc:Choice Requires="x14">
            <control shapeId="71697" r:id="rId12" name="Group Box 17">
              <controlPr defaultSize="0" autoFill="0" autoPict="0">
                <anchor moveWithCells="1">
                  <from>
                    <xdr:col>6</xdr:col>
                    <xdr:colOff>381000</xdr:colOff>
                    <xdr:row>0</xdr:row>
                    <xdr:rowOff>104775</xdr:rowOff>
                  </from>
                  <to>
                    <xdr:col>8</xdr:col>
                    <xdr:colOff>714375</xdr:colOff>
                    <xdr:row>0</xdr:row>
                    <xdr:rowOff>466725</xdr:rowOff>
                  </to>
                </anchor>
              </controlPr>
            </control>
          </mc:Choice>
        </mc:AlternateContent>
        <mc:AlternateContent xmlns:mc="http://schemas.openxmlformats.org/markup-compatibility/2006">
          <mc:Choice Requires="x14">
            <control shapeId="71698" r:id="rId13" name="Group Box 18">
              <controlPr defaultSize="0" autoFill="0" autoPict="0">
                <anchor moveWithCells="1">
                  <from>
                    <xdr:col>3</xdr:col>
                    <xdr:colOff>104775</xdr:colOff>
                    <xdr:row>0</xdr:row>
                    <xdr:rowOff>104775</xdr:rowOff>
                  </from>
                  <to>
                    <xdr:col>6</xdr:col>
                    <xdr:colOff>333375</xdr:colOff>
                    <xdr:row>0</xdr:row>
                    <xdr:rowOff>466725</xdr:rowOff>
                  </to>
                </anchor>
              </controlPr>
            </control>
          </mc:Choice>
        </mc:AlternateContent>
        <mc:AlternateContent xmlns:mc="http://schemas.openxmlformats.org/markup-compatibility/2006">
          <mc:Choice Requires="x14">
            <control shapeId="71699" r:id="rId14" name="Button 19">
              <controlPr defaultSize="0" autoFill="0" autoPict="0" macro="[0]!NhanNghin">
                <anchor moveWithCells="1">
                  <from>
                    <xdr:col>3</xdr:col>
                    <xdr:colOff>190500</xdr:colOff>
                    <xdr:row>0</xdr:row>
                    <xdr:rowOff>200025</xdr:rowOff>
                  </from>
                  <to>
                    <xdr:col>4</xdr:col>
                    <xdr:colOff>228600</xdr:colOff>
                    <xdr:row>0</xdr:row>
                    <xdr:rowOff>371475</xdr:rowOff>
                  </to>
                </anchor>
              </controlPr>
            </control>
          </mc:Choice>
        </mc:AlternateContent>
        <mc:AlternateContent xmlns:mc="http://schemas.openxmlformats.org/markup-compatibility/2006">
          <mc:Choice Requires="x14">
            <control shapeId="71700" r:id="rId15" name="Button 20">
              <controlPr defaultSize="0" autoFill="0" autoPict="0" macro="[0]!NhanTrieu">
                <anchor moveWithCells="1">
                  <from>
                    <xdr:col>4</xdr:col>
                    <xdr:colOff>276225</xdr:colOff>
                    <xdr:row>0</xdr:row>
                    <xdr:rowOff>200025</xdr:rowOff>
                  </from>
                  <to>
                    <xdr:col>5</xdr:col>
                    <xdr:colOff>285750</xdr:colOff>
                    <xdr:row>0</xdr:row>
                    <xdr:rowOff>371475</xdr:rowOff>
                  </to>
                </anchor>
              </controlPr>
            </control>
          </mc:Choice>
        </mc:AlternateContent>
        <mc:AlternateContent xmlns:mc="http://schemas.openxmlformats.org/markup-compatibility/2006">
          <mc:Choice Requires="x14">
            <control shapeId="71701" r:id="rId16" name="Button 21">
              <controlPr defaultSize="0" autoFill="0" autoPict="0" macro="[0]!NhanTy">
                <anchor moveWithCells="1">
                  <from>
                    <xdr:col>5</xdr:col>
                    <xdr:colOff>333375</xdr:colOff>
                    <xdr:row>0</xdr:row>
                    <xdr:rowOff>200025</xdr:rowOff>
                  </from>
                  <to>
                    <xdr:col>6</xdr:col>
                    <xdr:colOff>257175</xdr:colOff>
                    <xdr:row>0</xdr:row>
                    <xdr:rowOff>371475</xdr:rowOff>
                  </to>
                </anchor>
              </controlPr>
            </control>
          </mc:Choice>
        </mc:AlternateContent>
        <mc:AlternateContent xmlns:mc="http://schemas.openxmlformats.org/markup-compatibility/2006">
          <mc:Choice Requires="x14">
            <control shapeId="71689" r:id="rId17" name="Button 9">
              <controlPr defaultSize="0" print="0" autoFill="0" autoPict="0" macro="[0]!CopyToTable">
                <anchor moveWithCells="1">
                  <from>
                    <xdr:col>18</xdr:col>
                    <xdr:colOff>38100</xdr:colOff>
                    <xdr:row>17</xdr:row>
                    <xdr:rowOff>152400</xdr:rowOff>
                  </from>
                  <to>
                    <xdr:col>19</xdr:col>
                    <xdr:colOff>66675</xdr:colOff>
                    <xdr:row>18</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W18:XFD24 A1:XFD17 B18:V19 U20:V20 A18:A1048576 B25:XFD1048576 B19:T20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J18</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3" customWidth="1"/>
    <col min="2" max="2" width="18.625" style="383" customWidth="1"/>
    <col min="3" max="3" width="9" style="383" customWidth="1"/>
    <col min="4" max="4" width="10" style="383" customWidth="1"/>
    <col min="5" max="5" width="9" style="383"/>
    <col min="6" max="6" width="7.375" style="383" customWidth="1"/>
    <col min="7" max="7" width="9" style="383"/>
    <col min="8" max="8" width="7.75" style="383" customWidth="1"/>
    <col min="9" max="9" width="7.875" style="383" customWidth="1"/>
    <col min="10" max="10" width="9.5" style="383" customWidth="1"/>
    <col min="11" max="11" width="7.25" style="383" customWidth="1"/>
    <col min="12" max="16" width="9" style="383"/>
    <col min="17" max="17" width="11.25" style="383" customWidth="1"/>
    <col min="18" max="22" width="9" style="383"/>
    <col min="23" max="23" width="11.5" style="383" customWidth="1"/>
    <col min="24" max="16384" width="9" style="383"/>
  </cols>
  <sheetData>
    <row r="2" spans="2:23" ht="19.5" customHeight="1" x14ac:dyDescent="0.3"/>
    <row r="3" spans="2:23" x14ac:dyDescent="0.3">
      <c r="B3" s="382" t="s">
        <v>897</v>
      </c>
      <c r="C3" s="382"/>
    </row>
    <row r="4" spans="2:23" x14ac:dyDescent="0.3">
      <c r="B4" s="384" t="s">
        <v>896</v>
      </c>
      <c r="C4" s="428" t="str" cm="1">
        <f t="array" ref="C4">Code128(MaIn)</f>
        <v>ÌEasyFIRMaÎ</v>
      </c>
    </row>
    <row r="5" spans="2:23" x14ac:dyDescent="0.3">
      <c r="C5" s="385"/>
    </row>
    <row r="6" spans="2:23" x14ac:dyDescent="0.3">
      <c r="B6" s="383" t="s">
        <v>898</v>
      </c>
      <c r="D6" s="383" t="s">
        <v>898</v>
      </c>
      <c r="F6" s="385"/>
      <c r="G6" s="383" t="s">
        <v>899</v>
      </c>
      <c r="J6" s="383" t="s">
        <v>899</v>
      </c>
      <c r="M6" s="383" t="s">
        <v>901</v>
      </c>
      <c r="S6" s="383" t="s">
        <v>901</v>
      </c>
    </row>
    <row r="9" spans="2:23" x14ac:dyDescent="0.3">
      <c r="E9" s="386" t="str">
        <f>MaIn</f>
        <v>EasyFIRM</v>
      </c>
      <c r="K9" s="387"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86" t="str">
        <f>MaIn</f>
        <v>EasyFIRM</v>
      </c>
      <c r="G11" s="387" t="str">
        <f>MaIn</f>
        <v>EasyFIRM</v>
      </c>
      <c r="H11" s="15" t="str" cm="1">
        <f t="array" ref="H11">IFERROR(VLOOKUP(MaIn,Table_SKU[],Table_SKU[[#Headers],[Mã SKU]:[Giá bán]],0),"")</f>
        <v/>
      </c>
    </row>
    <row r="12" spans="2:23" x14ac:dyDescent="0.3">
      <c r="B12" s="388" t="str" cm="1">
        <f t="array" ref="B12">IFERROR(VLOOKUP(MaIn,Table_SKU[],Table_SKU[[#Headers],[Mã SKU]:[Giá bán]],0),"")</f>
        <v/>
      </c>
    </row>
    <row r="13" spans="2:23" ht="17.25" x14ac:dyDescent="0.3">
      <c r="M13" s="380" t="str">
        <f>Sheet_DonBan!B1</f>
        <v>Công ty ABC XYZ</v>
      </c>
      <c r="N13" s="246"/>
      <c r="O13" s="246"/>
      <c r="P13" s="380" t="str">
        <f>Sheet_DonBan!Q1</f>
        <v>ĐƠN BÁN HÀNG</v>
      </c>
      <c r="Q13" s="246"/>
      <c r="S13" s="380" t="str">
        <f>Sheet_VanDon!B1</f>
        <v>Công ty ABC XYZ</v>
      </c>
      <c r="T13" s="246"/>
      <c r="U13" s="246"/>
      <c r="V13" s="380" t="str">
        <f>Sheet_VanDon!I1</f>
        <v>PHIẾU GIAO HÀNG</v>
      </c>
      <c r="W13" s="246"/>
    </row>
    <row r="14" spans="2:23" x14ac:dyDescent="0.3">
      <c r="M14" s="247" t="str">
        <f>Sheet_DonBan!B4</f>
        <v>[Địa chỉ]</v>
      </c>
      <c r="N14" s="247"/>
      <c r="O14" s="247"/>
      <c r="P14" s="247" t="str">
        <f>Sheet_DonBan!P4</f>
        <v>BAN--100-1</v>
      </c>
      <c r="Q14" s="246"/>
      <c r="S14" s="247" t="str">
        <f>Sheet_VanDon!B4</f>
        <v>[Địa chỉ]</v>
      </c>
      <c r="T14" s="247"/>
      <c r="U14" s="247"/>
      <c r="V14" s="247" t="str">
        <f>Sheet_VanDon!H4</f>
        <v>GIAO--100-1</v>
      </c>
      <c r="W14" s="246"/>
    </row>
    <row r="15" spans="2:23" x14ac:dyDescent="0.3">
      <c r="M15" s="247" t="str">
        <f>Sheet_DonBan!B6</f>
        <v>[SĐT - Fax]</v>
      </c>
      <c r="N15" s="247"/>
      <c r="O15" s="247"/>
      <c r="P15" s="442">
        <f>Sheet_DonBan!P5</f>
        <v>0</v>
      </c>
      <c r="Q15" s="246"/>
      <c r="S15" s="247" t="str">
        <f>Sheet_VanDon!B6</f>
        <v>[SĐT - Fax]</v>
      </c>
      <c r="T15" s="247"/>
      <c r="U15" s="247"/>
      <c r="V15" s="442">
        <f>Sheet_VanDon!H5</f>
        <v>0</v>
      </c>
      <c r="W15" s="246"/>
    </row>
    <row r="16" spans="2:23" x14ac:dyDescent="0.3">
      <c r="M16" s="246"/>
      <c r="N16" s="246"/>
      <c r="O16" s="246"/>
      <c r="P16" s="246"/>
      <c r="Q16" s="246"/>
      <c r="S16" s="246"/>
      <c r="T16" s="246"/>
      <c r="U16" s="246"/>
      <c r="V16" s="246"/>
      <c r="W16" s="246"/>
    </row>
    <row r="17" spans="13:23" x14ac:dyDescent="0.3">
      <c r="M17" s="381" t="s">
        <v>172</v>
      </c>
      <c r="N17" s="381" t="str">
        <f>Sheet_DonBan!E11</f>
        <v/>
      </c>
      <c r="O17" s="381"/>
      <c r="P17" s="381"/>
      <c r="Q17" s="381"/>
      <c r="S17" s="381" t="s">
        <v>172</v>
      </c>
      <c r="T17" s="381" t="str">
        <f>Sheet_VanDon!F12</f>
        <v/>
      </c>
      <c r="U17" s="381"/>
      <c r="V17" s="381"/>
      <c r="W17" s="381"/>
    </row>
    <row r="18" spans="13:23" x14ac:dyDescent="0.3">
      <c r="M18" s="381"/>
      <c r="N18" s="381" t="str">
        <f>Sheet_DonBan!E12</f>
        <v xml:space="preserve"> -  - </v>
      </c>
      <c r="O18" s="381"/>
      <c r="P18" s="381"/>
      <c r="Q18" s="381"/>
      <c r="S18" s="381"/>
      <c r="T18" s="381" t="str">
        <f>Sheet_VanDon!F13</f>
        <v xml:space="preserve"> -  - </v>
      </c>
      <c r="U18" s="381"/>
      <c r="V18" s="381"/>
      <c r="W18" s="381"/>
    </row>
    <row r="19" spans="13:23" x14ac:dyDescent="0.3">
      <c r="M19" s="381"/>
      <c r="N19" s="381" t="str">
        <f>Sheet_DonBan!E13</f>
        <v/>
      </c>
      <c r="O19" s="381"/>
      <c r="P19" s="381"/>
      <c r="Q19" s="381"/>
      <c r="S19" s="381"/>
      <c r="T19" s="381" t="str">
        <f>Sheet_VanDon!F14</f>
        <v/>
      </c>
      <c r="U19" s="381"/>
      <c r="V19" s="381"/>
      <c r="W19" s="381"/>
    </row>
    <row r="20" spans="13:23" ht="17.25" x14ac:dyDescent="0.3">
      <c r="M20" s="247" t="s">
        <v>702</v>
      </c>
      <c r="N20" s="247"/>
      <c r="O20" s="343"/>
      <c r="P20" s="247" t="s">
        <v>30</v>
      </c>
      <c r="Q20" s="247" t="s">
        <v>704</v>
      </c>
      <c r="S20" s="247" t="s">
        <v>702</v>
      </c>
      <c r="T20" s="247"/>
      <c r="U20" s="343"/>
      <c r="V20" s="247" t="s">
        <v>30</v>
      </c>
      <c r="W20" s="247" t="s">
        <v>704</v>
      </c>
    </row>
    <row r="21" spans="13:23" x14ac:dyDescent="0.3">
      <c r="M21" s="247" t="str">
        <f>Sheet_DonBan!D17</f>
        <v/>
      </c>
      <c r="N21" s="247"/>
      <c r="O21" s="247"/>
      <c r="P21" s="247">
        <f>Sheet_DonBan!E17</f>
        <v>0</v>
      </c>
      <c r="Q21" s="247" t="str">
        <f>Sheet_DonBan!P17</f>
        <v/>
      </c>
      <c r="S21" s="247" t="str">
        <f>Sheet_VanDon!E18</f>
        <v/>
      </c>
      <c r="T21" s="247"/>
      <c r="U21" s="247"/>
      <c r="V21" s="247">
        <f>Sheet_VanDon!G18</f>
        <v>0</v>
      </c>
      <c r="W21" s="247" t="str">
        <f>Sheet_VanDon!I18</f>
        <v/>
      </c>
    </row>
    <row r="22" spans="13:23" x14ac:dyDescent="0.3">
      <c r="M22" s="247" t="str">
        <f>Sheet_DonBan!D18</f>
        <v/>
      </c>
      <c r="N22" s="21"/>
      <c r="O22" s="21"/>
      <c r="P22" s="247">
        <f>Sheet_DonBan!E18</f>
        <v>0</v>
      </c>
      <c r="Q22" s="247" t="str">
        <f>Sheet_DonBan!P18</f>
        <v/>
      </c>
      <c r="S22" s="247" t="str">
        <f>Sheet_VanDon!E19</f>
        <v/>
      </c>
      <c r="T22" s="7"/>
      <c r="U22" s="7"/>
      <c r="V22" s="247">
        <f>Sheet_VanDon!G19</f>
        <v>0</v>
      </c>
      <c r="W22" s="247" t="str">
        <f>Sheet_VanDon!I19</f>
        <v/>
      </c>
    </row>
    <row r="23" spans="13:23" x14ac:dyDescent="0.3">
      <c r="M23" s="247" t="str">
        <f>Sheet_DonBan!D19</f>
        <v/>
      </c>
      <c r="N23" s="21"/>
      <c r="O23" s="21"/>
      <c r="P23" s="247">
        <f>Sheet_DonBan!E19</f>
        <v>0</v>
      </c>
      <c r="Q23" s="247" t="str">
        <f>Sheet_DonBan!P19</f>
        <v/>
      </c>
      <c r="S23" s="247" t="str">
        <f>Sheet_VanDon!E20</f>
        <v/>
      </c>
      <c r="T23" s="7"/>
      <c r="U23" s="7"/>
      <c r="V23" s="247">
        <f>Sheet_VanDon!G20</f>
        <v>0</v>
      </c>
      <c r="W23" s="247" t="str">
        <f>Sheet_VanDon!I20</f>
        <v/>
      </c>
    </row>
    <row r="24" spans="13:23" x14ac:dyDescent="0.3">
      <c r="M24" s="247" t="str">
        <f>Sheet_DonBan!D20</f>
        <v/>
      </c>
      <c r="N24" s="21"/>
      <c r="O24" s="21"/>
      <c r="P24" s="247">
        <f>Sheet_DonBan!E20</f>
        <v>0</v>
      </c>
      <c r="Q24" s="247" t="str">
        <f>Sheet_DonBan!P20</f>
        <v/>
      </c>
      <c r="S24" s="247" t="str">
        <f>Sheet_VanDon!E21</f>
        <v/>
      </c>
      <c r="T24" s="7"/>
      <c r="U24" s="7"/>
      <c r="V24" s="247">
        <f>Sheet_VanDon!G21</f>
        <v>0</v>
      </c>
      <c r="W24" s="247" t="str">
        <f>Sheet_VanDon!I21</f>
        <v/>
      </c>
    </row>
    <row r="25" spans="13:23" x14ac:dyDescent="0.3">
      <c r="M25" s="247" t="str">
        <f>Sheet_DonBan!D21</f>
        <v/>
      </c>
      <c r="N25" s="21"/>
      <c r="O25" s="21"/>
      <c r="P25" s="247">
        <f>Sheet_DonBan!E21</f>
        <v>0</v>
      </c>
      <c r="Q25" s="247" t="str">
        <f>Sheet_DonBan!P21</f>
        <v/>
      </c>
      <c r="S25" s="247" t="str">
        <f>Sheet_VanDon!E22</f>
        <v/>
      </c>
      <c r="T25" s="21"/>
      <c r="U25" s="21"/>
      <c r="V25" s="247">
        <f>Sheet_VanDon!G22</f>
        <v>0</v>
      </c>
      <c r="W25" s="247" t="str">
        <f>Sheet_VanDon!I22</f>
        <v/>
      </c>
    </row>
    <row r="26" spans="13:23" x14ac:dyDescent="0.3">
      <c r="M26" s="247" t="str">
        <f>Sheet_DonBan!D22</f>
        <v/>
      </c>
      <c r="N26" s="247"/>
      <c r="O26" s="247"/>
      <c r="P26" s="247">
        <f>Sheet_DonBan!E22</f>
        <v>0</v>
      </c>
      <c r="Q26" s="247" t="str">
        <f>Sheet_DonBan!P22</f>
        <v/>
      </c>
      <c r="S26" s="247" t="str">
        <f>Sheet_VanDon!E23</f>
        <v/>
      </c>
      <c r="T26" s="247"/>
      <c r="U26" s="247"/>
      <c r="V26" s="247">
        <f>Sheet_VanDon!G23</f>
        <v>0</v>
      </c>
      <c r="W26" s="247" t="str">
        <f>Sheet_VanDon!I23</f>
        <v/>
      </c>
    </row>
    <row r="27" spans="13:23" x14ac:dyDescent="0.3">
      <c r="M27" s="247" t="str">
        <f>Sheet_DonBan!D23</f>
        <v/>
      </c>
      <c r="N27" s="247"/>
      <c r="O27" s="247"/>
      <c r="P27" s="247">
        <f>Sheet_DonBan!E23</f>
        <v>0</v>
      </c>
      <c r="Q27" s="247" t="str">
        <f>Sheet_DonBan!P23</f>
        <v/>
      </c>
      <c r="S27" s="247" t="str">
        <f>Sheet_VanDon!E24</f>
        <v/>
      </c>
      <c r="T27" s="247"/>
      <c r="U27" s="247"/>
      <c r="V27" s="247">
        <f>Sheet_VanDon!G24</f>
        <v>0</v>
      </c>
      <c r="W27" s="247" t="str">
        <f>Sheet_VanDon!I24</f>
        <v/>
      </c>
    </row>
    <row r="28" spans="13:23" x14ac:dyDescent="0.3">
      <c r="M28" s="247" t="str">
        <f>Sheet_DonBan!D24</f>
        <v/>
      </c>
      <c r="N28" s="247"/>
      <c r="O28" s="247"/>
      <c r="P28" s="247">
        <f>Sheet_DonBan!E24</f>
        <v>0</v>
      </c>
      <c r="Q28" s="247" t="str">
        <f>Sheet_DonBan!P24</f>
        <v/>
      </c>
      <c r="S28" s="247" t="str">
        <f>Sheet_VanDon!E25</f>
        <v/>
      </c>
      <c r="T28" s="247"/>
      <c r="U28" s="247"/>
      <c r="V28" s="247">
        <f>Sheet_VanDon!G25</f>
        <v>0</v>
      </c>
      <c r="W28" s="247" t="str">
        <f>Sheet_VanDon!I25</f>
        <v/>
      </c>
    </row>
    <row r="29" spans="13:23" x14ac:dyDescent="0.3">
      <c r="M29" s="247" t="str">
        <f>Sheet_DonBan!D25</f>
        <v/>
      </c>
      <c r="N29" s="247"/>
      <c r="O29" s="247"/>
      <c r="P29" s="247">
        <f>Sheet_DonBan!E25</f>
        <v>0</v>
      </c>
      <c r="Q29" s="247" t="str">
        <f>Sheet_DonBan!P25</f>
        <v/>
      </c>
      <c r="S29" s="247" t="str">
        <f>Sheet_VanDon!E26</f>
        <v/>
      </c>
      <c r="T29" s="247"/>
      <c r="U29" s="247"/>
      <c r="V29" s="247">
        <f>Sheet_VanDon!G26</f>
        <v>0</v>
      </c>
      <c r="W29" s="247" t="str">
        <f>Sheet_VanDon!I26</f>
        <v/>
      </c>
    </row>
    <row r="30" spans="13:23" x14ac:dyDescent="0.3">
      <c r="M30" s="247" t="str">
        <f>Sheet_DonBan!D26</f>
        <v/>
      </c>
      <c r="N30" s="247"/>
      <c r="O30" s="247"/>
      <c r="P30" s="247">
        <f>Sheet_DonBan!E26</f>
        <v>0</v>
      </c>
      <c r="Q30" s="247">
        <f>Sheet_DonBan!P26</f>
        <v>0</v>
      </c>
      <c r="S30" s="247" t="str">
        <f>Sheet_VanDon!E27</f>
        <v/>
      </c>
      <c r="T30" s="247"/>
      <c r="U30" s="247"/>
      <c r="V30" s="247">
        <f>Sheet_VanDon!G27</f>
        <v>0</v>
      </c>
      <c r="W30" s="247" t="str">
        <f>Sheet_VanDon!I27</f>
        <v/>
      </c>
    </row>
    <row r="31" spans="13:23" x14ac:dyDescent="0.3">
      <c r="M31" s="247" t="str">
        <f>Sheet_DonBan!D27</f>
        <v/>
      </c>
      <c r="N31" s="247"/>
      <c r="O31" s="247"/>
      <c r="P31" s="247">
        <f>Sheet_DonBan!E27</f>
        <v>0</v>
      </c>
      <c r="Q31" s="247" t="str">
        <f>Sheet_DonBan!P27</f>
        <v/>
      </c>
      <c r="S31" s="247" t="str">
        <f>Sheet_VanDon!E28</f>
        <v/>
      </c>
      <c r="T31" s="247"/>
      <c r="U31" s="247"/>
      <c r="V31" s="247">
        <f>Sheet_VanDon!G28</f>
        <v>0</v>
      </c>
      <c r="W31" s="247" t="str">
        <f>Sheet_VanDon!I28</f>
        <v/>
      </c>
    </row>
    <row r="32" spans="13:23" x14ac:dyDescent="0.3">
      <c r="M32" s="247" t="str">
        <f>Sheet_DonBan!D28</f>
        <v/>
      </c>
      <c r="N32" s="21"/>
      <c r="O32" s="21"/>
      <c r="P32" s="247">
        <f>Sheet_DonBan!E28</f>
        <v>0</v>
      </c>
      <c r="Q32" s="247" t="str">
        <f>Sheet_DonBan!P28</f>
        <v/>
      </c>
      <c r="S32" s="247" t="str">
        <f>Sheet_VanDon!E29</f>
        <v/>
      </c>
      <c r="T32" s="21"/>
      <c r="U32" s="21"/>
      <c r="V32" s="247">
        <f>Sheet_VanDon!G29</f>
        <v>0</v>
      </c>
      <c r="W32" s="247" t="str">
        <f>Sheet_VanDon!I29</f>
        <v/>
      </c>
    </row>
    <row r="33" spans="13:23" x14ac:dyDescent="0.3">
      <c r="M33" s="247"/>
      <c r="N33" s="21"/>
      <c r="O33" s="21"/>
      <c r="P33" s="7"/>
      <c r="Q33" s="7"/>
      <c r="S33" s="247"/>
      <c r="T33" s="21"/>
      <c r="U33" s="21"/>
      <c r="V33" s="7"/>
      <c r="W33" s="7"/>
    </row>
    <row r="34" spans="13:23" ht="17.25" x14ac:dyDescent="0.3">
      <c r="M34" s="247" t="s">
        <v>704</v>
      </c>
      <c r="N34" s="247">
        <f>Sheet_DonBan!P30</f>
        <v>0</v>
      </c>
      <c r="O34" s="343"/>
      <c r="P34" s="247" t="s">
        <v>688</v>
      </c>
      <c r="Q34" s="247">
        <f>Sheet_DonBan!P35</f>
        <v>0</v>
      </c>
      <c r="S34" s="247" t="s">
        <v>704</v>
      </c>
      <c r="T34" s="247">
        <f>Sheet_VanDon!I31</f>
        <v>0</v>
      </c>
      <c r="V34" s="247" t="s">
        <v>716</v>
      </c>
      <c r="W34" s="247">
        <f>Sheet_VanDon!I33</f>
        <v>0</v>
      </c>
    </row>
    <row r="35" spans="13:23" ht="17.25" x14ac:dyDescent="0.3">
      <c r="M35" s="247" t="s">
        <v>716</v>
      </c>
      <c r="N35" s="247">
        <f>Sheet_DonBan!P34</f>
        <v>0</v>
      </c>
      <c r="O35" s="343"/>
      <c r="P35" s="247" t="s">
        <v>900</v>
      </c>
      <c r="Q35" s="379">
        <f>Sheet_DonBan!P36</f>
        <v>0</v>
      </c>
      <c r="S35" s="247" t="s">
        <v>749</v>
      </c>
      <c r="T35" s="247">
        <f>Sheet_VanDon!I32</f>
        <v>0</v>
      </c>
      <c r="V35" s="247" t="s">
        <v>688</v>
      </c>
      <c r="W35" s="247">
        <f>Sheet_VanDon!I34</f>
        <v>0</v>
      </c>
    </row>
    <row r="36" spans="13:23" x14ac:dyDescent="0.3">
      <c r="S36" s="247" t="s">
        <v>900</v>
      </c>
      <c r="T36" s="379">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O25"/>
  <sheetViews>
    <sheetView showGridLines="0" workbookViewId="0">
      <selection activeCell="D7" sqref="D7"/>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5" s="308" customFormat="1" ht="22.5" customHeight="1" x14ac:dyDescent="0.3">
      <c r="A1" s="307">
        <v>0</v>
      </c>
      <c r="B1" s="307">
        <f t="shared" ref="B1:I1" si="0">+A1+1</f>
        <v>1</v>
      </c>
      <c r="C1" s="307">
        <f t="shared" si="0"/>
        <v>2</v>
      </c>
      <c r="D1" s="307">
        <f t="shared" si="0"/>
        <v>3</v>
      </c>
      <c r="E1" s="307">
        <f t="shared" si="0"/>
        <v>4</v>
      </c>
      <c r="F1" s="307">
        <f t="shared" si="0"/>
        <v>5</v>
      </c>
      <c r="G1" s="307">
        <f t="shared" si="0"/>
        <v>6</v>
      </c>
      <c r="H1" s="307">
        <f t="shared" si="0"/>
        <v>7</v>
      </c>
      <c r="I1" s="307">
        <f t="shared" si="0"/>
        <v>8</v>
      </c>
      <c r="J1" s="307"/>
    </row>
    <row r="2" spans="1:15" s="95" customFormat="1" ht="18" customHeight="1" x14ac:dyDescent="0.3">
      <c r="A2" s="269"/>
      <c r="B2" s="269"/>
      <c r="C2" s="269"/>
      <c r="D2" s="269"/>
      <c r="E2" s="269"/>
      <c r="F2" s="269"/>
      <c r="G2" s="269"/>
      <c r="H2" s="269"/>
      <c r="I2" s="269"/>
      <c r="J2" s="269"/>
    </row>
    <row r="3" spans="1:15" s="95" customFormat="1" ht="18" customHeight="1" outlineLevel="1" x14ac:dyDescent="0.3">
      <c r="A3" s="269"/>
      <c r="B3" s="269"/>
      <c r="C3" s="269"/>
      <c r="D3" s="112" t="s">
        <v>840</v>
      </c>
      <c r="E3" s="95" t="str" cm="1">
        <f t="array" ref="E3:G3">TRANSPOSE(_xlfn._xlws.SORT(_xlfn._xlws.FILTER(Table_NhaCungCap[Mã Đối tác],Table_NhaCungCap[Loại đối tác]=D3,"")))</f>
        <v>NCC1</v>
      </c>
      <c r="F3" s="269" t="str">
        <v>NCC2</v>
      </c>
      <c r="G3" s="269" t="str">
        <v>NCC3</v>
      </c>
      <c r="H3" s="269"/>
      <c r="I3" s="269"/>
      <c r="J3" s="269"/>
    </row>
    <row r="4" spans="1:15" s="95" customFormat="1" ht="18" customHeight="1" outlineLevel="1" x14ac:dyDescent="0.3">
      <c r="A4" s="269"/>
      <c r="B4" s="269"/>
      <c r="C4" s="269"/>
      <c r="D4" s="112" t="s">
        <v>37</v>
      </c>
      <c r="E4" s="95" t="str" cm="1">
        <f t="array" ref="E4">TRANSPOSE(_xlfn._xlws.SORT(_xlfn._xlws.FILTER(Table_NhaCungCap[Mã Đối tác],Table_NhaCungCap[Loại đối tác]=D4,"")))</f>
        <v/>
      </c>
      <c r="F4" s="269"/>
      <c r="G4" s="269"/>
      <c r="H4" s="269"/>
      <c r="I4" s="269"/>
      <c r="J4" s="269"/>
    </row>
    <row r="5" spans="1:15" s="95" customFormat="1" ht="18" customHeight="1" outlineLevel="1" x14ac:dyDescent="0.3">
      <c r="A5" s="269"/>
      <c r="B5" s="269"/>
      <c r="C5" s="269"/>
      <c r="D5" s="112" t="s">
        <v>210</v>
      </c>
      <c r="E5" s="95" t="str" cm="1">
        <f t="array" ref="E5">TRANSPOSE(_xlfn._xlws.SORT(_xlfn._xlws.FILTER(Table_NhaCungCap[Mã Đối tác],Table_NhaCungCap[Loại đối tác]=D5,"")))</f>
        <v/>
      </c>
      <c r="F5" s="269"/>
      <c r="G5" s="269"/>
      <c r="H5" s="269"/>
      <c r="I5" s="269"/>
      <c r="J5" s="269"/>
    </row>
    <row r="6" spans="1:15" s="95" customFormat="1" ht="18" customHeight="1" outlineLevel="1" x14ac:dyDescent="0.3">
      <c r="A6" s="269"/>
      <c r="B6" s="269"/>
      <c r="C6" s="269"/>
      <c r="D6" s="112" t="s">
        <v>841</v>
      </c>
      <c r="E6" s="95" t="str" cm="1">
        <f t="array" ref="E6">TRANSPOSE(_xlfn._xlws.SORT(_xlfn._xlws.FILTER(Table_NhaCungCap[Mã Đối tác],Table_NhaCungCap[Loại đối tác]=D6,"")))</f>
        <v/>
      </c>
      <c r="F6" s="269"/>
      <c r="G6" s="269"/>
      <c r="H6" s="269"/>
      <c r="I6" s="269"/>
      <c r="J6" s="269"/>
    </row>
    <row r="7" spans="1:15" s="95" customFormat="1" ht="18" customHeight="1" outlineLevel="1" x14ac:dyDescent="0.3">
      <c r="A7" s="269"/>
      <c r="B7" s="269"/>
      <c r="C7" s="269"/>
      <c r="D7" s="112" t="s">
        <v>139</v>
      </c>
      <c r="E7" s="95" t="str" cm="1">
        <f t="array" ref="E7:F7">TRANSPOSE(_xlfn._xlws.SORT(_xlfn._xlws.FILTER(Table_NhaCungCap[Mã Đối tác],Table_NhaCungCap[Loại đối tác]=D7,"")))</f>
        <v>EVN</v>
      </c>
      <c r="F7" s="269" t="str">
        <v>NSG</v>
      </c>
      <c r="G7" s="269"/>
      <c r="H7" s="269"/>
      <c r="I7" s="269"/>
      <c r="J7" s="269"/>
    </row>
    <row r="8" spans="1:15" s="95" customFormat="1" ht="18" customHeight="1" outlineLevel="1" x14ac:dyDescent="0.3">
      <c r="A8" s="269"/>
      <c r="B8" s="269"/>
      <c r="C8" s="269"/>
      <c r="D8" s="112" t="s">
        <v>1264</v>
      </c>
      <c r="E8" s="95" t="str" cm="1">
        <f t="array" ref="E8">TRANSPOSE(_xlfn._xlws.SORT(_xlfn._xlws.FILTER(Table_NhaCungCap[Mã Đối tác],Table_NhaCungCap[Loại đối tác]=D8,"")))</f>
        <v/>
      </c>
      <c r="F8" s="269"/>
      <c r="G8" s="269"/>
      <c r="H8" s="269"/>
      <c r="I8" s="269"/>
      <c r="J8" s="269"/>
    </row>
    <row r="9" spans="1:15" s="95" customFormat="1" ht="18" customHeight="1" outlineLevel="1" x14ac:dyDescent="0.3">
      <c r="A9" s="269"/>
      <c r="B9" s="269"/>
      <c r="C9" s="269"/>
      <c r="D9" s="112" t="s">
        <v>843</v>
      </c>
      <c r="E9" s="95" t="str" cm="1">
        <f t="array" ref="E9:F9">TRANSPOSE(_xlfn._xlws.SORT(_xlfn._xlws.FILTER(Table_NhaCungCap[Mã Đối tác],Table_NhaCungCap[Loại đối tác]=D9,"")))</f>
        <v>MT</v>
      </c>
      <c r="F9" s="269" t="str">
        <v>O&amp;M</v>
      </c>
      <c r="G9" s="269"/>
      <c r="H9" s="269"/>
      <c r="I9" s="269"/>
      <c r="J9" s="269"/>
    </row>
    <row r="10" spans="1:15" s="95" customFormat="1" ht="18" customHeight="1" outlineLevel="1" x14ac:dyDescent="0.3">
      <c r="A10" s="269"/>
      <c r="B10" s="269"/>
      <c r="C10" s="269"/>
      <c r="D10" s="112" t="s">
        <v>844</v>
      </c>
      <c r="E10" s="95" t="str" cm="1">
        <f t="array" ref="E10:F10">TRANSPOSE(_xlfn._xlws.SORT(_xlfn._xlws.FILTER(Table_NhaCungCap[Mã Đối tác],Table_NhaCungCap[Loại đối tác]=D10,"")))</f>
        <v>Ad1</v>
      </c>
      <c r="F10" s="269" t="str">
        <v>Agency1</v>
      </c>
      <c r="G10" s="269"/>
      <c r="H10" s="269"/>
      <c r="I10" s="269"/>
      <c r="J10" s="269"/>
    </row>
    <row r="11" spans="1:15" s="95" customFormat="1" ht="18" customHeight="1" outlineLevel="1" x14ac:dyDescent="0.3">
      <c r="A11" s="269"/>
      <c r="B11" s="269"/>
      <c r="C11" s="269"/>
      <c r="D11" s="112" t="s">
        <v>845</v>
      </c>
      <c r="E11" s="95" t="str" cm="1">
        <f t="array" ref="E11:F11">TRANSPOSE(_xlfn._xlws.SORT(_xlfn._xlws.FILTER(Table_NhaCungCap[Mã Đối tác],Table_NhaCungCap[Loại đối tác]=D11,"")))</f>
        <v>Secu</v>
      </c>
      <c r="F11" s="269" t="str">
        <v>Soft1</v>
      </c>
      <c r="G11" s="269"/>
      <c r="H11" s="269"/>
      <c r="I11" s="269"/>
      <c r="J11" s="269"/>
    </row>
    <row r="12" spans="1:15" s="95" customFormat="1" ht="18" customHeight="1" outlineLevel="1" x14ac:dyDescent="0.3">
      <c r="A12" s="269"/>
      <c r="B12" s="269"/>
      <c r="C12" s="269"/>
      <c r="D12" s="112" t="s">
        <v>842</v>
      </c>
      <c r="E12" s="95" t="str" cm="1">
        <f t="array" ref="E12">TRANSPOSE(_xlfn._xlws.SORT(_xlfn._xlws.FILTER(Table_NhaCungCap[Mã Đối tác],Table_NhaCungCap[Loại đối tác]=D12,"")))</f>
        <v/>
      </c>
      <c r="F12" s="269"/>
      <c r="G12" s="269"/>
      <c r="H12" s="269"/>
      <c r="I12" s="269"/>
      <c r="J12" s="269"/>
    </row>
    <row r="13" spans="1:15" s="95" customFormat="1" ht="18" customHeight="1" outlineLevel="1" x14ac:dyDescent="0.3">
      <c r="A13" s="269"/>
      <c r="B13" s="269"/>
      <c r="C13" s="269"/>
      <c r="D13" s="112" t="s">
        <v>798</v>
      </c>
      <c r="E13" s="269" t="str" cm="1">
        <f t="array" ref="E13:O13">TRANSPOSE(_xlfn._xlws.SORT(Table_NhaCungCap[Mã Đối tác]))</f>
        <v>Ad1</v>
      </c>
      <c r="F13" s="269" t="str">
        <v>Agency1</v>
      </c>
      <c r="G13" s="269" t="str">
        <v>EVN</v>
      </c>
      <c r="H13" s="269" t="str">
        <v>MT</v>
      </c>
      <c r="I13" s="269" t="str">
        <v>NCC1</v>
      </c>
      <c r="J13" s="269" t="str">
        <v>NCC2</v>
      </c>
      <c r="K13" s="95" t="str">
        <v>NCC3</v>
      </c>
      <c r="L13" s="95" t="str">
        <v>NSG</v>
      </c>
      <c r="M13" s="95" t="str">
        <v>O&amp;M</v>
      </c>
      <c r="N13" s="95" t="str">
        <v>Secu</v>
      </c>
      <c r="O13" s="95" t="str">
        <v>Soft1</v>
      </c>
    </row>
    <row r="14" spans="1:15" s="112" customFormat="1" ht="18" customHeight="1" x14ac:dyDescent="0.3">
      <c r="A14" s="270"/>
      <c r="B14" s="172" t="s">
        <v>693</v>
      </c>
      <c r="C14" s="172" t="s">
        <v>664</v>
      </c>
      <c r="D14" s="172" t="s">
        <v>846</v>
      </c>
      <c r="E14" s="172" t="s">
        <v>536</v>
      </c>
      <c r="F14" s="172" t="s">
        <v>785</v>
      </c>
      <c r="G14" s="172" t="s">
        <v>833</v>
      </c>
      <c r="H14" s="172" t="s">
        <v>266</v>
      </c>
      <c r="I14" s="172" t="s">
        <v>168</v>
      </c>
      <c r="J14" s="7" t="s">
        <v>873</v>
      </c>
    </row>
    <row r="15" spans="1:15" ht="18" customHeight="1" x14ac:dyDescent="0.3">
      <c r="A15" s="240"/>
      <c r="B15" s="259" t="s">
        <v>1260</v>
      </c>
      <c r="C15" s="259" t="s">
        <v>1261</v>
      </c>
      <c r="D15" s="259" t="s">
        <v>845</v>
      </c>
      <c r="E15" s="259"/>
      <c r="F15" s="259"/>
      <c r="G15" s="259"/>
      <c r="H15" s="259"/>
      <c r="I15" s="115">
        <f>IFERROR(VLOOKUP(Table_NhaCungCap[[#This Row],[Mã Đối tác]],Table_PhaiTra[[Đối tác]:[Add]],COUNTA(Table_PhaiTra[[#Headers],[Đối tác]:[Add]])-1,0),0)</f>
        <v>0</v>
      </c>
      <c r="J15" s="259"/>
    </row>
    <row r="16" spans="1:15" ht="18" customHeight="1" x14ac:dyDescent="0.3">
      <c r="B16" s="259" t="s">
        <v>1258</v>
      </c>
      <c r="C16" s="259" t="s">
        <v>1259</v>
      </c>
      <c r="D16" s="259" t="s">
        <v>845</v>
      </c>
      <c r="E16" s="259"/>
      <c r="F16" s="259"/>
      <c r="G16" s="259"/>
      <c r="H16" s="259"/>
      <c r="I16" s="115">
        <f>IFERROR(VLOOKUP(Table_NhaCungCap[[#This Row],[Mã Đối tác]],Table_PhaiTra[[Đối tác]:[Add]],COUNTA(Table_PhaiTra[[#Headers],[Đối tác]:[Add]])-1,0),0)</f>
        <v>0</v>
      </c>
      <c r="J16" s="259"/>
    </row>
    <row r="17" spans="2:10" ht="18" customHeight="1" x14ac:dyDescent="0.3">
      <c r="B17" s="259" t="s">
        <v>1256</v>
      </c>
      <c r="C17" s="259" t="s">
        <v>1257</v>
      </c>
      <c r="D17" s="259" t="s">
        <v>844</v>
      </c>
      <c r="E17" s="259"/>
      <c r="F17" s="259"/>
      <c r="G17" s="259"/>
      <c r="H17" s="259"/>
      <c r="I17" s="115">
        <f>IFERROR(VLOOKUP(Table_NhaCungCap[[#This Row],[Mã Đối tác]],Table_PhaiTra[[Đối tác]:[Add]],COUNTA(Table_PhaiTra[[#Headers],[Đối tác]:[Add]])-1,0),0)</f>
        <v>0</v>
      </c>
      <c r="J17" s="259"/>
    </row>
    <row r="18" spans="2:10" ht="18" customHeight="1" x14ac:dyDescent="0.3">
      <c r="B18" s="259" t="s">
        <v>1254</v>
      </c>
      <c r="C18" s="259" t="s">
        <v>1255</v>
      </c>
      <c r="D18" s="259" t="s">
        <v>844</v>
      </c>
      <c r="E18" s="259"/>
      <c r="F18" s="259"/>
      <c r="G18" s="259"/>
      <c r="H18" s="259"/>
      <c r="I18" s="115">
        <f>IFERROR(VLOOKUP(Table_NhaCungCap[[#This Row],[Mã Đối tác]],Table_PhaiTra[[Đối tác]:[Add]],COUNTA(Table_PhaiTra[[#Headers],[Đối tác]:[Add]])-1,0),0)</f>
        <v>0</v>
      </c>
      <c r="J18" s="259"/>
    </row>
    <row r="19" spans="2:10" ht="18" customHeight="1" x14ac:dyDescent="0.3">
      <c r="B19" s="259" t="s">
        <v>1262</v>
      </c>
      <c r="C19" s="259" t="s">
        <v>1263</v>
      </c>
      <c r="D19" s="259" t="s">
        <v>843</v>
      </c>
      <c r="E19" s="259"/>
      <c r="F19" s="259"/>
      <c r="G19" s="259"/>
      <c r="H19" s="259"/>
      <c r="I19" s="115">
        <f>IFERROR(VLOOKUP(Table_NhaCungCap[[#This Row],[Mã Đối tác]],Table_PhaiTra[[Đối tác]:[Add]],COUNTA(Table_PhaiTra[[#Headers],[Đối tác]:[Add]])-1,0),0)</f>
        <v>0</v>
      </c>
      <c r="J19" s="259"/>
    </row>
    <row r="20" spans="2:10" ht="18" customHeight="1" x14ac:dyDescent="0.3">
      <c r="B20" s="259" t="s">
        <v>1252</v>
      </c>
      <c r="C20" s="259" t="s">
        <v>1253</v>
      </c>
      <c r="D20" s="259" t="s">
        <v>843</v>
      </c>
      <c r="E20" s="259"/>
      <c r="F20" s="259"/>
      <c r="G20" s="259"/>
      <c r="H20" s="259"/>
      <c r="I20" s="115">
        <f>IFERROR(VLOOKUP(Table_NhaCungCap[[#This Row],[Mã Đối tác]],Table_PhaiTra[[Đối tác]:[Add]],COUNTA(Table_PhaiTra[[#Headers],[Đối tác]:[Add]])-1,0),0)</f>
        <v>0</v>
      </c>
      <c r="J20" s="259"/>
    </row>
    <row r="21" spans="2:10" ht="18" customHeight="1" x14ac:dyDescent="0.3">
      <c r="B21" s="259" t="s">
        <v>1250</v>
      </c>
      <c r="C21" s="259" t="s">
        <v>1251</v>
      </c>
      <c r="D21" s="259" t="s">
        <v>139</v>
      </c>
      <c r="E21" s="259"/>
      <c r="F21" s="259"/>
      <c r="G21" s="259"/>
      <c r="H21" s="259"/>
      <c r="I21" s="115">
        <f>IFERROR(VLOOKUP(Table_NhaCungCap[[#This Row],[Mã Đối tác]],Table_PhaiTra[[Đối tác]:[Add]],COUNTA(Table_PhaiTra[[#Headers],[Đối tác]:[Add]])-1,0),0)</f>
        <v>0</v>
      </c>
      <c r="J21" s="259"/>
    </row>
    <row r="22" spans="2:10" ht="18" customHeight="1" x14ac:dyDescent="0.3">
      <c r="B22" s="259" t="s">
        <v>1249</v>
      </c>
      <c r="C22" s="259" t="s">
        <v>1249</v>
      </c>
      <c r="D22" s="259" t="s">
        <v>139</v>
      </c>
      <c r="E22" s="259"/>
      <c r="F22" s="259"/>
      <c r="G22" s="259"/>
      <c r="H22" s="259"/>
      <c r="I22" s="115">
        <f>IFERROR(VLOOKUP(Table_NhaCungCap[[#This Row],[Mã Đối tác]],Table_PhaiTra[[Đối tác]:[Add]],COUNTA(Table_PhaiTra[[#Headers],[Đối tác]:[Add]])-1,0),0)</f>
        <v>0</v>
      </c>
      <c r="J22" s="259"/>
    </row>
    <row r="23" spans="2:10" ht="18" customHeight="1" x14ac:dyDescent="0.3">
      <c r="B23" s="259" t="s">
        <v>1160</v>
      </c>
      <c r="C23" s="259"/>
      <c r="D23" s="259" t="s">
        <v>840</v>
      </c>
      <c r="E23" s="259"/>
      <c r="F23" s="259"/>
      <c r="G23" s="259"/>
      <c r="H23" s="259"/>
      <c r="I23" s="115">
        <f>IFERROR(VLOOKUP(Table_NhaCungCap[[#This Row],[Mã Đối tác]],Table_PhaiTra[[Đối tác]:[Add]],COUNTA(Table_PhaiTra[[#Headers],[Đối tác]:[Add]])-1,0),0)</f>
        <v>-252902</v>
      </c>
      <c r="J23" s="259"/>
    </row>
    <row r="24" spans="2:10" ht="18" customHeight="1" x14ac:dyDescent="0.3">
      <c r="B24" s="259" t="s">
        <v>1159</v>
      </c>
      <c r="C24" s="259"/>
      <c r="D24" s="259" t="s">
        <v>840</v>
      </c>
      <c r="E24" s="259"/>
      <c r="F24" s="259"/>
      <c r="G24" s="259"/>
      <c r="H24" s="259"/>
      <c r="I24" s="115">
        <f>IFERROR(VLOOKUP(Table_NhaCungCap[[#This Row],[Mã Đối tác]],Table_PhaiTra[[Đối tác]:[Add]],COUNTA(Table_PhaiTra[[#Headers],[Đối tác]:[Add]])-1,0),0)</f>
        <v>-376901</v>
      </c>
      <c r="J24" s="259"/>
    </row>
    <row r="25" spans="2:10" ht="18" customHeight="1" x14ac:dyDescent="0.3">
      <c r="B25" s="259" t="s">
        <v>1158</v>
      </c>
      <c r="C25" s="259"/>
      <c r="D25" s="259" t="s">
        <v>840</v>
      </c>
      <c r="E25" s="259"/>
      <c r="F25" s="259"/>
      <c r="G25" s="259"/>
      <c r="H25" s="240"/>
      <c r="I25" s="18">
        <f>IFERROR(VLOOKUP(Table_NhaCungCap[[#This Row],[Mã Đối tác]],Table_PhaiTra[[Đối tác]:[Add]],COUNTA(Table_PhaiTra[[#Headers],[Đối tác]:[Add]])-1,0),0)</f>
        <v>430146</v>
      </c>
      <c r="J25" s="259"/>
    </row>
  </sheetData>
  <sheetProtection algorithmName="SHA-512" hashValue="W+/Dmmb4FhOQKYPuu8wqxBwQR0BdiChG9MZ+jxAmVN2V4wjMtVue1vwHC1T9i7A2qLM2kuPIEZY8PM6tH4VWYA==" saltValue="GYGQIV1pSFrudSK8iBENkQ==" spinCount="100000" sheet="1" scenarios="1" formatCells="0" formatColumns="0" formatRows="0" insertColumns="0" insertRows="0" deleteColumns="0" deleteRows="0" sort="0" autoFilter="0" pivotTables="0"/>
  <protectedRanges>
    <protectedRange sqref="A14:I14 D1:O2 A7:K13 B25:J1048576 A15:A1048576 K14:XFD1048576 B15:I24 D3:K6 P1:XFD6 P7:XFD13 A1:C6" name="Range1"/>
    <protectedRange sqref="J14:J24" name="Range1_1"/>
  </protectedRanges>
  <phoneticPr fontId="14" type="noConversion"/>
  <conditionalFormatting sqref="B15:B25">
    <cfRule type="duplicateValues" dxfId="185" priority="824"/>
  </conditionalFormatting>
  <dataValidations count="1">
    <dataValidation type="list" allowBlank="1" showInputMessage="1" showErrorMessage="1" sqref="D15:D25"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A14:XFD1048576 P3:XFD13 A3:K13</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08" customFormat="1" ht="18" customHeight="1" x14ac:dyDescent="0.3">
      <c r="A1" s="307">
        <v>0</v>
      </c>
      <c r="B1" s="307">
        <f>+A1+1</f>
        <v>1</v>
      </c>
      <c r="C1" s="307">
        <f>+B1+1</f>
        <v>2</v>
      </c>
      <c r="D1" s="307">
        <f>+C1+1</f>
        <v>3</v>
      </c>
      <c r="E1" s="307">
        <f>+D1+1</f>
        <v>4</v>
      </c>
      <c r="F1" s="307"/>
      <c r="G1" s="307">
        <v>0</v>
      </c>
      <c r="H1" s="307">
        <f>+G1+1</f>
        <v>1</v>
      </c>
      <c r="I1" s="307">
        <f>+H1+1</f>
        <v>2</v>
      </c>
      <c r="J1" s="307">
        <f>+I1+1</f>
        <v>3</v>
      </c>
      <c r="K1" s="307">
        <f>+J1+1</f>
        <v>4</v>
      </c>
      <c r="L1" s="307"/>
      <c r="M1" s="307"/>
      <c r="N1" s="307"/>
      <c r="O1" s="307"/>
      <c r="P1" s="307"/>
      <c r="Q1" s="307"/>
      <c r="R1" s="307">
        <v>0</v>
      </c>
      <c r="S1" s="307">
        <f>+R1+1</f>
        <v>1</v>
      </c>
      <c r="T1" s="307">
        <f t="shared" ref="T1:Z1" si="0">+S1+1</f>
        <v>2</v>
      </c>
      <c r="U1" s="307">
        <f t="shared" si="0"/>
        <v>3</v>
      </c>
      <c r="V1" s="307">
        <f t="shared" si="0"/>
        <v>4</v>
      </c>
      <c r="W1" s="307">
        <f t="shared" si="0"/>
        <v>5</v>
      </c>
      <c r="X1" s="307">
        <f t="shared" si="0"/>
        <v>6</v>
      </c>
      <c r="Y1" s="307">
        <f t="shared" si="0"/>
        <v>7</v>
      </c>
      <c r="Z1" s="307">
        <f t="shared" si="0"/>
        <v>8</v>
      </c>
      <c r="AA1" s="307"/>
      <c r="AB1" s="307"/>
    </row>
    <row r="2" spans="1:29" s="112" customFormat="1" ht="18" customHeight="1" x14ac:dyDescent="0.3">
      <c r="A2" s="270"/>
      <c r="B2" s="270"/>
      <c r="C2" s="270"/>
      <c r="D2" s="270"/>
      <c r="E2" s="270"/>
      <c r="F2" s="270"/>
      <c r="G2" s="270"/>
      <c r="H2" s="270"/>
      <c r="I2" s="270"/>
      <c r="J2" s="270"/>
      <c r="K2" s="270"/>
      <c r="L2" s="270"/>
      <c r="M2" s="270"/>
      <c r="N2" s="270"/>
      <c r="O2" s="270"/>
      <c r="P2" s="270"/>
      <c r="Q2" s="270"/>
      <c r="R2" s="270"/>
      <c r="S2" s="269"/>
      <c r="T2" s="269"/>
      <c r="U2" s="269"/>
      <c r="V2" s="269"/>
      <c r="W2" s="269"/>
      <c r="X2" s="269"/>
      <c r="Y2" s="269"/>
      <c r="Z2" s="269"/>
      <c r="AA2" s="270"/>
      <c r="AB2" s="270"/>
    </row>
    <row r="3" spans="1:29" s="112" customFormat="1" ht="18" customHeight="1" outlineLevel="1" x14ac:dyDescent="0.3">
      <c r="A3" s="270"/>
      <c r="B3" s="112" t="s">
        <v>805</v>
      </c>
      <c r="C3" s="270"/>
      <c r="D3" s="270"/>
      <c r="E3" s="270"/>
      <c r="F3" s="270"/>
      <c r="G3" s="270"/>
      <c r="H3" s="270"/>
      <c r="I3" s="270"/>
      <c r="J3" s="270"/>
      <c r="K3" s="270"/>
      <c r="L3" s="270"/>
      <c r="M3" s="270"/>
      <c r="N3" s="270"/>
      <c r="O3" s="270"/>
      <c r="P3" s="270"/>
      <c r="Q3" s="270"/>
      <c r="R3" s="270"/>
      <c r="S3" s="270"/>
      <c r="T3" s="270"/>
      <c r="U3" s="270"/>
      <c r="V3" s="270"/>
      <c r="W3" s="270"/>
      <c r="X3" s="270"/>
      <c r="Y3" s="270"/>
      <c r="Z3" s="270"/>
      <c r="AA3" s="270"/>
      <c r="AB3" s="270"/>
    </row>
    <row r="4" spans="1:29" s="112" customFormat="1" ht="18" customHeight="1" outlineLevel="1" x14ac:dyDescent="0.3">
      <c r="A4" s="270"/>
      <c r="B4" s="112" t="s">
        <v>798</v>
      </c>
      <c r="C4" s="270" cm="1">
        <f t="array" ref="C4">TRANSPOSE(_xlfn._xlws.SORT(Table_CauTruc_BoPhan[Tên bộ phận]))</f>
        <v>0</v>
      </c>
      <c r="D4" s="270"/>
      <c r="E4" s="270"/>
      <c r="F4" s="270"/>
      <c r="G4" s="270"/>
      <c r="H4" s="270"/>
      <c r="I4" s="270"/>
      <c r="J4" s="270"/>
      <c r="K4" s="270"/>
      <c r="L4" s="270"/>
      <c r="M4" s="270"/>
      <c r="N4" s="270"/>
      <c r="O4" s="270"/>
      <c r="P4" s="270"/>
      <c r="Q4" s="270"/>
      <c r="R4" s="270"/>
      <c r="S4" s="270"/>
      <c r="T4" s="270"/>
      <c r="U4" s="270"/>
      <c r="V4" s="270"/>
      <c r="W4" s="270"/>
      <c r="X4" s="270"/>
      <c r="Y4" s="270"/>
      <c r="Z4" s="270"/>
      <c r="AA4" s="270"/>
      <c r="AB4" s="270"/>
    </row>
    <row r="5" spans="1:29" s="112" customFormat="1" ht="18" customHeight="1" outlineLevel="1" x14ac:dyDescent="0.3">
      <c r="A5" s="270"/>
      <c r="B5" s="270"/>
      <c r="C5" s="270"/>
      <c r="D5" s="270"/>
      <c r="E5" s="270"/>
      <c r="F5" s="270"/>
      <c r="G5" s="112" t="s">
        <v>755</v>
      </c>
      <c r="H5" s="270"/>
      <c r="J5" s="270"/>
      <c r="K5" s="270"/>
      <c r="L5" s="270"/>
      <c r="M5" s="270"/>
      <c r="N5" s="270"/>
      <c r="O5" s="270"/>
      <c r="P5" s="270"/>
      <c r="Q5" s="270"/>
      <c r="R5" s="270"/>
      <c r="S5" s="270"/>
      <c r="T5" s="270"/>
      <c r="U5" s="270"/>
      <c r="V5" s="270"/>
      <c r="W5" s="270"/>
      <c r="X5" s="270"/>
      <c r="Y5" s="270"/>
      <c r="Z5" s="270"/>
      <c r="AA5" s="270"/>
      <c r="AB5" s="270"/>
    </row>
    <row r="6" spans="1:29" s="112" customFormat="1" ht="18" customHeight="1" outlineLevel="1" x14ac:dyDescent="0.3">
      <c r="A6" s="270"/>
      <c r="B6" s="270"/>
      <c r="C6" s="270"/>
      <c r="D6" s="270"/>
      <c r="E6" s="270"/>
      <c r="F6" s="270"/>
      <c r="G6" s="112" t="s">
        <v>798</v>
      </c>
      <c r="H6" s="270" cm="1">
        <f t="array" ref="H6">TRANSPOSE(_xlfn._xlws.SORT(Table_NhanVien[Mã NV]))</f>
        <v>0</v>
      </c>
      <c r="J6" s="270"/>
      <c r="K6" s="270"/>
      <c r="L6" s="270"/>
      <c r="M6" s="270"/>
      <c r="N6" s="270"/>
      <c r="O6" s="270"/>
      <c r="P6" s="270"/>
      <c r="Q6" s="270"/>
      <c r="R6" s="270"/>
      <c r="S6" s="270"/>
      <c r="T6" s="270"/>
      <c r="U6" s="270"/>
      <c r="V6" s="270"/>
      <c r="W6" s="270"/>
      <c r="X6" s="252"/>
      <c r="Y6" s="252"/>
      <c r="Z6" s="270"/>
      <c r="AA6" s="270"/>
      <c r="AB6" s="270"/>
    </row>
    <row r="7" spans="1:29" s="112" customFormat="1" ht="18" customHeight="1" x14ac:dyDescent="0.3">
      <c r="A7" s="270"/>
      <c r="B7" s="270"/>
      <c r="C7" s="270"/>
      <c r="D7" s="270"/>
      <c r="E7" s="270"/>
      <c r="F7" s="270"/>
      <c r="G7" s="270"/>
      <c r="H7" s="270"/>
      <c r="I7" s="270"/>
      <c r="J7" s="270"/>
      <c r="K7" s="270"/>
      <c r="L7" s="270"/>
      <c r="M7" s="270"/>
      <c r="N7" s="270"/>
      <c r="O7" s="270"/>
      <c r="P7" s="270"/>
      <c r="Q7" s="270"/>
      <c r="R7" s="270"/>
      <c r="S7" s="270"/>
      <c r="T7" s="270"/>
      <c r="U7" s="270"/>
      <c r="V7" s="270"/>
      <c r="W7" s="270"/>
      <c r="X7" s="252"/>
      <c r="Y7" s="252"/>
      <c r="Z7" s="270"/>
      <c r="AA7" s="270"/>
      <c r="AB7" s="270"/>
    </row>
    <row r="8" spans="1:29" s="112" customFormat="1" ht="18" customHeight="1" x14ac:dyDescent="0.3">
      <c r="A8" s="270"/>
      <c r="B8" s="270"/>
      <c r="C8" s="270"/>
      <c r="D8" s="270"/>
      <c r="E8" s="270"/>
      <c r="F8" s="270"/>
      <c r="G8" s="270"/>
      <c r="H8" s="270"/>
      <c r="I8" s="270"/>
      <c r="J8" s="270"/>
      <c r="K8" s="270"/>
      <c r="L8" s="270"/>
      <c r="M8" s="270"/>
      <c r="N8" s="270"/>
      <c r="O8" s="270"/>
      <c r="P8" s="270"/>
      <c r="Q8" s="270"/>
      <c r="R8" s="270"/>
      <c r="S8" s="270"/>
      <c r="T8" s="270"/>
      <c r="U8" s="270"/>
      <c r="V8" s="270"/>
      <c r="W8" s="270"/>
      <c r="X8" s="252"/>
      <c r="Y8" s="252"/>
      <c r="Z8" s="270"/>
      <c r="AA8" s="270"/>
      <c r="AB8" s="270"/>
    </row>
    <row r="9" spans="1:29" s="112" customFormat="1" ht="18" customHeight="1" x14ac:dyDescent="0.3">
      <c r="A9" s="270"/>
      <c r="B9" s="112" t="s">
        <v>799</v>
      </c>
      <c r="C9" s="112" t="s">
        <v>583</v>
      </c>
      <c r="D9" s="112" t="s">
        <v>800</v>
      </c>
      <c r="E9" s="7" t="s">
        <v>873</v>
      </c>
      <c r="F9" s="270"/>
      <c r="G9" s="112" t="s">
        <v>801</v>
      </c>
      <c r="H9" s="112" t="s">
        <v>802</v>
      </c>
      <c r="I9" s="112" t="s">
        <v>803</v>
      </c>
      <c r="J9" s="7" t="s">
        <v>873</v>
      </c>
      <c r="K9" s="7"/>
      <c r="L9" s="7" t="s">
        <v>806</v>
      </c>
      <c r="M9" s="7" t="s">
        <v>755</v>
      </c>
      <c r="N9" s="7" t="s">
        <v>1004</v>
      </c>
      <c r="O9" s="7" t="s">
        <v>1005</v>
      </c>
      <c r="P9" s="7" t="s">
        <v>1006</v>
      </c>
      <c r="Q9" s="7" t="s">
        <v>873</v>
      </c>
      <c r="R9" s="7"/>
      <c r="S9" s="270"/>
      <c r="T9" s="112" t="s">
        <v>35</v>
      </c>
      <c r="U9" s="112" t="s">
        <v>804</v>
      </c>
      <c r="V9" s="112" t="s">
        <v>755</v>
      </c>
      <c r="W9" s="112" t="s">
        <v>805</v>
      </c>
      <c r="X9" s="112" t="s">
        <v>583</v>
      </c>
      <c r="Y9" s="112" t="s">
        <v>806</v>
      </c>
      <c r="Z9" s="112" t="s">
        <v>807</v>
      </c>
      <c r="AA9" s="112" t="s">
        <v>1234</v>
      </c>
      <c r="AB9" s="112" t="s">
        <v>1230</v>
      </c>
      <c r="AC9" s="7" t="s">
        <v>873</v>
      </c>
    </row>
    <row r="10" spans="1:29" ht="18" customHeight="1" x14ac:dyDescent="0.3">
      <c r="A10" s="240"/>
      <c r="B10" s="240"/>
      <c r="C10" s="240"/>
      <c r="D10" s="240"/>
      <c r="E10" s="240"/>
      <c r="F10" s="240"/>
      <c r="G10" s="240"/>
      <c r="H10" s="240"/>
      <c r="I10" s="240"/>
      <c r="J10" s="240"/>
      <c r="K10" s="240"/>
      <c r="L10" s="240"/>
      <c r="M10" s="240"/>
      <c r="N10" s="240"/>
      <c r="O10" s="240"/>
      <c r="P10" s="246">
        <f>IFERROR(
COUNTIFS(Table_NhanVien[[#This Row],[Bộ phận]],Table_CauTruc_ViTri[[#This Row],[Bộ phận]],Table_NhanVien[[#This Row],[Vị trí]],Table_CauTruc_ViTri[[#This Row],[Vị trí]]),0)</f>
        <v>0</v>
      </c>
      <c r="Q10" s="240"/>
      <c r="R10" s="240"/>
      <c r="S10" s="240"/>
      <c r="T10" s="240"/>
      <c r="U10" s="240"/>
      <c r="V10" s="240" t="s">
        <v>798</v>
      </c>
      <c r="W10" s="246">
        <f>IFERROR(VLOOKUP(Table_NhanVien[[#This Row],[Bộ phận]],Table_CauTruc_BoPhan[],COUNTA(Table_CauTruc_BoPhan[[#Headers],[Tên bộ phận]:[Phòng trực thuộc]]),0),0)</f>
        <v>0</v>
      </c>
      <c r="X10" s="246">
        <f>IFERROR(
VLOOKUP(Table_NhanVien[[#This Row],[Phòng]],Table_CauTruc_PhongBan[],COUNTA(Table_CauTruc_PhongBan[[#Headers],[Tên phòng ban]:[Chức năng]]),0),0)</f>
        <v>0</v>
      </c>
      <c r="Y10" s="240"/>
      <c r="Z10" s="15"/>
      <c r="AA10" s="15"/>
      <c r="AB10" s="15"/>
      <c r="AC10" s="240"/>
    </row>
    <row r="11" spans="1:29" ht="18" customHeight="1" x14ac:dyDescent="0.3">
      <c r="A11" s="240"/>
      <c r="B11" s="240"/>
      <c r="C11" s="240"/>
      <c r="D11" s="240"/>
      <c r="E11" s="240"/>
      <c r="F11" s="240"/>
      <c r="G11" s="240"/>
      <c r="H11" s="240"/>
      <c r="I11" s="240"/>
      <c r="J11" s="240"/>
      <c r="K11" s="240"/>
      <c r="L11" s="240"/>
      <c r="M11" s="240"/>
      <c r="N11" s="240"/>
      <c r="O11" s="240"/>
      <c r="P11" s="240"/>
      <c r="Q11" s="240"/>
      <c r="R11" s="240"/>
      <c r="S11" s="240"/>
      <c r="T11" s="240"/>
      <c r="U11" s="240"/>
      <c r="V11" s="240"/>
      <c r="W11" s="240"/>
      <c r="X11" s="241"/>
      <c r="Y11" s="241"/>
      <c r="Z11" s="240"/>
      <c r="AA11" s="240"/>
    </row>
    <row r="12" spans="1:29" ht="18" customHeight="1" x14ac:dyDescent="0.3">
      <c r="A12" s="240"/>
      <c r="B12" s="240"/>
      <c r="C12" s="240"/>
      <c r="D12" s="240"/>
      <c r="E12" s="240"/>
      <c r="F12" s="240"/>
      <c r="G12" s="240"/>
      <c r="H12" s="240"/>
      <c r="I12" s="240"/>
      <c r="J12" s="240"/>
      <c r="K12" s="240"/>
      <c r="L12" s="240"/>
      <c r="M12" s="240"/>
      <c r="N12" s="240"/>
      <c r="O12" s="240"/>
      <c r="P12" s="240"/>
      <c r="Q12" s="240"/>
      <c r="R12" s="240"/>
      <c r="S12" s="240"/>
      <c r="T12" s="240"/>
      <c r="U12" s="240"/>
      <c r="V12" s="240"/>
      <c r="W12" s="240"/>
      <c r="X12" s="241"/>
      <c r="Y12" s="241"/>
      <c r="Z12" s="240"/>
      <c r="AA12" s="240"/>
    </row>
    <row r="13" spans="1:29" ht="18" customHeight="1" collapsed="1" x14ac:dyDescent="0.3">
      <c r="A13" s="240"/>
      <c r="B13" s="240"/>
      <c r="C13" s="240"/>
      <c r="D13" s="240"/>
      <c r="E13" s="240"/>
      <c r="F13" s="240"/>
      <c r="G13" s="240"/>
      <c r="H13" s="240"/>
      <c r="I13" s="240"/>
      <c r="J13" s="240"/>
      <c r="K13" s="240"/>
      <c r="L13" s="240"/>
      <c r="M13" s="240"/>
      <c r="N13" s="240"/>
      <c r="O13" s="240"/>
      <c r="P13" s="240"/>
      <c r="Q13" s="240"/>
      <c r="R13" s="240"/>
      <c r="S13" s="240"/>
      <c r="T13" s="240"/>
      <c r="U13" s="240"/>
      <c r="V13" s="240"/>
      <c r="W13" s="240"/>
      <c r="X13" s="241"/>
      <c r="Y13" s="241"/>
      <c r="Z13" s="240"/>
      <c r="AA13" s="240"/>
    </row>
    <row r="14" spans="1:29" ht="18" customHeight="1" x14ac:dyDescent="0.3">
      <c r="A14" s="240"/>
      <c r="B14" s="240"/>
      <c r="C14" s="240"/>
      <c r="D14" s="240"/>
      <c r="E14" s="240"/>
      <c r="F14" s="240"/>
      <c r="G14" s="240"/>
      <c r="H14" s="240"/>
      <c r="I14" s="240"/>
      <c r="J14" s="240"/>
      <c r="K14" s="240"/>
      <c r="L14" s="240"/>
      <c r="M14" s="240"/>
      <c r="N14" s="240"/>
      <c r="O14" s="240"/>
      <c r="P14" s="240"/>
      <c r="Q14" s="240"/>
      <c r="R14" s="240"/>
      <c r="S14" s="240"/>
      <c r="T14" s="240"/>
      <c r="U14" s="240"/>
      <c r="V14" s="240"/>
      <c r="W14" s="240"/>
      <c r="X14" s="241"/>
      <c r="Y14" s="241"/>
      <c r="Z14" s="240"/>
      <c r="AA14" s="240"/>
    </row>
    <row r="15" spans="1:29" ht="18" customHeight="1" x14ac:dyDescent="0.3">
      <c r="A15" s="240"/>
      <c r="B15" s="240"/>
      <c r="C15" s="240"/>
      <c r="D15" s="240"/>
      <c r="E15" s="240"/>
      <c r="F15" s="240"/>
      <c r="G15" s="240"/>
      <c r="H15" s="240"/>
      <c r="I15" s="240"/>
      <c r="J15" s="240"/>
      <c r="K15" s="240"/>
      <c r="L15" s="240"/>
      <c r="N15" s="240"/>
      <c r="O15" s="240"/>
      <c r="P15" s="240"/>
      <c r="Q15" s="240"/>
      <c r="R15" s="240"/>
      <c r="S15" s="240"/>
      <c r="T15" s="240"/>
      <c r="U15" s="240"/>
      <c r="V15" s="240"/>
      <c r="W15" s="240"/>
      <c r="X15" s="241"/>
      <c r="Y15" s="241"/>
      <c r="Z15" s="240"/>
      <c r="AA15" s="240"/>
    </row>
    <row r="16" spans="1:29" ht="18" customHeight="1" x14ac:dyDescent="0.3">
      <c r="A16" s="240"/>
      <c r="B16" s="240"/>
      <c r="C16" s="240"/>
      <c r="D16" s="240"/>
      <c r="E16" s="240"/>
      <c r="F16" s="240"/>
      <c r="G16" s="240"/>
      <c r="H16" s="240"/>
      <c r="I16" s="240"/>
      <c r="J16" s="240"/>
      <c r="K16" s="240"/>
      <c r="L16" s="240"/>
      <c r="M16" s="240"/>
      <c r="N16" s="240"/>
      <c r="O16" s="240"/>
      <c r="P16" s="240"/>
      <c r="Q16" s="240"/>
      <c r="R16" s="240"/>
      <c r="S16" s="240"/>
      <c r="T16" s="240"/>
      <c r="U16" s="240"/>
      <c r="V16" s="240"/>
      <c r="W16" s="240"/>
      <c r="X16" s="241"/>
      <c r="Y16" s="241"/>
      <c r="Z16" s="240"/>
      <c r="AA16" s="240"/>
    </row>
    <row r="17" spans="1:27" ht="18" customHeight="1" x14ac:dyDescent="0.3">
      <c r="A17" s="240"/>
      <c r="B17" s="240"/>
      <c r="C17" s="240"/>
      <c r="D17" s="240"/>
      <c r="E17" s="240"/>
      <c r="F17" s="240"/>
      <c r="G17" s="240"/>
      <c r="H17" s="240"/>
      <c r="I17" s="240"/>
      <c r="J17" s="240"/>
      <c r="K17" s="240"/>
      <c r="L17" s="240"/>
      <c r="M17" s="240"/>
      <c r="N17" s="240"/>
      <c r="O17" s="240"/>
      <c r="P17" s="240"/>
      <c r="Q17" s="240"/>
      <c r="R17" s="240"/>
      <c r="S17" s="240"/>
      <c r="T17" s="240"/>
      <c r="U17" s="240"/>
      <c r="V17" s="240"/>
      <c r="W17" s="240"/>
      <c r="X17" s="241"/>
      <c r="Y17" s="241"/>
      <c r="Z17" s="240"/>
      <c r="AA17" s="240"/>
    </row>
    <row r="18" spans="1:27" ht="18" customHeight="1" x14ac:dyDescent="0.3">
      <c r="A18" s="240"/>
      <c r="B18" s="240"/>
      <c r="C18" s="240"/>
      <c r="D18" s="240"/>
      <c r="E18" s="240"/>
      <c r="F18" s="240"/>
      <c r="G18" s="240"/>
      <c r="H18" s="240"/>
      <c r="I18" s="240"/>
      <c r="J18" s="240"/>
      <c r="K18" s="240"/>
      <c r="L18" s="240"/>
      <c r="M18" s="240"/>
      <c r="N18" s="240"/>
      <c r="O18" s="240"/>
      <c r="P18" s="240"/>
      <c r="Q18" s="240"/>
      <c r="R18" s="240"/>
      <c r="S18" s="240"/>
      <c r="T18" s="240"/>
      <c r="U18" s="240"/>
      <c r="V18" s="240"/>
      <c r="W18" s="240"/>
      <c r="X18" s="241"/>
      <c r="Y18" s="241"/>
      <c r="Z18" s="240"/>
      <c r="AA18" s="240"/>
    </row>
    <row r="19" spans="1:27" ht="18" customHeight="1" x14ac:dyDescent="0.3">
      <c r="A19" s="240"/>
      <c r="B19" s="240"/>
      <c r="C19" s="240"/>
      <c r="D19" s="240"/>
      <c r="E19" s="240"/>
      <c r="F19" s="240"/>
      <c r="G19" s="240"/>
      <c r="H19" s="240"/>
      <c r="I19" s="240"/>
      <c r="J19" s="240"/>
      <c r="K19" s="240"/>
      <c r="L19" s="240"/>
      <c r="M19" s="240"/>
      <c r="N19" s="240"/>
      <c r="O19" s="240"/>
      <c r="P19" s="240"/>
      <c r="Q19" s="240"/>
      <c r="R19" s="240"/>
      <c r="S19" s="240"/>
      <c r="T19" s="240"/>
      <c r="U19" s="240"/>
      <c r="V19" s="240"/>
      <c r="W19" s="240"/>
      <c r="X19" s="241"/>
      <c r="Y19" s="241"/>
      <c r="Z19" s="240"/>
      <c r="AA19" s="240"/>
    </row>
    <row r="20" spans="1:27" ht="18" customHeight="1" x14ac:dyDescent="0.3">
      <c r="A20" s="240"/>
      <c r="B20" s="240"/>
      <c r="C20" s="240"/>
      <c r="D20" s="240"/>
      <c r="E20" s="240"/>
      <c r="F20" s="240"/>
      <c r="G20" s="240"/>
      <c r="H20" s="240"/>
      <c r="I20" s="240"/>
      <c r="J20" s="240"/>
      <c r="K20" s="240"/>
      <c r="L20" s="240"/>
      <c r="M20" s="240"/>
      <c r="N20" s="240"/>
      <c r="O20" s="240"/>
      <c r="P20" s="240"/>
      <c r="Q20" s="240"/>
      <c r="R20" s="240"/>
      <c r="S20" s="240"/>
      <c r="T20" s="240"/>
      <c r="U20" s="240"/>
      <c r="V20" s="240"/>
      <c r="W20" s="240"/>
      <c r="X20" s="241"/>
      <c r="Y20" s="241"/>
      <c r="Z20" s="240"/>
      <c r="AA20" s="240"/>
    </row>
    <row r="21" spans="1:27" ht="18" customHeight="1" x14ac:dyDescent="0.3">
      <c r="A21" s="240"/>
      <c r="B21" s="240"/>
      <c r="C21" s="240"/>
      <c r="D21" s="240"/>
      <c r="E21" s="240"/>
      <c r="F21" s="240"/>
      <c r="G21" s="240"/>
      <c r="H21" s="240"/>
      <c r="I21" s="240"/>
      <c r="J21" s="240"/>
      <c r="K21" s="240"/>
      <c r="L21" s="240"/>
      <c r="M21" s="240"/>
      <c r="N21" s="240"/>
      <c r="O21" s="240"/>
      <c r="P21" s="240"/>
      <c r="Q21" s="240"/>
      <c r="R21" s="240"/>
      <c r="S21" s="240"/>
      <c r="T21" s="240"/>
      <c r="U21" s="240"/>
      <c r="V21" s="240"/>
      <c r="W21" s="240"/>
      <c r="X21" s="241"/>
      <c r="Y21" s="241"/>
      <c r="Z21" s="240"/>
      <c r="AA21" s="240"/>
    </row>
    <row r="22" spans="1:27" ht="18" customHeight="1" x14ac:dyDescent="0.3">
      <c r="A22" s="240"/>
      <c r="B22" s="240"/>
      <c r="C22" s="240"/>
      <c r="D22" s="240"/>
      <c r="E22" s="240"/>
      <c r="F22" s="240"/>
      <c r="G22" s="240"/>
      <c r="H22" s="240"/>
      <c r="I22" s="240"/>
      <c r="J22" s="240"/>
      <c r="K22" s="240"/>
      <c r="L22" s="240"/>
      <c r="M22" s="240"/>
      <c r="N22" s="240"/>
      <c r="O22" s="240"/>
      <c r="P22" s="240"/>
      <c r="Q22" s="240"/>
      <c r="R22" s="247"/>
      <c r="S22" s="240"/>
      <c r="T22" s="240"/>
      <c r="U22" s="240"/>
      <c r="V22" s="240"/>
      <c r="W22" s="240"/>
      <c r="X22" s="241"/>
      <c r="Y22" s="241"/>
      <c r="Z22" s="240"/>
      <c r="AA22" s="240"/>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69"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08" customFormat="1" ht="22.5" customHeight="1" x14ac:dyDescent="0.3">
      <c r="G1" s="307">
        <v>0</v>
      </c>
      <c r="H1" s="307">
        <f t="shared" ref="H1:X1" si="0">+G1+1</f>
        <v>1</v>
      </c>
      <c r="I1" s="307">
        <f t="shared" si="0"/>
        <v>2</v>
      </c>
      <c r="J1" s="307">
        <f t="shared" si="0"/>
        <v>3</v>
      </c>
      <c r="K1" s="307">
        <f t="shared" si="0"/>
        <v>4</v>
      </c>
      <c r="L1" s="307">
        <f t="shared" si="0"/>
        <v>5</v>
      </c>
      <c r="M1" s="307">
        <f t="shared" si="0"/>
        <v>6</v>
      </c>
      <c r="N1" s="307">
        <f t="shared" si="0"/>
        <v>7</v>
      </c>
      <c r="O1" s="307">
        <f t="shared" si="0"/>
        <v>8</v>
      </c>
      <c r="P1" s="307">
        <f t="shared" si="0"/>
        <v>9</v>
      </c>
      <c r="Q1" s="307">
        <f t="shared" si="0"/>
        <v>10</v>
      </c>
      <c r="R1" s="307">
        <f t="shared" si="0"/>
        <v>11</v>
      </c>
      <c r="S1" s="307">
        <f t="shared" si="0"/>
        <v>12</v>
      </c>
      <c r="T1" s="307">
        <f t="shared" si="0"/>
        <v>13</v>
      </c>
      <c r="U1" s="307">
        <f t="shared" si="0"/>
        <v>14</v>
      </c>
      <c r="V1" s="307">
        <f t="shared" si="0"/>
        <v>15</v>
      </c>
      <c r="W1" s="307">
        <f t="shared" si="0"/>
        <v>16</v>
      </c>
      <c r="X1" s="307">
        <f t="shared" si="0"/>
        <v>17</v>
      </c>
      <c r="Y1" s="307"/>
      <c r="Z1" s="307"/>
      <c r="AA1" s="307"/>
      <c r="AB1" s="307"/>
      <c r="AC1" s="307"/>
      <c r="AD1" s="307"/>
    </row>
    <row r="2" spans="7:30" s="112" customFormat="1" ht="18" customHeight="1" x14ac:dyDescent="0.3">
      <c r="G2" s="270"/>
      <c r="H2" s="270"/>
      <c r="I2" s="270"/>
      <c r="J2" s="270"/>
      <c r="K2" s="270"/>
      <c r="L2" s="270"/>
      <c r="M2" s="270"/>
      <c r="N2" s="270"/>
      <c r="O2" s="270"/>
      <c r="P2" s="270"/>
      <c r="Q2" s="270"/>
      <c r="R2" s="270"/>
      <c r="S2" s="270"/>
      <c r="T2" s="270"/>
      <c r="U2" s="270"/>
      <c r="V2" s="270"/>
      <c r="W2" s="270"/>
      <c r="X2" s="270"/>
      <c r="Y2" s="270"/>
      <c r="Z2" s="270"/>
      <c r="AA2" s="270"/>
      <c r="AB2" s="270"/>
      <c r="AC2" s="270"/>
      <c r="AD2" s="270"/>
    </row>
    <row r="3" spans="7:30" s="308" customFormat="1" ht="18" customHeight="1" outlineLevel="1" x14ac:dyDescent="0.3">
      <c r="G3" s="307"/>
      <c r="H3" s="307"/>
      <c r="I3" s="307"/>
      <c r="J3" s="307"/>
      <c r="K3" s="308" t="s">
        <v>808</v>
      </c>
      <c r="L3" s="308" t="str" cm="1">
        <f t="array" ref="L3">TRANSPOSE(_xlfn._xlws.SORT(_xlfn._xlws.FILTER(Table_TSCD[Mã Tài sản],Table_TSCD[Phân loại]=K3,"")))</f>
        <v/>
      </c>
      <c r="M3" s="307"/>
      <c r="N3" s="307"/>
      <c r="O3" s="307"/>
      <c r="P3" s="307"/>
      <c r="Q3" s="307"/>
      <c r="R3" s="307"/>
      <c r="S3" s="307"/>
      <c r="T3" s="307"/>
      <c r="U3" s="307"/>
      <c r="V3" s="307"/>
      <c r="W3" s="307"/>
      <c r="X3" s="307"/>
      <c r="Y3" s="307"/>
      <c r="Z3" s="307"/>
      <c r="AA3" s="307"/>
      <c r="AB3" s="307"/>
      <c r="AC3" s="307"/>
      <c r="AD3" s="307"/>
    </row>
    <row r="4" spans="7:30" s="308" customFormat="1" ht="18" customHeight="1" outlineLevel="1" x14ac:dyDescent="0.3">
      <c r="G4" s="307"/>
      <c r="H4" s="512"/>
      <c r="I4" s="307"/>
      <c r="J4" s="307"/>
      <c r="K4" s="308" t="s">
        <v>809</v>
      </c>
      <c r="L4" s="308" t="str" cm="1">
        <f t="array" ref="L4">TRANSPOSE(_xlfn._xlws.SORT(_xlfn._xlws.FILTER(Table_TSCD[Mã Tài sản],Table_TSCD[Phân loại]=K4,"")))</f>
        <v>TS1</v>
      </c>
      <c r="M4" s="307"/>
      <c r="N4" s="307"/>
      <c r="O4" s="307"/>
      <c r="P4" s="307"/>
      <c r="Q4" s="307"/>
      <c r="R4" s="307"/>
      <c r="S4" s="307"/>
      <c r="T4" s="307"/>
      <c r="U4" s="307"/>
      <c r="V4" s="307"/>
      <c r="W4" s="307"/>
      <c r="X4" s="307"/>
      <c r="Y4" s="307"/>
      <c r="Z4" s="307"/>
      <c r="AA4" s="307"/>
      <c r="AB4" s="307"/>
      <c r="AC4" s="307"/>
      <c r="AD4" s="307"/>
    </row>
    <row r="5" spans="7:30" s="308" customFormat="1" ht="18" customHeight="1" outlineLevel="1" x14ac:dyDescent="0.3">
      <c r="G5" s="307"/>
      <c r="H5" s="512"/>
      <c r="I5" s="307"/>
      <c r="J5" s="307"/>
      <c r="K5" s="308" t="s">
        <v>810</v>
      </c>
      <c r="L5" s="308" t="str" cm="1">
        <f t="array" ref="L5">TRANSPOSE(_xlfn._xlws.SORT(_xlfn._xlws.FILTER(Table_TSCD[Mã Tài sản],Table_TSCD[Phân loại]=K5,"")))</f>
        <v>TS2</v>
      </c>
      <c r="M5" s="307"/>
      <c r="N5" s="307"/>
      <c r="O5" s="307"/>
      <c r="P5" s="307"/>
      <c r="Q5" s="307"/>
      <c r="R5" s="307"/>
      <c r="S5" s="307"/>
      <c r="T5" s="307"/>
      <c r="U5" s="307"/>
      <c r="V5" s="307"/>
      <c r="W5" s="307"/>
      <c r="X5" s="307"/>
      <c r="Y5" s="307"/>
      <c r="Z5" s="307"/>
      <c r="AA5" s="307"/>
      <c r="AB5" s="307"/>
      <c r="AC5" s="307"/>
      <c r="AD5" s="307"/>
    </row>
    <row r="6" spans="7:30" s="308" customFormat="1" ht="18" customHeight="1" outlineLevel="1" x14ac:dyDescent="0.3">
      <c r="G6" s="307"/>
      <c r="H6" s="512"/>
      <c r="I6" s="307"/>
      <c r="J6" s="307"/>
      <c r="K6" s="308" t="s">
        <v>811</v>
      </c>
      <c r="L6" s="308" t="str" cm="1">
        <f t="array" ref="L6">TRANSPOSE(_xlfn._xlws.SORT(_xlfn._xlws.FILTER(Table_TSCD[Mã Tài sản],Table_TSCD[Phân loại]=K6,"")))</f>
        <v>TS3</v>
      </c>
      <c r="M6" s="307"/>
      <c r="N6" s="307"/>
      <c r="O6" s="307"/>
      <c r="P6" s="307"/>
      <c r="Q6" s="307"/>
      <c r="R6" s="307"/>
      <c r="S6" s="307"/>
      <c r="T6" s="307"/>
      <c r="U6" s="307"/>
      <c r="V6" s="307"/>
      <c r="W6" s="307"/>
      <c r="X6" s="307"/>
      <c r="Y6" s="307"/>
      <c r="Z6" s="307"/>
      <c r="AA6" s="307"/>
      <c r="AB6" s="307"/>
      <c r="AC6" s="307"/>
      <c r="AD6" s="307"/>
    </row>
    <row r="7" spans="7:30" s="308" customFormat="1" ht="18" customHeight="1" outlineLevel="1" x14ac:dyDescent="0.3">
      <c r="G7" s="307"/>
      <c r="H7" s="512"/>
      <c r="I7" s="307"/>
      <c r="J7" s="307"/>
      <c r="K7" s="308" t="s">
        <v>812</v>
      </c>
      <c r="L7" s="308" t="str" cm="1">
        <f t="array" ref="L7">TRANSPOSE(_xlfn._xlws.SORT(_xlfn._xlws.FILTER(Table_TSCD[Mã Tài sản],Table_TSCD[Phân loại]=K7,"")))</f>
        <v>TS4</v>
      </c>
      <c r="M7" s="307"/>
      <c r="N7" s="307"/>
      <c r="O7" s="307"/>
      <c r="P7" s="307"/>
      <c r="Q7" s="307"/>
      <c r="R7" s="307"/>
      <c r="S7" s="307"/>
      <c r="T7" s="307"/>
      <c r="U7" s="307"/>
      <c r="V7" s="307"/>
      <c r="W7" s="307"/>
      <c r="X7" s="307"/>
      <c r="AC7" s="307"/>
      <c r="AD7" s="307"/>
    </row>
    <row r="8" spans="7:30" s="308" customFormat="1" ht="18" customHeight="1" outlineLevel="1" x14ac:dyDescent="0.3">
      <c r="G8" s="307"/>
      <c r="H8" s="512"/>
      <c r="I8" s="307"/>
      <c r="J8" s="307"/>
      <c r="K8" s="308" t="s">
        <v>813</v>
      </c>
      <c r="L8" s="308" t="str" cm="1">
        <f t="array" ref="L8">TRANSPOSE(_xlfn._xlws.SORT(_xlfn._xlws.FILTER(Table_TSCD[Mã Tài sản],Table_TSCD[Phân loại]=K8,"")))</f>
        <v/>
      </c>
      <c r="M8" s="307"/>
      <c r="N8" s="307"/>
      <c r="O8" s="307"/>
      <c r="P8" s="307"/>
      <c r="Q8" s="307"/>
      <c r="R8" s="307"/>
      <c r="S8" s="307"/>
      <c r="T8" s="307"/>
      <c r="U8" s="307"/>
      <c r="V8" s="307"/>
      <c r="W8" s="307"/>
      <c r="X8" s="307"/>
      <c r="AC8" s="307"/>
      <c r="AD8" s="307"/>
    </row>
    <row r="9" spans="7:30" s="308" customFormat="1" ht="18" customHeight="1" outlineLevel="1" x14ac:dyDescent="0.3">
      <c r="G9" s="307"/>
      <c r="H9" s="512"/>
      <c r="I9" s="307"/>
      <c r="J9" s="307"/>
      <c r="K9" s="308" t="s">
        <v>814</v>
      </c>
      <c r="L9" s="307"/>
      <c r="M9" s="307"/>
      <c r="N9" s="307"/>
      <c r="O9" s="307"/>
      <c r="P9" s="307"/>
      <c r="Q9" s="307"/>
      <c r="R9" s="307"/>
      <c r="S9" s="307"/>
      <c r="T9" s="307"/>
      <c r="U9" s="307"/>
      <c r="V9" s="307"/>
      <c r="W9" s="307"/>
      <c r="X9" s="307"/>
      <c r="AC9" s="307"/>
      <c r="AD9" s="307"/>
    </row>
    <row r="10" spans="7:30" s="308" customFormat="1" ht="18" customHeight="1" outlineLevel="1" x14ac:dyDescent="0.3">
      <c r="G10" s="307"/>
      <c r="H10" s="512"/>
      <c r="I10" s="307"/>
      <c r="J10" s="307"/>
      <c r="K10" s="308" t="s">
        <v>815</v>
      </c>
      <c r="L10" s="308" t="str" cm="1">
        <f t="array" ref="L10">TRANSPOSE(_xlfn._xlws.SORT(_xlfn._xlws.FILTER(Table_TSCD[Mã Tài sản],Table_TSCD[Phân loại]=K10,"")))</f>
        <v/>
      </c>
      <c r="M10" s="307"/>
      <c r="N10" s="307"/>
      <c r="O10" s="307"/>
      <c r="P10" s="307"/>
      <c r="Q10" s="307"/>
      <c r="R10" s="307"/>
      <c r="S10" s="307"/>
      <c r="T10" s="307"/>
      <c r="U10" s="307"/>
      <c r="V10" s="307"/>
      <c r="W10" s="307"/>
      <c r="X10" s="307"/>
      <c r="AC10" s="307"/>
      <c r="AD10" s="307"/>
    </row>
    <row r="11" spans="7:30" s="308" customFormat="1" ht="18" customHeight="1" outlineLevel="1" x14ac:dyDescent="0.3">
      <c r="G11" s="307"/>
      <c r="H11" s="307"/>
      <c r="I11" s="307"/>
      <c r="J11" s="307"/>
      <c r="K11" s="308" t="s">
        <v>816</v>
      </c>
      <c r="L11" s="308" t="str" cm="1">
        <f t="array" ref="L11">TRANSPOSE(_xlfn._xlws.SORT(_xlfn._xlws.FILTER(Table_TSCD[Mã Tài sản],Table_TSCD[Phân loại]=K11,"")))</f>
        <v>TS6</v>
      </c>
      <c r="M11" s="307"/>
      <c r="N11" s="307"/>
      <c r="O11" s="307"/>
      <c r="P11" s="307"/>
      <c r="Q11" s="307"/>
      <c r="R11" s="307"/>
      <c r="S11" s="307"/>
      <c r="T11" s="307"/>
      <c r="U11" s="307"/>
      <c r="V11" s="307"/>
      <c r="W11" s="307"/>
      <c r="X11" s="307"/>
      <c r="AC11" s="307"/>
      <c r="AD11" s="307"/>
    </row>
    <row r="12" spans="7:30" s="308" customFormat="1" ht="18" customHeight="1" outlineLevel="1" x14ac:dyDescent="0.3">
      <c r="G12" s="307"/>
      <c r="H12" s="307"/>
      <c r="I12" s="307"/>
      <c r="J12" s="307"/>
      <c r="K12" s="308" t="s">
        <v>817</v>
      </c>
      <c r="L12" s="308" t="str" cm="1">
        <f t="array" ref="L12">TRANSPOSE(_xlfn._xlws.SORT(_xlfn._xlws.FILTER(Table_TSCD[Mã Tài sản],Table_TSCD[Phân loại]=K12,"")))</f>
        <v/>
      </c>
      <c r="M12" s="307"/>
      <c r="N12" s="307"/>
      <c r="O12" s="307"/>
      <c r="P12" s="307"/>
      <c r="Q12" s="307"/>
      <c r="R12" s="307"/>
      <c r="S12" s="307"/>
      <c r="T12" s="307"/>
      <c r="U12" s="307"/>
      <c r="V12" s="307"/>
      <c r="W12" s="307"/>
      <c r="X12" s="307"/>
      <c r="AC12" s="307"/>
      <c r="AD12" s="307"/>
    </row>
    <row r="13" spans="7:30" s="308" customFormat="1" ht="18" customHeight="1" outlineLevel="1" x14ac:dyDescent="0.3">
      <c r="G13" s="307"/>
      <c r="H13" s="307"/>
      <c r="I13" s="307"/>
      <c r="J13" s="307"/>
      <c r="K13" s="308" t="s">
        <v>818</v>
      </c>
      <c r="L13" s="308" t="str" cm="1">
        <f t="array" ref="L13">TRANSPOSE(_xlfn._xlws.SORT(_xlfn._xlws.FILTER(Table_TSCD[Mã Tài sản],Table_TSCD[Phân loại]=K13,"")))</f>
        <v/>
      </c>
      <c r="M13" s="307"/>
      <c r="N13" s="307"/>
      <c r="O13" s="307"/>
      <c r="P13" s="307"/>
      <c r="Q13" s="307"/>
      <c r="R13" s="307"/>
      <c r="S13" s="307"/>
      <c r="T13" s="307"/>
      <c r="U13" s="307"/>
      <c r="V13" s="307"/>
      <c r="W13" s="307"/>
      <c r="X13" s="307"/>
      <c r="Z13" s="307"/>
      <c r="AA13" s="307"/>
      <c r="AB13" s="307"/>
      <c r="AC13" s="307"/>
      <c r="AD13" s="307"/>
    </row>
    <row r="14" spans="7:30" s="308" customFormat="1" ht="18" customHeight="1" outlineLevel="1" collapsed="1" x14ac:dyDescent="0.3">
      <c r="G14" s="307"/>
      <c r="H14" s="307"/>
      <c r="I14" s="307"/>
      <c r="J14" s="307"/>
      <c r="K14" s="308" t="s">
        <v>798</v>
      </c>
      <c r="L14" s="307" t="str" cm="1">
        <f t="array" ref="L14:Q14">TRANSPOSE(_xlfn._xlws.SORT(Table_TSCD[Mã Tài sản]))</f>
        <v>TS1</v>
      </c>
      <c r="M14" s="307" t="str">
        <v>TS2</v>
      </c>
      <c r="N14" s="307" t="str">
        <v>TS3</v>
      </c>
      <c r="O14" s="307" t="str">
        <v>TS4</v>
      </c>
      <c r="P14" s="307" t="str">
        <v>TS5</v>
      </c>
      <c r="Q14" s="307" t="str">
        <v>TS6</v>
      </c>
      <c r="R14" s="307"/>
      <c r="S14" s="307"/>
      <c r="T14" s="307"/>
      <c r="U14" s="307"/>
      <c r="V14" s="307"/>
      <c r="W14" s="307"/>
      <c r="X14" s="307"/>
      <c r="Y14" s="307"/>
      <c r="Z14" s="307"/>
      <c r="AA14" s="307"/>
      <c r="AB14" s="307"/>
      <c r="AC14" s="307"/>
      <c r="AD14" s="307"/>
    </row>
    <row r="15" spans="7:30" s="112" customFormat="1" ht="18" customHeight="1" outlineLevel="1" x14ac:dyDescent="0.3">
      <c r="G15" s="270"/>
      <c r="H15" s="270"/>
      <c r="I15" s="270"/>
      <c r="J15" s="270"/>
      <c r="L15" s="270"/>
      <c r="M15" s="270"/>
      <c r="N15" s="270"/>
      <c r="O15" s="270"/>
      <c r="P15" s="270"/>
      <c r="Q15" s="270"/>
      <c r="R15" s="270"/>
      <c r="S15" s="270"/>
      <c r="T15" s="270"/>
      <c r="U15" s="270"/>
      <c r="V15" s="270"/>
      <c r="W15" s="270"/>
      <c r="X15" s="270"/>
      <c r="Y15" s="270"/>
      <c r="Z15" s="270"/>
      <c r="AA15" s="270"/>
      <c r="AB15" s="270"/>
      <c r="AC15" s="270"/>
      <c r="AD15" s="270"/>
    </row>
    <row r="16" spans="7:30" s="112" customFormat="1" ht="18" customHeight="1" outlineLevel="1" x14ac:dyDescent="0.3">
      <c r="G16" s="270"/>
      <c r="H16" s="509" t="s">
        <v>1134</v>
      </c>
      <c r="I16" s="270"/>
      <c r="J16" s="270"/>
      <c r="K16" s="511" t="s">
        <v>1123</v>
      </c>
      <c r="L16" s="270"/>
      <c r="M16" s="270"/>
      <c r="N16" s="270"/>
      <c r="O16" s="270"/>
      <c r="P16" s="270"/>
      <c r="Q16" s="270"/>
      <c r="R16" s="270"/>
      <c r="S16" s="270"/>
      <c r="T16" s="270"/>
      <c r="U16" s="270"/>
      <c r="V16" s="270"/>
      <c r="W16" s="270"/>
      <c r="X16" s="270"/>
      <c r="Y16" s="270"/>
      <c r="Z16" s="270"/>
      <c r="AA16" s="270"/>
      <c r="AB16" s="270"/>
      <c r="AC16" s="270"/>
      <c r="AD16" s="270"/>
    </row>
    <row r="17" spans="2:30" s="112" customFormat="1" ht="18" customHeight="1" outlineLevel="1" x14ac:dyDescent="0.3">
      <c r="G17" s="270"/>
      <c r="H17" s="509" t="s">
        <v>1139</v>
      </c>
      <c r="K17" s="510">
        <f>VLOOKUP($K$16,Table_TSCD[],COUNTA(Table_TSCD[[#Headers],[Mã Tài sản]:[Giá trị sổ sách]]),0)</f>
        <v>500000000</v>
      </c>
      <c r="L17" s="270"/>
      <c r="M17" s="270"/>
      <c r="N17" s="270"/>
      <c r="O17" s="270"/>
      <c r="P17" s="270"/>
      <c r="Q17" s="270"/>
      <c r="R17" s="270"/>
      <c r="S17" s="270"/>
      <c r="T17" s="270"/>
      <c r="U17" s="270"/>
      <c r="V17" s="270"/>
      <c r="W17" s="270"/>
      <c r="X17" s="270"/>
      <c r="Y17" s="270"/>
      <c r="Z17" s="270"/>
      <c r="AA17" s="270"/>
      <c r="AB17" s="270"/>
      <c r="AC17" s="270"/>
      <c r="AD17" s="270"/>
    </row>
    <row r="18" spans="2:30" s="112" customFormat="1" ht="18" customHeight="1" outlineLevel="1" x14ac:dyDescent="0.3">
      <c r="G18" s="270"/>
      <c r="H18" s="509" t="s">
        <v>1135</v>
      </c>
      <c r="I18" s="270"/>
      <c r="J18" s="270"/>
      <c r="K18" s="510">
        <f>VLOOKUP($K$16,Table_TSCD[],COUNTA(Table_TSCD[[#Headers],[Mã Tài sản]:[Giá trị khấu hao (tháng)]]),0)</f>
        <v>8333333.333333333</v>
      </c>
      <c r="L18" s="270"/>
      <c r="M18" s="270"/>
      <c r="N18" s="270"/>
      <c r="O18" s="270"/>
      <c r="P18" s="270"/>
      <c r="Q18" s="270"/>
      <c r="R18" s="270"/>
      <c r="S18" s="270"/>
      <c r="T18" s="270"/>
      <c r="U18" s="270"/>
      <c r="V18" s="270"/>
      <c r="W18" s="270"/>
      <c r="X18" s="270"/>
      <c r="Y18" s="270"/>
      <c r="Z18" s="270"/>
      <c r="AA18" s="270"/>
      <c r="AB18" s="270"/>
      <c r="AC18" s="270"/>
      <c r="AD18" s="270"/>
    </row>
    <row r="19" spans="2:30" s="112" customFormat="1" ht="18" customHeight="1" outlineLevel="1" x14ac:dyDescent="0.3">
      <c r="G19" s="270"/>
      <c r="H19" s="509" t="s">
        <v>1136</v>
      </c>
      <c r="I19" s="270"/>
      <c r="J19" s="270"/>
      <c r="K19" s="513">
        <f ca="1">VLOOKUP($K$16,Table_TSCD[],COUNTA(Table_TSCD[[#Headers],[Mã Tài sản]:[Tỷ lệ khấu hao]]),0)</f>
        <v>0.24421629021218344</v>
      </c>
      <c r="L19" s="270"/>
      <c r="M19" s="270"/>
      <c r="N19" s="270"/>
      <c r="O19" s="270"/>
      <c r="P19" s="270"/>
      <c r="Q19" s="270"/>
      <c r="R19" s="270"/>
      <c r="S19" s="270"/>
      <c r="T19" s="270"/>
      <c r="U19" s="270"/>
      <c r="V19" s="270"/>
      <c r="W19" s="270"/>
      <c r="X19" s="270"/>
      <c r="Y19" s="270"/>
      <c r="Z19" s="270"/>
      <c r="AA19" s="270"/>
      <c r="AB19" s="270"/>
      <c r="AC19" s="270"/>
      <c r="AD19" s="270"/>
    </row>
    <row r="20" spans="2:30" s="112" customFormat="1" ht="18" customHeight="1" outlineLevel="1" x14ac:dyDescent="0.3">
      <c r="G20" s="270"/>
      <c r="H20" s="509" t="s">
        <v>1137</v>
      </c>
      <c r="I20" s="270"/>
      <c r="J20" s="270"/>
      <c r="K20" s="514">
        <f>VLOOKUP($K$16,Table_TSCD[],COUNTA(Table_TSCD[[#Headers],[Mã Tài sản]:[Ngày kết thúc]]),0)</f>
        <v>47226</v>
      </c>
      <c r="L20" s="270"/>
      <c r="M20" s="270"/>
      <c r="N20" s="270"/>
      <c r="O20" s="270"/>
      <c r="P20" s="270"/>
      <c r="Q20" s="270"/>
      <c r="R20" s="270"/>
      <c r="S20" s="270"/>
      <c r="T20" s="270"/>
      <c r="U20" s="270"/>
      <c r="V20" s="270"/>
      <c r="W20" s="270"/>
      <c r="X20" s="270"/>
      <c r="Y20" s="270"/>
      <c r="Z20" s="270"/>
      <c r="AA20" s="270"/>
      <c r="AB20" s="270"/>
      <c r="AC20" s="270"/>
      <c r="AD20" s="270"/>
    </row>
    <row r="21" spans="2:30" s="112" customFormat="1" ht="18" customHeight="1" outlineLevel="1" x14ac:dyDescent="0.3">
      <c r="G21" s="270"/>
      <c r="H21" s="509" t="s">
        <v>1138</v>
      </c>
      <c r="I21" s="270"/>
      <c r="J21" s="270"/>
      <c r="K21" s="510">
        <f ca="1">K20-TODAY()</f>
        <v>1380</v>
      </c>
      <c r="L21" s="270"/>
      <c r="M21" s="270"/>
      <c r="N21" s="270"/>
      <c r="O21" s="270"/>
      <c r="P21" s="270"/>
      <c r="Q21" s="270"/>
      <c r="R21" s="270"/>
      <c r="S21" s="270"/>
      <c r="T21" s="270"/>
      <c r="U21" s="270"/>
      <c r="V21" s="270"/>
      <c r="W21" s="270"/>
      <c r="X21" s="270"/>
      <c r="Y21" s="270"/>
      <c r="Z21" s="270"/>
      <c r="AA21" s="270"/>
      <c r="AB21" s="270"/>
      <c r="AC21" s="270"/>
      <c r="AD21" s="270"/>
    </row>
    <row r="22" spans="2:30" s="112" customFormat="1" ht="18" customHeight="1" outlineLevel="1" x14ac:dyDescent="0.3">
      <c r="G22" s="270"/>
      <c r="H22" s="270"/>
      <c r="I22" s="270"/>
      <c r="J22" s="270"/>
      <c r="L22" s="270"/>
      <c r="M22" s="270"/>
      <c r="N22" s="270"/>
      <c r="O22" s="270"/>
      <c r="P22" s="270"/>
      <c r="Q22" s="270"/>
      <c r="R22" s="270"/>
      <c r="S22" s="270"/>
      <c r="T22" s="270"/>
      <c r="U22" s="270"/>
      <c r="V22" s="270"/>
      <c r="W22" s="270"/>
      <c r="X22" s="270"/>
      <c r="Y22" s="270"/>
      <c r="Z22" s="270"/>
      <c r="AA22" s="270"/>
      <c r="AB22" s="270"/>
      <c r="AC22" s="270"/>
      <c r="AD22" s="270"/>
    </row>
    <row r="23" spans="2:30" s="112" customFormat="1" ht="16.5" x14ac:dyDescent="0.3">
      <c r="B23" s="97" t="s">
        <v>23</v>
      </c>
      <c r="C23" t="s">
        <v>856</v>
      </c>
      <c r="D23" t="s">
        <v>1132</v>
      </c>
      <c r="E23" t="s">
        <v>1133</v>
      </c>
      <c r="G23" s="270"/>
      <c r="H23" s="112" t="s">
        <v>819</v>
      </c>
      <c r="I23" s="112" t="s">
        <v>820</v>
      </c>
      <c r="J23" s="112" t="s">
        <v>583</v>
      </c>
      <c r="K23" s="112" t="s">
        <v>765</v>
      </c>
      <c r="L23" s="112" t="s">
        <v>821</v>
      </c>
      <c r="M23" s="112" t="s">
        <v>822</v>
      </c>
      <c r="N23" s="112" t="s">
        <v>823</v>
      </c>
      <c r="O23" s="112" t="s">
        <v>824</v>
      </c>
      <c r="P23" s="112" t="s">
        <v>825</v>
      </c>
      <c r="Q23" s="112" t="s">
        <v>826</v>
      </c>
      <c r="R23" s="112" t="s">
        <v>827</v>
      </c>
      <c r="S23" s="112" t="s">
        <v>828</v>
      </c>
      <c r="T23" s="112" t="s">
        <v>656</v>
      </c>
      <c r="U23" s="112" t="s">
        <v>829</v>
      </c>
      <c r="V23" s="112" t="s">
        <v>830</v>
      </c>
      <c r="W23" s="112" t="s">
        <v>705</v>
      </c>
      <c r="X23" s="112" t="s">
        <v>681</v>
      </c>
      <c r="Y23" s="112" t="s">
        <v>1127</v>
      </c>
      <c r="Z23" s="112" t="s">
        <v>1128</v>
      </c>
      <c r="AA23" s="507" t="s">
        <v>1129</v>
      </c>
      <c r="AB23" s="112" t="s">
        <v>1130</v>
      </c>
      <c r="AC23" s="112" t="s">
        <v>1131</v>
      </c>
      <c r="AD23" s="7" t="s">
        <v>873</v>
      </c>
    </row>
    <row r="24" spans="2:30" ht="16.5" x14ac:dyDescent="0.3">
      <c r="B24" s="98" t="s">
        <v>810</v>
      </c>
      <c r="C24" s="504">
        <v>5000000000</v>
      </c>
      <c r="D24" s="504">
        <v>440109514.03148526</v>
      </c>
      <c r="E24" s="508">
        <v>8.8021902806297056E-2</v>
      </c>
      <c r="G24" s="240"/>
      <c r="H24" s="240" t="s">
        <v>1121</v>
      </c>
      <c r="I24" s="240"/>
      <c r="J24" s="240" t="s">
        <v>759</v>
      </c>
      <c r="K24" s="240" t="s">
        <v>816</v>
      </c>
      <c r="L24" s="15"/>
      <c r="M24" s="240"/>
      <c r="N24" s="15">
        <v>350000000</v>
      </c>
      <c r="O24" s="403">
        <v>45175</v>
      </c>
      <c r="P24" s="15">
        <v>10</v>
      </c>
      <c r="Q24" s="18">
        <f>Table_TSCD[[#This Row],[Năm khấu hao]]*12</f>
        <v>120</v>
      </c>
      <c r="R24" s="403">
        <v>45175</v>
      </c>
      <c r="S24" s="403"/>
      <c r="T24" s="268">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7"/>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671</v>
      </c>
      <c r="Z24" s="18">
        <f ca="1">MIN(Table_TSCD[[#This Row],[Giá trị sổ sách]],Table_TSCD[[#This Row],[Giá trị sổ sách]]/(Table_TSCD[[#This Row],[Tháng khấu hao]]*365.25/12)*Table_TSCD[[#This Row],[Số ngày vận hành]])</f>
        <v>64298425.735797398</v>
      </c>
      <c r="AA24" s="71">
        <f ca="1">Table_TSCD[[#This Row],[Khấu hao lũy kế theo ngày]]/Table_TSCD[[#This Row],[Giá trị sổ sách]]</f>
        <v>0.183709787816564</v>
      </c>
      <c r="AB24" s="18">
        <f ca="1">Table_TSCD[[#This Row],[Giá trị sổ sách]]-Table_TSCD[[#This Row],[Khấu hao lũy kế theo ngày]]</f>
        <v>285701574.26420259</v>
      </c>
      <c r="AC24" s="18">
        <f ca="1">MAX(0,IF(ISBLANK(Table_TSCD[[#This Row],[Ngày vận hành]]),0,
IF(ISBLANK(Table_TSCD[[#This Row],[Ngày thanh lý]]),
Table_TSCD[[#This Row],[Ngày kết thúc]]-TODAY(),0
)))</f>
        <v>2982</v>
      </c>
      <c r="AD24" s="240"/>
    </row>
    <row r="25" spans="2:30" ht="16.5" x14ac:dyDescent="0.3">
      <c r="B25" s="503" t="s">
        <v>1125</v>
      </c>
      <c r="C25" s="504">
        <v>5000000000</v>
      </c>
      <c r="D25" s="504">
        <v>440109514.03148526</v>
      </c>
      <c r="E25" s="508">
        <v>8.8021902806297056E-2</v>
      </c>
      <c r="G25" s="7" t="s">
        <v>999</v>
      </c>
      <c r="H25" s="240" t="s">
        <v>1122</v>
      </c>
      <c r="I25" s="240"/>
      <c r="J25" s="240" t="s">
        <v>760</v>
      </c>
      <c r="K25" s="240" t="s">
        <v>814</v>
      </c>
      <c r="L25" s="15"/>
      <c r="M25" s="240"/>
      <c r="N25" s="15">
        <v>25000000</v>
      </c>
      <c r="O25" s="403">
        <v>45336</v>
      </c>
      <c r="P25" s="15">
        <v>3</v>
      </c>
      <c r="Q25" s="18">
        <f>Table_TSCD[[#This Row],[Năm khấu hao]]*12</f>
        <v>36</v>
      </c>
      <c r="R25" s="403">
        <v>45336</v>
      </c>
      <c r="S25" s="403"/>
      <c r="T25" s="268">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7"/>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510</v>
      </c>
      <c r="Z25" s="18">
        <f ca="1">MIN(Table_TSCD[[#This Row],[Giá trị sổ sách]],Table_TSCD[[#This Row],[Giá trị sổ sách]]/(Table_TSCD[[#This Row],[Tháng khấu hao]]*365.25/12)*Table_TSCD[[#This Row],[Số ngày vận hành]])</f>
        <v>11635865.845311431</v>
      </c>
      <c r="AA25" s="71">
        <f ca="1">Table_TSCD[[#This Row],[Khấu hao lũy kế theo ngày]]/Table_TSCD[[#This Row],[Giá trị sổ sách]]</f>
        <v>0.46543463381245725</v>
      </c>
      <c r="AB25" s="18">
        <f ca="1">Table_TSCD[[#This Row],[Giá trị sổ sách]]-Table_TSCD[[#This Row],[Khấu hao lũy kế theo ngày]]</f>
        <v>13364134.154688569</v>
      </c>
      <c r="AC25" s="18">
        <f ca="1">MAX(0,IF(ISBLANK(Table_TSCD[[#This Row],[Ngày vận hành]]),0,
IF(ISBLANK(Table_TSCD[[#This Row],[Ngày thanh lý]]),
Table_TSCD[[#This Row],[Ngày kết thúc]]-TODAY(),0
)))</f>
        <v>586</v>
      </c>
      <c r="AD25" s="240"/>
    </row>
    <row r="26" spans="2:30" ht="16.5" x14ac:dyDescent="0.3">
      <c r="B26" s="98" t="s">
        <v>809</v>
      </c>
      <c r="C26" s="504">
        <v>3000000000</v>
      </c>
      <c r="D26" s="504">
        <v>269733059.54825461</v>
      </c>
      <c r="E26" s="508">
        <v>8.9911019849418197E-2</v>
      </c>
      <c r="H26" s="240" t="s">
        <v>1123</v>
      </c>
      <c r="I26" s="240"/>
      <c r="J26" s="240" t="s">
        <v>760</v>
      </c>
      <c r="K26" s="240" t="s">
        <v>812</v>
      </c>
      <c r="L26" s="15"/>
      <c r="M26" s="240"/>
      <c r="N26" s="15">
        <v>500000000</v>
      </c>
      <c r="O26" s="403">
        <v>45336</v>
      </c>
      <c r="P26" s="15">
        <v>5</v>
      </c>
      <c r="Q26" s="18">
        <f>Table_TSCD[[#This Row],[Năm khấu hao]]*12</f>
        <v>60</v>
      </c>
      <c r="R26" s="403">
        <v>45400</v>
      </c>
      <c r="S26" s="403"/>
      <c r="T26" s="268">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7"/>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446</v>
      </c>
      <c r="Z26" s="18">
        <f ca="1">MIN(Table_TSCD[[#This Row],[Giá trị sổ sách]],Table_TSCD[[#This Row],[Giá trị sổ sách]]/(Table_TSCD[[#This Row],[Tháng khấu hao]]*365.25/12)*Table_TSCD[[#This Row],[Số ngày vận hành]])</f>
        <v>122108145.10609172</v>
      </c>
      <c r="AA26" s="71">
        <f ca="1">Table_TSCD[[#This Row],[Khấu hao lũy kế theo ngày]]/Table_TSCD[[#This Row],[Giá trị sổ sách]]</f>
        <v>0.24421629021218344</v>
      </c>
      <c r="AB26" s="18">
        <f ca="1">Table_TSCD[[#This Row],[Giá trị sổ sách]]-Table_TSCD[[#This Row],[Khấu hao lũy kế theo ngày]]</f>
        <v>377891854.89390826</v>
      </c>
      <c r="AC26" s="18">
        <f ca="1">MAX(0,IF(ISBLANK(Table_TSCD[[#This Row],[Ngày vận hành]]),0,
IF(ISBLANK(Table_TSCD[[#This Row],[Ngày thanh lý]]),
Table_TSCD[[#This Row],[Ngày kết thúc]]-TODAY(),0
)))</f>
        <v>1380</v>
      </c>
      <c r="AD26" s="240"/>
    </row>
    <row r="27" spans="2:30" ht="16.5" x14ac:dyDescent="0.3">
      <c r="B27" s="503" t="s">
        <v>1126</v>
      </c>
      <c r="C27" s="504">
        <v>3000000000</v>
      </c>
      <c r="D27" s="504">
        <v>269733059.54825461</v>
      </c>
      <c r="E27" s="508">
        <v>8.9911019849418197E-2</v>
      </c>
      <c r="H27" s="240" t="s">
        <v>1124</v>
      </c>
      <c r="I27" s="240"/>
      <c r="J27" s="240" t="s">
        <v>759</v>
      </c>
      <c r="K27" s="240" t="s">
        <v>811</v>
      </c>
      <c r="L27" s="15"/>
      <c r="M27" s="240"/>
      <c r="N27" s="15">
        <v>1000000000</v>
      </c>
      <c r="O27" s="403">
        <v>45223</v>
      </c>
      <c r="P27" s="15">
        <v>10</v>
      </c>
      <c r="Q27" s="18">
        <f>Table_TSCD[[#This Row],[Năm khấu hao]]*12</f>
        <v>120</v>
      </c>
      <c r="R27" s="403">
        <v>45223</v>
      </c>
      <c r="S27" s="403"/>
      <c r="T27" s="268">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7"/>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623</v>
      </c>
      <c r="Z27" s="18">
        <f ca="1">MIN(Table_TSCD[[#This Row],[Giá trị sổ sách]],Table_TSCD[[#This Row],[Giá trị sổ sách]]/(Table_TSCD[[#This Row],[Tháng khấu hao]]*365.25/12)*Table_TSCD[[#This Row],[Số ngày vận hành]])</f>
        <v>170568104.0383299</v>
      </c>
      <c r="AA27" s="71">
        <f ca="1">Table_TSCD[[#This Row],[Khấu hao lũy kế theo ngày]]/Table_TSCD[[#This Row],[Giá trị sổ sách]]</f>
        <v>0.17056810403832989</v>
      </c>
      <c r="AB27" s="18">
        <f ca="1">Table_TSCD[[#This Row],[Giá trị sổ sách]]-Table_TSCD[[#This Row],[Khấu hao lũy kế theo ngày]]</f>
        <v>829431895.96167016</v>
      </c>
      <c r="AC27" s="18">
        <f ca="1">MAX(0,IF(ISBLANK(Table_TSCD[[#This Row],[Ngày vận hành]]),0,
IF(ISBLANK(Table_TSCD[[#This Row],[Ngày thanh lý]]),
Table_TSCD[[#This Row],[Ngày kết thúc]]-TODAY(),0
)))</f>
        <v>3030</v>
      </c>
      <c r="AD27" s="240"/>
    </row>
    <row r="28" spans="2:30" ht="16.5" x14ac:dyDescent="0.3">
      <c r="B28" s="98" t="s">
        <v>811</v>
      </c>
      <c r="C28" s="504">
        <v>1000000000</v>
      </c>
      <c r="D28" s="504">
        <v>162902121.83436003</v>
      </c>
      <c r="E28" s="508">
        <v>0.16290212183436004</v>
      </c>
      <c r="H28" s="240" t="s">
        <v>1125</v>
      </c>
      <c r="I28" s="240"/>
      <c r="J28" s="240" t="s">
        <v>590</v>
      </c>
      <c r="K28" s="240" t="s">
        <v>810</v>
      </c>
      <c r="L28" s="15"/>
      <c r="M28" s="240"/>
      <c r="N28" s="15">
        <v>5000000000</v>
      </c>
      <c r="O28" s="403">
        <v>45175</v>
      </c>
      <c r="P28" s="15">
        <v>20</v>
      </c>
      <c r="Q28" s="18">
        <f>Table_TSCD[[#This Row],[Năm khấu hao]]*12</f>
        <v>240</v>
      </c>
      <c r="R28" s="403">
        <v>45175</v>
      </c>
      <c r="S28" s="403"/>
      <c r="T28" s="268">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7"/>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671</v>
      </c>
      <c r="Z28" s="18">
        <f ca="1">MIN(Table_TSCD[[#This Row],[Giá trị sổ sách]],Table_TSCD[[#This Row],[Giá trị sổ sách]]/(Table_TSCD[[#This Row],[Tháng khấu hao]]*365.25/12)*Table_TSCD[[#This Row],[Số ngày vận hành]])</f>
        <v>459274469.54140997</v>
      </c>
      <c r="AA28" s="71">
        <f ca="1">Table_TSCD[[#This Row],[Khấu hao lũy kế theo ngày]]/Table_TSCD[[#This Row],[Giá trị sổ sách]]</f>
        <v>9.1854893908281998E-2</v>
      </c>
      <c r="AB28" s="18">
        <f ca="1">Table_TSCD[[#This Row],[Giá trị sổ sách]]-Table_TSCD[[#This Row],[Khấu hao lũy kế theo ngày]]</f>
        <v>4540725530.4585896</v>
      </c>
      <c r="AC28" s="18">
        <f ca="1">MAX(0,IF(ISBLANK(Table_TSCD[[#This Row],[Ngày vận hành]]),0,
IF(ISBLANK(Table_TSCD[[#This Row],[Ngày thanh lý]]),
Table_TSCD[[#This Row],[Ngày kết thúc]]-TODAY(),0
)))</f>
        <v>6634</v>
      </c>
      <c r="AD28" s="240"/>
    </row>
    <row r="29" spans="2:30" ht="16.5" x14ac:dyDescent="0.3">
      <c r="B29" s="503" t="s">
        <v>1124</v>
      </c>
      <c r="C29" s="504">
        <v>1000000000</v>
      </c>
      <c r="D29" s="504">
        <v>162902121.83436003</v>
      </c>
      <c r="E29" s="508">
        <v>0.16290212183436004</v>
      </c>
      <c r="H29" s="240" t="s">
        <v>1126</v>
      </c>
      <c r="I29" s="240"/>
      <c r="J29" s="240" t="s">
        <v>590</v>
      </c>
      <c r="K29" s="240" t="s">
        <v>809</v>
      </c>
      <c r="L29" s="15"/>
      <c r="M29" s="240"/>
      <c r="N29" s="15">
        <v>3000000000</v>
      </c>
      <c r="O29" s="403">
        <v>44997</v>
      </c>
      <c r="P29" s="15">
        <v>25</v>
      </c>
      <c r="Q29" s="18">
        <f>Table_TSCD[[#This Row],[Năm khấu hao]]*12</f>
        <v>300</v>
      </c>
      <c r="R29" s="403">
        <v>44997</v>
      </c>
      <c r="S29" s="403"/>
      <c r="T29" s="268">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7"/>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849</v>
      </c>
      <c r="Z29" s="18">
        <f ca="1">MIN(Table_TSCD[[#This Row],[Giá trị sổ sách]],Table_TSCD[[#This Row],[Giá trị sổ sách]]/(Table_TSCD[[#This Row],[Tháng khấu hao]]*365.25/12)*Table_TSCD[[#This Row],[Số ngày vận hành]])</f>
        <v>278932238.1930185</v>
      </c>
      <c r="AA29" s="71">
        <f ca="1">Table_TSCD[[#This Row],[Khấu hao lũy kế theo ngày]]/Table_TSCD[[#This Row],[Giá trị sổ sách]]</f>
        <v>9.2977412731006168E-2</v>
      </c>
      <c r="AB29" s="18">
        <f ca="1">Table_TSCD[[#This Row],[Giá trị sổ sách]]-Table_TSCD[[#This Row],[Khấu hao lũy kế theo ngày]]</f>
        <v>2721067761.8069816</v>
      </c>
      <c r="AC29" s="18">
        <f ca="1">MAX(0,IF(ISBLANK(Table_TSCD[[#This Row],[Ngày vận hành]]),0,
IF(ISBLANK(Table_TSCD[[#This Row],[Ngày thanh lý]]),
Table_TSCD[[#This Row],[Ngày kết thúc]]-TODAY(),0
)))</f>
        <v>8282</v>
      </c>
      <c r="AD29" s="240"/>
    </row>
    <row r="30" spans="2:30" ht="16.5" x14ac:dyDescent="0.3">
      <c r="B30" s="98" t="s">
        <v>812</v>
      </c>
      <c r="C30" s="504">
        <v>500000000</v>
      </c>
      <c r="D30" s="504">
        <v>114442162.90212183</v>
      </c>
      <c r="E30" s="508">
        <v>0.22888432580424364</v>
      </c>
    </row>
    <row r="31" spans="2:30" ht="16.5" x14ac:dyDescent="0.3">
      <c r="B31" s="503" t="s">
        <v>1123</v>
      </c>
      <c r="C31" s="504">
        <v>500000000</v>
      </c>
      <c r="D31" s="504">
        <v>114442162.90212183</v>
      </c>
      <c r="E31" s="508">
        <v>0.22888432580424364</v>
      </c>
    </row>
    <row r="32" spans="2:30" ht="16.5" x14ac:dyDescent="0.3">
      <c r="B32" s="98" t="s">
        <v>816</v>
      </c>
      <c r="C32" s="504">
        <v>350000000</v>
      </c>
      <c r="D32" s="504">
        <v>61615331.964407936</v>
      </c>
      <c r="E32" s="508">
        <v>0.17604380561259411</v>
      </c>
      <c r="N32" s="7"/>
    </row>
    <row r="33" spans="2:14" ht="16.5" x14ac:dyDescent="0.3">
      <c r="B33" s="503" t="s">
        <v>1121</v>
      </c>
      <c r="C33" s="504">
        <v>350000000</v>
      </c>
      <c r="D33" s="504">
        <v>61615331.964407936</v>
      </c>
      <c r="E33" s="508">
        <v>0.17604380561259411</v>
      </c>
      <c r="N33" s="7"/>
    </row>
    <row r="34" spans="2:14" ht="16.5" x14ac:dyDescent="0.3">
      <c r="B34" s="98" t="s">
        <v>814</v>
      </c>
      <c r="C34" s="504">
        <v>25000000</v>
      </c>
      <c r="D34" s="504">
        <v>10997033.994980607</v>
      </c>
      <c r="E34" s="508">
        <v>0.43988135979922427</v>
      </c>
      <c r="N34" s="7"/>
    </row>
    <row r="35" spans="2:14" ht="16.5" x14ac:dyDescent="0.3">
      <c r="B35" s="503" t="s">
        <v>1122</v>
      </c>
      <c r="C35" s="504">
        <v>25000000</v>
      </c>
      <c r="D35" s="504">
        <v>10997033.994980607</v>
      </c>
      <c r="E35" s="508">
        <v>0.43988135979922427</v>
      </c>
      <c r="N35" s="7"/>
    </row>
    <row r="36" spans="2:14" ht="16.5" x14ac:dyDescent="0.3">
      <c r="B36" s="98" t="s">
        <v>1102</v>
      </c>
      <c r="C36" s="504">
        <v>9875000000</v>
      </c>
      <c r="D36" s="504">
        <v>1059799224.2756101</v>
      </c>
      <c r="E36" s="508">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08" customFormat="1" ht="22.5" customHeight="1" x14ac:dyDescent="0.3">
      <c r="B1" s="307">
        <v>0</v>
      </c>
      <c r="C1" s="307">
        <f t="shared" ref="C1:G1" si="0">+B1+1</f>
        <v>1</v>
      </c>
      <c r="D1" s="307">
        <f t="shared" si="0"/>
        <v>2</v>
      </c>
      <c r="E1" s="307">
        <f t="shared" si="0"/>
        <v>3</v>
      </c>
      <c r="F1" s="307">
        <f t="shared" si="0"/>
        <v>4</v>
      </c>
      <c r="G1" s="307">
        <f t="shared" si="0"/>
        <v>5</v>
      </c>
      <c r="H1" s="307"/>
      <c r="I1" s="307">
        <f>+G1+1</f>
        <v>6</v>
      </c>
      <c r="J1" s="307"/>
    </row>
    <row r="2" spans="2:10" s="95" customFormat="1" ht="18" customHeight="1" x14ac:dyDescent="0.3">
      <c r="B2" s="269"/>
      <c r="C2" s="269"/>
      <c r="D2" s="269"/>
      <c r="E2" s="269"/>
      <c r="F2" s="269"/>
      <c r="G2" s="269"/>
      <c r="H2" s="269"/>
      <c r="I2" s="269"/>
      <c r="J2" s="269"/>
    </row>
    <row r="3" spans="2:10" s="95" customFormat="1" ht="18" hidden="1" customHeight="1" outlineLevel="1" x14ac:dyDescent="0.3">
      <c r="B3" s="269"/>
      <c r="C3" s="269"/>
      <c r="D3" s="269"/>
      <c r="E3" s="112" t="s">
        <v>138</v>
      </c>
      <c r="F3" s="95" t="str" cm="1">
        <f t="array" ref="F3:G3">TRANSPOSE(_xlfn._xlws.SORT(_xlfn._xlws.FILTER(Table_NguyenLieu[Mã Nguyên liệu],Table_NguyenLieu[Chức năng]=E3,"")))</f>
        <v>NL1</v>
      </c>
      <c r="G3" s="269" t="str">
        <v>NL2</v>
      </c>
      <c r="H3" s="269"/>
      <c r="I3" s="269"/>
      <c r="J3" s="269"/>
    </row>
    <row r="4" spans="2:10" s="95" customFormat="1" ht="18" hidden="1" customHeight="1" outlineLevel="1" x14ac:dyDescent="0.3">
      <c r="B4" s="269"/>
      <c r="C4" s="269"/>
      <c r="D4" s="269"/>
      <c r="E4" s="95" t="s">
        <v>590</v>
      </c>
      <c r="F4" s="95" t="str" cm="1">
        <f t="array" ref="F4">TRANSPOSE(_xlfn._xlws.SORT(_xlfn._xlws.FILTER(Table_NguyenLieu[Mã Nguyên liệu],Table_NguyenLieu[Chức năng]=E4,"")))</f>
        <v/>
      </c>
      <c r="G4" s="269"/>
      <c r="H4" s="269"/>
      <c r="I4" s="269"/>
      <c r="J4" s="269"/>
    </row>
    <row r="5" spans="2:10" s="95" customFormat="1" ht="18" hidden="1" customHeight="1" outlineLevel="1" x14ac:dyDescent="0.3">
      <c r="B5" s="269"/>
      <c r="C5" s="269"/>
      <c r="D5" s="269"/>
      <c r="E5" s="95" t="s">
        <v>759</v>
      </c>
      <c r="F5" s="95" t="str" cm="1">
        <f t="array" ref="F5">TRANSPOSE(_xlfn._xlws.SORT(_xlfn._xlws.FILTER(Table_NguyenLieu[Mã Nguyên liệu],Table_NguyenLieu[Chức năng]=E5,"")))</f>
        <v/>
      </c>
      <c r="G5" s="269"/>
      <c r="H5" s="269"/>
      <c r="I5" s="269"/>
      <c r="J5" s="269"/>
    </row>
    <row r="6" spans="2:10" s="95" customFormat="1" ht="18" hidden="1" customHeight="1" outlineLevel="1" x14ac:dyDescent="0.3">
      <c r="B6" s="269"/>
      <c r="C6" s="269"/>
      <c r="D6" s="269"/>
      <c r="E6" s="95" t="s">
        <v>760</v>
      </c>
      <c r="F6" s="95" t="str" cm="1">
        <f t="array" ref="F6">TRANSPOSE(_xlfn._xlws.SORT(_xlfn._xlws.FILTER(Table_NguyenLieu[Mã Nguyên liệu],Table_NguyenLieu[Chức năng]=E6,"")))</f>
        <v/>
      </c>
      <c r="G6" s="269"/>
      <c r="H6" s="269"/>
      <c r="I6" s="269"/>
      <c r="J6" s="269"/>
    </row>
    <row r="7" spans="2:10" s="95" customFormat="1" ht="18" hidden="1" customHeight="1" outlineLevel="1" x14ac:dyDescent="0.3">
      <c r="B7" s="269"/>
      <c r="C7" s="269"/>
      <c r="D7" s="269"/>
      <c r="E7" s="95" t="s">
        <v>798</v>
      </c>
      <c r="F7" s="269" t="str" cm="1">
        <f t="array" ref="F7:G7">TRANSPOSE(_xlfn._xlws.SORT(Table_NguyenLieu[Mã Nguyên liệu]))</f>
        <v>NL1</v>
      </c>
      <c r="G7" s="269" t="str">
        <v>NL2</v>
      </c>
      <c r="H7" s="269"/>
      <c r="I7" s="269"/>
      <c r="J7" s="269"/>
    </row>
    <row r="8" spans="2:10" s="112" customFormat="1" ht="18" customHeight="1" collapsed="1" x14ac:dyDescent="0.3">
      <c r="B8" s="270"/>
      <c r="C8" s="172" t="s">
        <v>674</v>
      </c>
      <c r="D8" s="172" t="s">
        <v>834</v>
      </c>
      <c r="E8" s="172" t="s">
        <v>583</v>
      </c>
      <c r="F8" s="172" t="s">
        <v>321</v>
      </c>
      <c r="G8" s="174" t="s">
        <v>705</v>
      </c>
      <c r="H8" s="541" t="s">
        <v>1233</v>
      </c>
      <c r="I8" s="172" t="s">
        <v>17</v>
      </c>
      <c r="J8" s="7" t="s">
        <v>873</v>
      </c>
    </row>
    <row r="9" spans="2:10" ht="18" customHeight="1" x14ac:dyDescent="0.3">
      <c r="B9" s="240"/>
      <c r="C9" s="259" t="s">
        <v>1153</v>
      </c>
      <c r="D9" s="259"/>
      <c r="E9" s="259" t="s">
        <v>138</v>
      </c>
      <c r="F9" s="259"/>
      <c r="H9" s="442"/>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59"/>
    </row>
    <row r="10" spans="2:10" ht="18" customHeight="1" x14ac:dyDescent="0.3">
      <c r="C10" s="259" t="s">
        <v>1152</v>
      </c>
      <c r="D10" s="259"/>
      <c r="E10" s="259" t="s">
        <v>138</v>
      </c>
      <c r="F10" s="259"/>
      <c r="G10" s="43"/>
      <c r="H10" s="442"/>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0"/>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7"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08" customFormat="1" ht="22.5" customHeight="1" x14ac:dyDescent="0.3">
      <c r="A1" s="307">
        <v>0</v>
      </c>
      <c r="B1" s="307">
        <f>+A1+1</f>
        <v>1</v>
      </c>
      <c r="C1" s="307">
        <f t="shared" ref="C1:H1" si="0">+B1+1</f>
        <v>2</v>
      </c>
      <c r="D1" s="307">
        <f t="shared" si="0"/>
        <v>3</v>
      </c>
      <c r="E1" s="307">
        <f t="shared" si="0"/>
        <v>4</v>
      </c>
      <c r="F1" s="307">
        <f t="shared" si="0"/>
        <v>5</v>
      </c>
      <c r="G1" s="307">
        <f t="shared" si="0"/>
        <v>6</v>
      </c>
      <c r="H1" s="307">
        <f t="shared" si="0"/>
        <v>7</v>
      </c>
      <c r="I1" s="307">
        <f>+H1+1</f>
        <v>8</v>
      </c>
      <c r="J1" s="307">
        <f>+I1+1</f>
        <v>9</v>
      </c>
      <c r="K1" s="307">
        <f>+J1+1</f>
        <v>10</v>
      </c>
      <c r="L1" s="307">
        <f>+K1+1</f>
        <v>11</v>
      </c>
      <c r="M1" s="307">
        <f>+L1+1</f>
        <v>12</v>
      </c>
      <c r="N1" s="307"/>
      <c r="O1" s="307"/>
      <c r="P1" s="307"/>
      <c r="Q1" s="307"/>
    </row>
    <row r="2" spans="1:17" s="112" customFormat="1" ht="18" customHeight="1" x14ac:dyDescent="0.3">
      <c r="A2" s="270"/>
      <c r="B2" s="270"/>
      <c r="C2" s="270"/>
      <c r="D2" s="270"/>
      <c r="E2" s="270"/>
      <c r="F2" s="270"/>
      <c r="G2" s="270"/>
      <c r="H2" s="270"/>
      <c r="I2" s="270"/>
      <c r="J2" s="270"/>
      <c r="K2" s="270"/>
      <c r="L2" s="270"/>
      <c r="M2" s="270"/>
      <c r="N2" s="270"/>
      <c r="O2" s="270"/>
      <c r="P2" s="270"/>
      <c r="Q2" s="270"/>
    </row>
    <row r="3" spans="1:17" s="112" customFormat="1" ht="18" hidden="1" customHeight="1" outlineLevel="1" x14ac:dyDescent="0.3">
      <c r="A3" s="270"/>
      <c r="B3" s="270"/>
      <c r="C3" s="270"/>
      <c r="D3" s="270"/>
      <c r="E3" s="270"/>
      <c r="F3" s="270"/>
      <c r="G3" s="270"/>
      <c r="H3" s="270"/>
      <c r="I3" s="270"/>
      <c r="J3" s="270"/>
      <c r="K3" s="270"/>
      <c r="L3" s="270"/>
      <c r="M3" s="270"/>
      <c r="N3" s="270"/>
      <c r="O3" s="270"/>
      <c r="P3" s="112" t="s">
        <v>566</v>
      </c>
      <c r="Q3" s="112" t="str" cm="1">
        <f t="array" ref="Q3">TRANSPOSE(_xlfn._xlws.SORT(_xlfn._xlws.FILTER(Table_ChuongTrinh[Mã Chương trình],Table_ChuongTrinh[Đối tượng CK]=P3,"")))</f>
        <v/>
      </c>
    </row>
    <row r="4" spans="1:17" s="112" customFormat="1" ht="18" hidden="1" customHeight="1" outlineLevel="1" x14ac:dyDescent="0.3">
      <c r="A4" s="270"/>
      <c r="B4" s="270"/>
      <c r="C4" s="270"/>
      <c r="D4" s="270"/>
      <c r="E4" s="270"/>
      <c r="F4" s="270"/>
      <c r="G4" s="270"/>
      <c r="H4" s="270"/>
      <c r="I4" s="270"/>
      <c r="J4" s="270"/>
      <c r="K4" s="270"/>
      <c r="L4" s="270"/>
      <c r="M4" s="270"/>
      <c r="N4" s="270"/>
      <c r="O4" s="270"/>
      <c r="P4" s="112" t="s">
        <v>538</v>
      </c>
      <c r="Q4" s="112" t="str" cm="1">
        <f t="array" ref="Q4">TRANSPOSE(_xlfn._xlws.SORT(_xlfn._xlws.FILTER(Table_ChuongTrinh[Mã Chương trình],Table_ChuongTrinh[Đối tượng CK]=P4,"")))</f>
        <v/>
      </c>
    </row>
    <row r="5" spans="1:17" s="170" customFormat="1" ht="18" customHeight="1" collapsed="1" x14ac:dyDescent="0.3">
      <c r="A5" s="250"/>
      <c r="B5" s="112" t="s">
        <v>851</v>
      </c>
      <c r="C5" s="112" t="s">
        <v>852</v>
      </c>
      <c r="D5" s="112" t="s">
        <v>853</v>
      </c>
      <c r="E5" s="112" t="s">
        <v>250</v>
      </c>
      <c r="F5" s="112" t="s">
        <v>251</v>
      </c>
      <c r="G5" s="112" t="s">
        <v>685</v>
      </c>
      <c r="H5" s="112" t="s">
        <v>686</v>
      </c>
      <c r="I5" s="112" t="s">
        <v>30</v>
      </c>
      <c r="J5" s="112" t="s">
        <v>854</v>
      </c>
      <c r="K5" s="112" t="s">
        <v>919</v>
      </c>
      <c r="L5" s="112" t="s">
        <v>190</v>
      </c>
      <c r="M5" s="112" t="s">
        <v>133</v>
      </c>
      <c r="N5" s="7" t="s">
        <v>873</v>
      </c>
      <c r="O5" s="250"/>
      <c r="P5" s="250"/>
      <c r="Q5" s="250"/>
    </row>
    <row r="6" spans="1:17" ht="18" customHeight="1" x14ac:dyDescent="0.3">
      <c r="A6" s="271"/>
      <c r="B6" s="240" t="s">
        <v>997</v>
      </c>
      <c r="C6" s="240"/>
      <c r="D6" s="240"/>
      <c r="E6" s="337"/>
      <c r="F6" s="337"/>
      <c r="G6" s="31"/>
      <c r="H6" s="15"/>
      <c r="I6" s="15"/>
      <c r="J6" s="15"/>
      <c r="K6" s="15"/>
      <c r="L6" s="15"/>
      <c r="M6" s="15"/>
      <c r="N6" s="240"/>
      <c r="O6" s="271"/>
      <c r="P6" s="271"/>
      <c r="Q6" s="271"/>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0" customFormat="1" x14ac:dyDescent="0.3">
      <c r="A3" s="299">
        <v>0</v>
      </c>
      <c r="B3" s="299">
        <v>1</v>
      </c>
      <c r="C3" s="299">
        <v>2</v>
      </c>
      <c r="D3" s="299">
        <v>3</v>
      </c>
      <c r="E3" s="299">
        <v>4</v>
      </c>
      <c r="F3" s="299">
        <v>5</v>
      </c>
      <c r="G3" s="299"/>
    </row>
    <row r="4" spans="1:7" x14ac:dyDescent="0.3">
      <c r="A4" s="271"/>
      <c r="B4" s="7" t="s">
        <v>47</v>
      </c>
      <c r="C4" s="7" t="s">
        <v>876</v>
      </c>
      <c r="D4" s="7" t="s">
        <v>875</v>
      </c>
      <c r="E4" s="7" t="s">
        <v>34</v>
      </c>
      <c r="F4" s="7" t="s">
        <v>156</v>
      </c>
      <c r="G4" s="7" t="s">
        <v>873</v>
      </c>
    </row>
    <row r="5" spans="1:7" x14ac:dyDescent="0.3">
      <c r="A5" s="271"/>
      <c r="B5" s="240"/>
      <c r="C5" s="240"/>
      <c r="D5" s="240"/>
      <c r="E5" s="240"/>
      <c r="F5" s="45"/>
      <c r="G5" s="240"/>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08" customFormat="1" ht="22.5" customHeight="1" x14ac:dyDescent="0.3">
      <c r="A1" s="307">
        <v>0</v>
      </c>
      <c r="B1" s="307">
        <f>+A1+1</f>
        <v>1</v>
      </c>
      <c r="C1" s="307">
        <f>+B1+1</f>
        <v>2</v>
      </c>
      <c r="D1" s="307">
        <f>+C1+1</f>
        <v>3</v>
      </c>
      <c r="E1" s="307"/>
    </row>
    <row r="2" spans="1:5" s="95" customFormat="1" ht="18" customHeight="1" x14ac:dyDescent="0.3">
      <c r="A2" s="269"/>
      <c r="B2" s="269"/>
      <c r="C2" s="269"/>
      <c r="D2" s="269"/>
      <c r="E2" s="269"/>
    </row>
    <row r="3" spans="1:5" s="95" customFormat="1" ht="18" customHeight="1" outlineLevel="1" x14ac:dyDescent="0.3">
      <c r="A3" s="269"/>
      <c r="B3" s="269"/>
      <c r="C3" s="269"/>
      <c r="D3" s="95" t="s">
        <v>878</v>
      </c>
      <c r="E3" s="95" t="str" cm="1">
        <f t="array" ref="E3">TRANSPOSE(_xlfn._xlws.SORT(_xlfn._xlws.FILTER(Table_Kenh[Mã Kênh],Table_Kenh[Nhóm Kênh]=D3,"")))</f>
        <v/>
      </c>
    </row>
    <row r="4" spans="1:5" s="95" customFormat="1" ht="18" customHeight="1" outlineLevel="1" x14ac:dyDescent="0.3">
      <c r="A4" s="269"/>
      <c r="B4" s="269"/>
      <c r="C4" s="269"/>
      <c r="D4" s="95" t="s">
        <v>798</v>
      </c>
      <c r="E4" s="269" t="str" cm="1">
        <f t="array" ref="E4">TRANSPOSE(_xlfn._xlws.SORT(Table_Kenh[Mã Kênh]))</f>
        <v>A</v>
      </c>
    </row>
    <row r="5" spans="1:5" s="112" customFormat="1" ht="18" customHeight="1" x14ac:dyDescent="0.3">
      <c r="A5" s="270"/>
      <c r="B5" s="171" t="s">
        <v>34</v>
      </c>
      <c r="C5" s="171" t="s">
        <v>849</v>
      </c>
      <c r="D5" s="171" t="s">
        <v>850</v>
      </c>
      <c r="E5" s="7" t="s">
        <v>873</v>
      </c>
    </row>
    <row r="6" spans="1:5" ht="18" customHeight="1" x14ac:dyDescent="0.3">
      <c r="A6" s="240"/>
      <c r="B6" s="240" t="s">
        <v>997</v>
      </c>
      <c r="C6" s="240"/>
      <c r="D6" s="240"/>
      <c r="E6" s="240"/>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908</v>
      </c>
      <c r="G2" s="419">
        <v>90</v>
      </c>
    </row>
    <row r="3" spans="2:8" ht="18" customHeight="1" x14ac:dyDescent="0.3">
      <c r="F3" s="7" t="s">
        <v>1017</v>
      </c>
      <c r="G3" s="419">
        <v>180</v>
      </c>
    </row>
    <row r="4" spans="2:8" ht="18" customHeight="1" x14ac:dyDescent="0.3">
      <c r="B4" s="7" t="s">
        <v>902</v>
      </c>
      <c r="C4" s="7" t="s">
        <v>903</v>
      </c>
      <c r="D4" s="7" t="s">
        <v>904</v>
      </c>
      <c r="E4" s="7" t="s">
        <v>905</v>
      </c>
      <c r="F4" s="7" t="s">
        <v>906</v>
      </c>
      <c r="G4" s="7" t="s">
        <v>907</v>
      </c>
      <c r="H4" s="7" t="s">
        <v>873</v>
      </c>
    </row>
    <row r="5" spans="2:8" ht="18" customHeight="1" x14ac:dyDescent="0.3">
      <c r="B5" s="7" t="s">
        <v>909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910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911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912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913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914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K8"/>
  <sheetViews>
    <sheetView showGridLines="0" workbookViewId="0">
      <selection activeCell="G24" sqref="G24"/>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9" width="9.75" style="7" customWidth="1"/>
    <col min="10" max="10" width="7" style="7" bestFit="1" customWidth="1"/>
    <col min="11" max="11" width="6.75" style="7" bestFit="1" customWidth="1"/>
    <col min="12" max="16384" width="9" style="7"/>
  </cols>
  <sheetData>
    <row r="1" spans="1:11" s="308" customFormat="1" ht="22.5" customHeight="1" x14ac:dyDescent="0.3">
      <c r="A1" s="307">
        <v>0</v>
      </c>
      <c r="B1" s="307">
        <f t="shared" ref="B1:G1" si="0">+A1+1</f>
        <v>1</v>
      </c>
      <c r="C1" s="307">
        <f t="shared" si="0"/>
        <v>2</v>
      </c>
      <c r="D1" s="307">
        <f t="shared" si="0"/>
        <v>3</v>
      </c>
      <c r="E1" s="307">
        <f t="shared" si="0"/>
        <v>4</v>
      </c>
      <c r="F1" s="307">
        <f t="shared" si="0"/>
        <v>5</v>
      </c>
      <c r="G1" s="307">
        <f t="shared" si="0"/>
        <v>6</v>
      </c>
      <c r="H1" s="307" t="e">
        <f>+#REF!+1</f>
        <v>#REF!</v>
      </c>
      <c r="I1" s="307"/>
      <c r="J1" s="307" t="e">
        <f>+H1+1</f>
        <v>#REF!</v>
      </c>
      <c r="K1" s="307"/>
    </row>
    <row r="2" spans="1:11" s="95" customFormat="1" ht="18" customHeight="1" x14ac:dyDescent="0.3">
      <c r="A2" s="269"/>
      <c r="B2" s="269"/>
      <c r="C2" s="269"/>
      <c r="D2" s="269"/>
      <c r="E2" s="269"/>
      <c r="F2" s="269"/>
      <c r="G2" s="269"/>
      <c r="H2" s="269"/>
      <c r="I2" s="269"/>
      <c r="J2" s="269"/>
      <c r="K2" s="269"/>
    </row>
    <row r="3" spans="1:11" s="95" customFormat="1" ht="18" customHeight="1" outlineLevel="1" x14ac:dyDescent="0.3">
      <c r="A3" s="269"/>
      <c r="B3" s="269"/>
      <c r="C3" s="269"/>
      <c r="D3" s="95" t="s">
        <v>847</v>
      </c>
      <c r="E3" s="95" t="str" cm="1">
        <f t="array" ref="E3">TRANSPOSE(_xlfn._xlws.SORT(_xlfn._xlws.FILTER(Table_KhachHang[Mã KH],Table_KhachHang[Phân khúc]=D3,"")))</f>
        <v/>
      </c>
      <c r="F3" s="269"/>
      <c r="G3" s="269"/>
      <c r="H3" s="269"/>
      <c r="I3" s="269"/>
      <c r="J3" s="269"/>
      <c r="K3" s="269"/>
    </row>
    <row r="4" spans="1:11" s="95" customFormat="1" ht="18" customHeight="1" outlineLevel="1" x14ac:dyDescent="0.3">
      <c r="A4" s="269"/>
      <c r="B4" s="269"/>
      <c r="C4" s="269"/>
      <c r="D4" s="95" t="s">
        <v>798</v>
      </c>
      <c r="E4" s="269" t="str" cm="1">
        <f t="array" ref="E4:G4">TRANSPOSE(_xlfn._xlws.SORT(Table_KhachHang[Mã KH]))</f>
        <v>KH1</v>
      </c>
      <c r="F4" s="269" t="str">
        <v>KH2</v>
      </c>
      <c r="G4" s="269" t="str">
        <v>KH3</v>
      </c>
      <c r="H4" s="269"/>
      <c r="I4" s="269"/>
      <c r="J4" s="269"/>
      <c r="K4" s="269"/>
    </row>
    <row r="5" spans="1:11" s="112" customFormat="1" ht="18" customHeight="1" x14ac:dyDescent="0.3">
      <c r="A5" s="270"/>
      <c r="B5" s="112" t="s">
        <v>24</v>
      </c>
      <c r="C5" s="112" t="s">
        <v>848</v>
      </c>
      <c r="D5" s="112" t="s">
        <v>25</v>
      </c>
      <c r="E5" s="112" t="s">
        <v>536</v>
      </c>
      <c r="F5" s="112" t="s">
        <v>785</v>
      </c>
      <c r="G5" s="112" t="s">
        <v>784</v>
      </c>
      <c r="H5" s="112" t="s">
        <v>26</v>
      </c>
      <c r="I5" s="112" t="s">
        <v>918</v>
      </c>
      <c r="J5" s="112" t="s">
        <v>168</v>
      </c>
      <c r="K5" s="112" t="s">
        <v>873</v>
      </c>
    </row>
    <row r="6" spans="1:11" ht="18" customHeight="1" x14ac:dyDescent="0.3">
      <c r="A6" s="240"/>
      <c r="B6" s="240" t="s">
        <v>1197</v>
      </c>
      <c r="C6" s="240"/>
      <c r="D6" s="240"/>
      <c r="E6" s="240"/>
      <c r="F6" s="240"/>
      <c r="G6" s="240"/>
      <c r="H6" s="240"/>
      <c r="I6" s="337"/>
      <c r="J6" s="18">
        <f>IFERROR(VLOOKUP(Table_KhachHang[[#This Row],[Mã KH]],Table_PhaiThu[#All],COUNTA(Table_PhaiThu[#Headers])-1,0),0)</f>
        <v>-800000</v>
      </c>
      <c r="K6" s="240"/>
    </row>
    <row r="7" spans="1:11" ht="18" customHeight="1" x14ac:dyDescent="0.3">
      <c r="B7" s="240" t="s">
        <v>1196</v>
      </c>
      <c r="C7" s="240"/>
      <c r="D7" s="240"/>
      <c r="E7" s="240"/>
      <c r="F7" s="240"/>
      <c r="G7" s="240"/>
      <c r="H7" s="240"/>
      <c r="I7" s="337"/>
      <c r="J7" s="18">
        <f>IFERROR(VLOOKUP(Table_KhachHang[[#This Row],[Mã KH]],Table_PhaiThu[#All],COUNTA(Table_PhaiThu[#Headers])-1,0),0)</f>
        <v>300000</v>
      </c>
      <c r="K7" s="240"/>
    </row>
    <row r="8" spans="1:11" ht="18" customHeight="1" x14ac:dyDescent="0.3">
      <c r="B8" s="240" t="s">
        <v>1195</v>
      </c>
      <c r="C8" s="240"/>
      <c r="D8" s="240"/>
      <c r="E8" s="240"/>
      <c r="F8" s="240"/>
      <c r="G8" s="240"/>
      <c r="H8" s="240"/>
      <c r="I8" s="337"/>
      <c r="J8" s="18">
        <f>IFERROR(VLOOKUP(Table_KhachHang[[#This Row],[Mã KH]],Table_PhaiThu[#All],COUNTA(Table_PhaiThu[#Headers])-1,0),0)</f>
        <v>400000</v>
      </c>
      <c r="K8" s="240"/>
    </row>
  </sheetData>
  <sheetProtection algorithmName="SHA-512" hashValue="Djku+S8v4t4dj/YdmYPA98ukzF/E7DYGughrHByGYgOBA+jVjRIgSoKkssVt79DdH76RRpbylfcKK7BAjaTMfw==" saltValue="4Fat8d78YqW5cR0LDS7XSw==" spinCount="100000" sheet="1" scenarios="1" formatCells="0" formatColumns="0" formatRows="0" insertColumns="0" insertRows="0" deleteColumns="0" deleteRows="0" sort="0" autoFilter="0" pivotTables="0"/>
  <protectedRanges>
    <protectedRange sqref="O1:XFD4 K1:N2 K8:K1048576 K3:L4 L5:XFD1048576 A1:J1048576" name="Range1"/>
    <protectedRange sqref="K5 K7 K6" name="Range1_1"/>
  </protectedRanges>
  <phoneticPr fontId="14" type="noConversion"/>
  <conditionalFormatting sqref="B6:B8">
    <cfRule type="duplicateValues" dxfId="46"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38100</xdr:colOff>
                    <xdr:row>0</xdr:row>
                    <xdr:rowOff>114300</xdr:rowOff>
                  </from>
                  <to>
                    <xdr:col>7</xdr:col>
                    <xdr:colOff>514350</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552450</xdr:colOff>
                    <xdr:row>0</xdr:row>
                    <xdr:rowOff>114300</xdr:rowOff>
                  </from>
                  <to>
                    <xdr:col>8</xdr:col>
                    <xdr:colOff>285750</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11</xdr:col>
                    <xdr:colOff>66675</xdr:colOff>
                    <xdr:row>3</xdr:row>
                    <xdr:rowOff>114300</xdr:rowOff>
                  </from>
                  <to>
                    <xdr:col>11</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11</xdr:col>
                    <xdr:colOff>619125</xdr:colOff>
                    <xdr:row>3</xdr:row>
                    <xdr:rowOff>114300</xdr:rowOff>
                  </from>
                  <to>
                    <xdr:col>12</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O3:XFD4 K3:L4 K1:XFD2 A1:J4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08" customFormat="1" ht="22.5" customHeight="1" x14ac:dyDescent="0.3">
      <c r="A1" s="307">
        <v>0</v>
      </c>
      <c r="B1" s="307"/>
      <c r="C1" s="307"/>
      <c r="D1" s="307"/>
      <c r="E1" s="307"/>
      <c r="F1" s="307"/>
      <c r="G1" s="307">
        <f>+A5+1</f>
        <v>1</v>
      </c>
      <c r="H1" s="307">
        <f>+G1+1</f>
        <v>2</v>
      </c>
      <c r="I1" s="307">
        <f>+H1+1</f>
        <v>3</v>
      </c>
      <c r="J1" s="307">
        <f>+I1+1</f>
        <v>4</v>
      </c>
      <c r="K1" s="307">
        <f>+J1+1</f>
        <v>5</v>
      </c>
      <c r="L1" s="307"/>
      <c r="M1" s="307">
        <f>+K1+1</f>
        <v>6</v>
      </c>
      <c r="N1" s="307"/>
      <c r="O1" s="307"/>
      <c r="P1" s="307"/>
    </row>
    <row r="2" spans="1:16" s="112" customFormat="1" ht="18" customHeight="1" x14ac:dyDescent="0.3">
      <c r="A2" s="270"/>
      <c r="B2" s="270"/>
      <c r="C2" s="270"/>
      <c r="D2" s="270"/>
      <c r="E2" s="270"/>
      <c r="F2" s="270"/>
      <c r="G2" s="270"/>
      <c r="H2" s="270"/>
      <c r="I2" s="270"/>
      <c r="J2" s="270"/>
      <c r="K2" s="270"/>
      <c r="L2" s="270"/>
      <c r="M2" s="270"/>
      <c r="N2" s="270"/>
      <c r="O2" s="270"/>
      <c r="P2" s="270"/>
    </row>
    <row r="3" spans="1:16" s="112" customFormat="1" ht="18" customHeight="1" outlineLevel="1" x14ac:dyDescent="0.3">
      <c r="A3" s="270"/>
      <c r="B3" s="173" t="s">
        <v>29</v>
      </c>
      <c r="C3" s="173" t="s">
        <v>58</v>
      </c>
      <c r="D3" s="173" t="s">
        <v>62</v>
      </c>
      <c r="E3" s="173" t="s">
        <v>280</v>
      </c>
      <c r="F3" s="270"/>
      <c r="G3" s="270"/>
      <c r="H3" s="270"/>
      <c r="I3" s="270"/>
      <c r="J3" s="270"/>
      <c r="K3" s="270"/>
      <c r="L3" s="270"/>
      <c r="M3" s="270"/>
      <c r="N3" s="270"/>
      <c r="O3" s="270"/>
      <c r="P3" s="270"/>
    </row>
    <row r="4" spans="1:16" s="112" customFormat="1" ht="18" customHeight="1" outlineLevel="1" x14ac:dyDescent="0.3">
      <c r="A4" s="270"/>
      <c r="B4" s="270"/>
      <c r="C4" s="272"/>
      <c r="D4" s="272"/>
      <c r="E4" s="270"/>
      <c r="F4" s="270"/>
      <c r="G4" s="270"/>
      <c r="H4" s="270"/>
      <c r="I4" s="270"/>
      <c r="J4" s="270"/>
      <c r="K4" s="270"/>
      <c r="L4" s="270"/>
      <c r="M4" s="270"/>
      <c r="N4" s="270"/>
      <c r="O4" s="270"/>
      <c r="P4" s="270"/>
    </row>
    <row r="5" spans="1:16" s="112" customFormat="1" ht="18" customHeight="1" outlineLevel="1" x14ac:dyDescent="0.3">
      <c r="A5" s="270"/>
      <c r="B5" s="272"/>
      <c r="C5" s="270"/>
      <c r="D5" s="270"/>
      <c r="E5" s="112" t="s">
        <v>280</v>
      </c>
      <c r="F5" s="270"/>
      <c r="G5" s="270"/>
      <c r="H5" s="270"/>
      <c r="I5" s="270"/>
      <c r="J5" s="270"/>
      <c r="K5" s="270"/>
      <c r="L5" s="270"/>
      <c r="M5" s="270"/>
      <c r="N5" s="270"/>
      <c r="O5" s="270"/>
      <c r="P5" s="270"/>
    </row>
    <row r="6" spans="1:16" s="112" customFormat="1" ht="18" customHeight="1" outlineLevel="1" x14ac:dyDescent="0.3">
      <c r="A6" s="270"/>
      <c r="B6" s="270"/>
      <c r="C6" s="270"/>
      <c r="D6" s="270"/>
      <c r="E6" s="270"/>
      <c r="F6" s="112" t="s">
        <v>835</v>
      </c>
      <c r="G6" s="112" t="str" cm="1">
        <f t="array" ref="G6">TRANSPOSE(_xlfn._xlws.SORT(_xlfn._xlws.FILTER(Table_SKU[Mã SKU],Table_SKU[Loại hình]=F6,"")))</f>
        <v>HH1</v>
      </c>
      <c r="H6" s="270"/>
      <c r="I6" s="270"/>
      <c r="J6" s="270"/>
      <c r="K6" s="270"/>
      <c r="L6" s="270"/>
      <c r="M6" s="270"/>
      <c r="N6" s="270"/>
      <c r="O6" s="270"/>
      <c r="P6" s="270"/>
    </row>
    <row r="7" spans="1:16" s="112" customFormat="1" ht="18" customHeight="1" outlineLevel="1" x14ac:dyDescent="0.3">
      <c r="A7" s="270"/>
      <c r="B7" s="270"/>
      <c r="C7" s="270"/>
      <c r="D7" s="270"/>
      <c r="E7" s="270"/>
      <c r="F7" s="112" t="s">
        <v>836</v>
      </c>
      <c r="G7" s="112" t="str" cm="1">
        <f t="array" ref="G7:H7">TRANSPOSE(_xlfn._xlws.SORT(_xlfn._xlws.FILTER(Table_SKU[Mã SKU],Table_SKU[Loại hình]=F7,"")))</f>
        <v>TP1</v>
      </c>
      <c r="H7" s="270" t="str">
        <v>TP2</v>
      </c>
      <c r="I7" s="270"/>
      <c r="J7" s="270"/>
      <c r="K7" s="270"/>
      <c r="L7" s="270"/>
      <c r="M7" s="270"/>
      <c r="N7" s="270"/>
      <c r="O7" s="270"/>
      <c r="P7" s="270"/>
    </row>
    <row r="8" spans="1:16" s="112" customFormat="1" ht="18" customHeight="1" outlineLevel="1" x14ac:dyDescent="0.3">
      <c r="A8" s="270"/>
      <c r="B8" s="270"/>
      <c r="C8" s="270"/>
      <c r="D8" s="270"/>
      <c r="E8" s="270"/>
      <c r="F8" s="112" t="s">
        <v>149</v>
      </c>
      <c r="G8" s="112" t="str" cm="1">
        <f t="array" ref="G8">TRANSPOSE(_xlfn._xlws.SORT(_xlfn._xlws.FILTER(Table_SKU[Mã SKU],Table_SKU[Loại hình]=F8,"")))</f>
        <v/>
      </c>
      <c r="H8" s="270"/>
      <c r="I8" s="270"/>
      <c r="J8" s="270"/>
      <c r="K8" s="270"/>
      <c r="L8" s="270"/>
      <c r="M8" s="270"/>
      <c r="N8" s="270"/>
      <c r="O8" s="270"/>
      <c r="P8" s="270"/>
    </row>
    <row r="9" spans="1:16" s="112" customFormat="1" ht="18" customHeight="1" outlineLevel="1" x14ac:dyDescent="0.3">
      <c r="A9" s="270"/>
      <c r="B9" s="270"/>
      <c r="C9" s="270"/>
      <c r="D9" s="270"/>
      <c r="E9" s="270"/>
      <c r="F9" s="112" t="s">
        <v>798</v>
      </c>
      <c r="G9" s="270" t="str" cm="1">
        <f t="array" ref="G9:I9">TRANSPOSE(_xlfn._xlws.SORT(Table_SKU[Mã SKU]))</f>
        <v>HH1</v>
      </c>
      <c r="H9" s="270" t="str">
        <v>TP1</v>
      </c>
      <c r="I9" s="270" t="str">
        <v>TP2</v>
      </c>
      <c r="J9" s="270"/>
      <c r="K9" s="270"/>
      <c r="L9" s="270"/>
      <c r="M9" s="270"/>
      <c r="N9" s="270"/>
      <c r="O9" s="270"/>
      <c r="P9" s="270"/>
    </row>
    <row r="10" spans="1:16" ht="18" customHeight="1" x14ac:dyDescent="0.3">
      <c r="A10" s="240"/>
      <c r="B10" s="433" t="s">
        <v>29</v>
      </c>
      <c r="C10" s="434" t="s">
        <v>58</v>
      </c>
      <c r="D10" s="434" t="s">
        <v>62</v>
      </c>
      <c r="E10" s="433" t="s">
        <v>837</v>
      </c>
      <c r="F10" s="433" t="s">
        <v>838</v>
      </c>
      <c r="G10" s="433" t="s">
        <v>31</v>
      </c>
      <c r="H10" s="433" t="s">
        <v>702</v>
      </c>
      <c r="I10" s="433" t="s">
        <v>321</v>
      </c>
      <c r="J10" s="433" t="s">
        <v>839</v>
      </c>
      <c r="K10" s="433" t="s">
        <v>705</v>
      </c>
      <c r="L10" s="541" t="s">
        <v>1233</v>
      </c>
      <c r="M10" s="172" t="s">
        <v>17</v>
      </c>
      <c r="N10" s="7" t="s">
        <v>873</v>
      </c>
      <c r="O10" s="240"/>
      <c r="P10" s="246"/>
    </row>
    <row r="11" spans="1:16" ht="18" customHeight="1" x14ac:dyDescent="0.3">
      <c r="A11" s="240"/>
      <c r="B11" s="240"/>
      <c r="C11" s="240"/>
      <c r="D11" s="240"/>
      <c r="E11" s="240"/>
      <c r="F11" s="240" t="s">
        <v>836</v>
      </c>
      <c r="G11" s="247" t="s">
        <v>1151</v>
      </c>
      <c r="H11" s="240"/>
      <c r="I11" s="240"/>
      <c r="J11" s="15">
        <v>500000</v>
      </c>
      <c r="L11" s="442"/>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0"/>
      <c r="O11" s="240"/>
      <c r="P11" s="246"/>
    </row>
    <row r="12" spans="1:16" ht="18" customHeight="1" x14ac:dyDescent="0.3">
      <c r="A12" s="240"/>
      <c r="B12" s="240"/>
      <c r="C12" s="240"/>
      <c r="D12" s="240"/>
      <c r="E12" s="240"/>
      <c r="F12" s="240" t="s">
        <v>836</v>
      </c>
      <c r="G12" s="247" t="s">
        <v>1150</v>
      </c>
      <c r="H12" s="240"/>
      <c r="I12" s="240"/>
      <c r="J12" s="15">
        <v>300000</v>
      </c>
      <c r="L12" s="442"/>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0"/>
      <c r="O12" s="240"/>
      <c r="P12" s="246"/>
    </row>
    <row r="13" spans="1:16" ht="18" customHeight="1" x14ac:dyDescent="0.3">
      <c r="A13" s="240"/>
      <c r="B13" s="240"/>
      <c r="C13" s="240"/>
      <c r="D13" s="240"/>
      <c r="E13" s="240"/>
      <c r="F13" s="240" t="s">
        <v>835</v>
      </c>
      <c r="G13" s="247" t="s">
        <v>1149</v>
      </c>
      <c r="H13" s="240"/>
      <c r="I13" s="240"/>
      <c r="J13" s="15">
        <v>100000</v>
      </c>
      <c r="K13" s="45"/>
      <c r="L13" s="542"/>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0"/>
      <c r="O13" s="240"/>
      <c r="P13" s="246"/>
    </row>
    <row r="14" spans="1:16" ht="18" customHeight="1" x14ac:dyDescent="0.3">
      <c r="A14" s="240"/>
      <c r="B14" s="240"/>
      <c r="C14" s="240"/>
      <c r="D14" s="240"/>
      <c r="E14" s="240"/>
      <c r="F14" s="240"/>
      <c r="G14" s="240"/>
      <c r="H14" s="240"/>
      <c r="I14" s="240"/>
      <c r="J14" s="240"/>
      <c r="K14" s="240"/>
      <c r="L14" s="240"/>
      <c r="M14" s="240"/>
      <c r="N14" s="240"/>
      <c r="O14" s="240"/>
      <c r="P14" s="246"/>
    </row>
    <row r="15" spans="1:16" ht="18" customHeight="1" x14ac:dyDescent="0.3">
      <c r="A15" s="240"/>
      <c r="B15" s="240"/>
      <c r="C15" s="240"/>
      <c r="D15" s="240"/>
      <c r="E15" s="240"/>
      <c r="F15" s="240"/>
      <c r="G15" s="240"/>
      <c r="H15" s="240"/>
      <c r="I15" s="240"/>
      <c r="J15" s="240"/>
      <c r="K15" s="240"/>
      <c r="L15" s="240"/>
      <c r="M15" s="240"/>
      <c r="N15" s="240"/>
      <c r="O15" s="240"/>
      <c r="P15" s="246"/>
    </row>
    <row r="16" spans="1:16" ht="18" customHeight="1" x14ac:dyDescent="0.3">
      <c r="A16" s="240"/>
      <c r="B16" s="240"/>
      <c r="C16" s="240"/>
      <c r="D16" s="240"/>
      <c r="E16" s="240"/>
      <c r="F16" s="240"/>
      <c r="G16" s="240"/>
      <c r="H16" s="240"/>
      <c r="I16" s="240"/>
      <c r="J16" s="240"/>
      <c r="K16" s="240"/>
      <c r="L16" s="240"/>
      <c r="M16" s="240"/>
      <c r="N16" s="240"/>
      <c r="O16" s="240"/>
      <c r="P16" s="246"/>
    </row>
    <row r="17" spans="1:16" ht="18" customHeight="1" x14ac:dyDescent="0.3">
      <c r="A17" s="240"/>
      <c r="B17" s="240"/>
      <c r="C17" s="240"/>
      <c r="D17" s="240"/>
      <c r="E17" s="240"/>
      <c r="F17" s="240"/>
      <c r="G17" s="240"/>
      <c r="H17" s="240"/>
      <c r="I17" s="240"/>
      <c r="J17" s="240"/>
      <c r="K17" s="240"/>
      <c r="L17" s="240"/>
      <c r="M17" s="240"/>
      <c r="N17" s="240"/>
      <c r="O17" s="240"/>
      <c r="P17" s="246"/>
    </row>
    <row r="18" spans="1:16" ht="18" customHeight="1" x14ac:dyDescent="0.3">
      <c r="A18" s="240"/>
      <c r="B18" s="240"/>
      <c r="C18" s="240"/>
      <c r="D18" s="240"/>
      <c r="E18" s="240"/>
      <c r="F18" s="240"/>
      <c r="G18" s="240"/>
      <c r="H18" s="240"/>
      <c r="I18" s="240"/>
      <c r="J18" s="240"/>
      <c r="K18" s="240"/>
      <c r="L18" s="240"/>
      <c r="M18" s="240"/>
      <c r="N18" s="240"/>
      <c r="O18" s="240"/>
      <c r="P18" s="246"/>
    </row>
    <row r="19" spans="1:16" ht="18" customHeight="1" x14ac:dyDescent="0.3">
      <c r="A19" s="240"/>
      <c r="B19" s="240"/>
      <c r="C19" s="240"/>
      <c r="D19" s="240"/>
      <c r="E19" s="240"/>
      <c r="F19" s="240"/>
      <c r="G19" s="240"/>
      <c r="H19" s="240"/>
      <c r="I19" s="240"/>
      <c r="J19" s="240"/>
      <c r="K19" s="240"/>
      <c r="L19" s="240"/>
      <c r="M19" s="240"/>
      <c r="N19" s="240"/>
      <c r="O19" s="240"/>
      <c r="P19" s="246"/>
    </row>
    <row r="20" spans="1:16" ht="18" customHeight="1" x14ac:dyDescent="0.3">
      <c r="A20" s="240"/>
      <c r="B20" s="240"/>
      <c r="C20" s="240"/>
      <c r="D20" s="240"/>
      <c r="E20" s="240"/>
      <c r="F20" s="240"/>
      <c r="G20" s="240"/>
      <c r="H20" s="240"/>
      <c r="I20" s="240"/>
      <c r="J20" s="240"/>
      <c r="K20" s="240"/>
      <c r="L20" s="240"/>
      <c r="M20" s="240"/>
      <c r="N20" s="240"/>
      <c r="O20" s="240"/>
      <c r="P20" s="246"/>
    </row>
    <row r="21" spans="1:16" ht="18" customHeight="1" x14ac:dyDescent="0.3">
      <c r="B21" s="240"/>
      <c r="C21" s="240"/>
      <c r="D21" s="240"/>
      <c r="E21" s="240"/>
      <c r="F21" s="240"/>
      <c r="G21" s="240"/>
      <c r="H21" s="240"/>
      <c r="I21" s="240"/>
      <c r="J21" s="240"/>
      <c r="K21" s="240"/>
      <c r="L21" s="240"/>
      <c r="M21" s="240"/>
      <c r="N21" s="240"/>
    </row>
    <row r="22" spans="1:16" ht="18" customHeight="1" x14ac:dyDescent="0.3">
      <c r="B22" s="240"/>
      <c r="C22" s="240"/>
      <c r="D22" s="240"/>
      <c r="E22" s="240"/>
      <c r="F22" s="240"/>
      <c r="G22" s="240"/>
      <c r="H22" s="240"/>
      <c r="I22" s="240"/>
      <c r="J22" s="240"/>
      <c r="K22" s="240"/>
      <c r="L22" s="240"/>
      <c r="M22" s="240"/>
      <c r="N22" s="240"/>
    </row>
    <row r="23" spans="1:16" ht="18" customHeight="1" x14ac:dyDescent="0.3">
      <c r="B23" s="240"/>
      <c r="C23" s="240"/>
      <c r="D23" s="240"/>
      <c r="E23" s="240"/>
      <c r="F23" s="240"/>
      <c r="G23" s="240"/>
      <c r="H23" s="240"/>
      <c r="I23" s="240"/>
      <c r="J23" s="240"/>
      <c r="K23" s="240"/>
      <c r="L23" s="240"/>
      <c r="M23" s="240"/>
      <c r="N23" s="240"/>
    </row>
    <row r="24" spans="1:16" ht="18" customHeight="1" x14ac:dyDescent="0.3">
      <c r="B24" s="240"/>
      <c r="C24" s="240"/>
      <c r="D24" s="240"/>
      <c r="E24" s="240"/>
      <c r="F24" s="240"/>
      <c r="G24" s="240"/>
      <c r="H24" s="240"/>
      <c r="I24" s="240"/>
      <c r="J24" s="240"/>
      <c r="K24" s="240"/>
      <c r="L24" s="240"/>
      <c r="M24" s="240"/>
      <c r="N24" s="240"/>
    </row>
    <row r="25" spans="1:16" ht="18" customHeight="1" x14ac:dyDescent="0.3">
      <c r="B25" s="240"/>
      <c r="C25" s="240"/>
      <c r="D25" s="240"/>
      <c r="E25" s="240"/>
      <c r="F25" s="240"/>
      <c r="G25" s="240"/>
      <c r="H25" s="240"/>
      <c r="I25" s="240"/>
      <c r="J25" s="240"/>
      <c r="K25" s="240"/>
      <c r="L25" s="240"/>
      <c r="M25" s="240"/>
      <c r="N25" s="240"/>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299">
        <v>0</v>
      </c>
      <c r="B2" s="299">
        <f>+A2+1</f>
        <v>1</v>
      </c>
      <c r="C2" s="299">
        <f>+B2+1</f>
        <v>2</v>
      </c>
      <c r="D2" s="299">
        <f>+C2+1</f>
        <v>3</v>
      </c>
      <c r="E2" s="299">
        <f>+D2+1</f>
        <v>4</v>
      </c>
      <c r="F2" s="299"/>
    </row>
    <row r="3" spans="1:6" ht="18" customHeight="1" x14ac:dyDescent="0.3">
      <c r="A3" s="240"/>
      <c r="B3" s="42" t="s">
        <v>831</v>
      </c>
      <c r="C3" s="42" t="s">
        <v>832</v>
      </c>
      <c r="D3" s="42" t="s">
        <v>785</v>
      </c>
      <c r="E3" s="42" t="s">
        <v>833</v>
      </c>
      <c r="F3" s="42" t="s">
        <v>873</v>
      </c>
    </row>
    <row r="4" spans="1:6" ht="18" customHeight="1" x14ac:dyDescent="0.3">
      <c r="A4" s="240"/>
      <c r="B4" s="259" t="s">
        <v>1155</v>
      </c>
      <c r="C4" s="259"/>
      <c r="D4" s="259"/>
      <c r="E4" s="259"/>
      <c r="F4" s="240"/>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 � � �� �  l � � � � i �m   s �  d � � �n   c � � �p    � � � � i � �  d �  �  �  �  �  l ��  �  � i � i �  l � i � i � � � � �� �  l � � � � i �m   s �  d � � �n   c � � �p    � � � � i � �  d �  �  �  �  �  l ��  �  � i � i �  l � i � i � 
</file>

<file path=customXml/item3.xml>�� � � �n   v � �  s u � �  l � � � � �n   v � �  s u � �  l � � 
</file>

<file path=customXml/item4.xml>�� 
</file>

<file path=customXml/item5.xml>��   
</file>

<file path=customXml/item6.xml>�� 
</file>

<file path=customXml/item7.xml>��   
</file>

<file path=customXml/item8.xml>��   
</file>

<file path=customXml/item9.xml>��   
</file>

<file path=customXml/item10.xml>�� 
</file>

<file path=customXml/item11.xml>��   
</file>

<file path=customXml/item12.xml>��   
</file>

<file path=customXml/item13.xml>�� �n   �u   t � �n   �u   t � �  �u   t � �i   h � �  �  �u   t � �   � �n   �u   t � �n   �u   t � �  �u   t � �i   h � �  �  �u   t � �   � 
</file>

<file path=customXml/item14.xml>�� 
</file>

<file path=customXml/item15.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16.xml>�� 
</file>

<file path=customXml/item17.xml>�� �� �i   t �� � �� �t   � � �  l � � �  l �� �  t � � �� �i   t �� � �� �t   � � �  l � � �  l �� �  t � � 
</file>

<file path=customXml/item18.xml>�� 
</file>

<file path=customXml/item19.xml>�� 
</file>

<file path=customXml/item20.xml>�� � � � � 
</file>

<file path=customXml/item21.xml>�� � � � � � � � � i � �  d � i �m   s �  d � �� �  l � � � � � i � �  l � i � i � i �n   c � � � � � � �p     �  �  �  �  l ��  �  � �� �i   t �� � �� �t   � � �  l � � �  l �� �  t � � � � �n   v � �  s u � �  l � � � �i   t �� � � � � �  t �n   � �  t � � � � � � � � � � � �  l �� � � � � � �  s u � � � � � � � � � �� �  l � � � �� �  l � � � �  l � �n   � � �p     �  �  �  �  l ��  �  � 
</file>

<file path=customXml/item22.xml>��   
</file>

<file path=customXml/item23.xml>��   
</file>

<file path=customXml/item24.xml>�� 
</file>

<file path=customXml/item25.xml>�� 
</file>

<file path=customXml/item26.xml>��   
</file>

<file path=customXml/item27.xml>�� 
</file>

<file path=customXml/item28.xml>��   
</file>

<file path=customXml/item29.xml>�� 
</file>

<file path=customXml/item30.xml>�� � � � � � � � � � � 
</file>

<file path=customXml/item31.xml>��   
</file>

<file path=customXml/item32.xml>�� 
</file>

<file path=customXml/item33.xml>�� 
</file>

<file path=customXml/item34.xml>�� � � � � � �    � � � � � � 
</file>

<file path=customXml/item35.xml>��   
</file>

<file path=customXml/item36.xml>��   
</file>

<file path=customXml/item37.xml>�� � � �  t �n   � �  t � � � � � � �i   t �� � � � � � � �  l �� � � � � � �  s u � � � � � � � � � �� �  l � � � �� �  l � � � �  l � �n   � � �p     �  �  �  �  l ��  �  � � � � � �  t �n   � �  t � � � � � � �i   t �� � � � � � � �  l �� � � � � � �  s u � � � � � � � � � �� �  l � � � �� �  l � � � �  l � �n   � � �p     �  �  �  �  l ��  �  � � � 
</file>

<file path=customXml/itemProps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1C3D8E49-708C-47DB-80E1-F53F4A0673AC}">
  <ds:schemaRefs/>
</ds:datastoreItem>
</file>

<file path=customXml/itemProps3.xml><?xml version="1.0" encoding="utf-8"?>
<ds:datastoreItem xmlns:ds="http://schemas.openxmlformats.org/officeDocument/2006/customXml" ds:itemID="{584F28E9-849A-497A-B7B7-AE2BAA06EB0A}">
  <ds:schemaRefs/>
</ds:datastoreItem>
</file>

<file path=customXml/itemProps4.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4A386E9B-34CA-4A07-A92C-A4B96BAD6F19}">
  <ds:schemaRefs/>
</ds:datastoreItem>
</file>

<file path=customXml/itemProps7.xml><?xml version="1.0" encoding="utf-8"?>
<ds:datastoreItem xmlns:ds="http://schemas.openxmlformats.org/officeDocument/2006/customXml" ds:itemID="{9E94C942-6F7D-4A68-9432-23867B043DC6}">
  <ds:schemaRefs/>
</ds:datastoreItem>
</file>

<file path=customXml/itemProps8.xml><?xml version="1.0" encoding="utf-8"?>
<ds:datastoreItem xmlns:ds="http://schemas.openxmlformats.org/officeDocument/2006/customXml" ds:itemID="{C07E275B-476F-4C8C-82D7-F2E5F7E682DF}">
  <ds:schemaRefs/>
</ds:datastoreItem>
</file>

<file path=customXml/itemProps9.xml><?xml version="1.0" encoding="utf-8"?>
<ds:datastoreItem xmlns:ds="http://schemas.openxmlformats.org/officeDocument/2006/customXml" ds:itemID="{4BA9E5F1-90AC-490B-B178-7C8B339E1A47}">
  <ds:schemaRefs/>
</ds:datastoreItem>
</file>

<file path=customXml/itemProps10.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11.xml><?xml version="1.0" encoding="utf-8"?>
<ds:datastoreItem xmlns:ds="http://schemas.openxmlformats.org/officeDocument/2006/customXml" ds:itemID="{E74E3CE3-A8E6-4CD2-832B-7027C80CBB62}">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1567CD95-8E3F-4FEC-A530-84B69C2E9371}">
  <ds:schemaRefs/>
</ds:datastoreItem>
</file>

<file path=customXml/itemProps16.xml><?xml version="1.0" encoding="utf-8"?>
<ds:datastoreItem xmlns:ds="http://schemas.openxmlformats.org/officeDocument/2006/customXml" ds:itemID="{9B4A4A44-C59B-4F5C-909F-85355EDEA872}">
  <ds:schemaRefs/>
</ds:datastoreItem>
</file>

<file path=customXml/itemProps1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1DB546EC-0D51-4752-AEDC-C3609675D25A}">
  <ds:schemaRefs/>
</ds:datastoreItem>
</file>

<file path=customXml/itemProps20.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1.xml><?xml version="1.0" encoding="utf-8"?>
<ds:datastoreItem xmlns:ds="http://schemas.openxmlformats.org/officeDocument/2006/customXml" ds:itemID="{EBE38DC9-93F1-4A40-AB85-9004638D48E2}">
  <ds:schemaRefs/>
</ds:datastoreItem>
</file>

<file path=customXml/itemProps2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3.xml><?xml version="1.0" encoding="utf-8"?>
<ds:datastoreItem xmlns:ds="http://schemas.openxmlformats.org/officeDocument/2006/customXml" ds:itemID="{0B9C3544-1C46-45A4-BEB6-1CE4D6559900}">
  <ds:schemaRefs/>
</ds:datastoreItem>
</file>

<file path=customXml/itemProps24.xml><?xml version="1.0" encoding="utf-8"?>
<ds:datastoreItem xmlns:ds="http://schemas.openxmlformats.org/officeDocument/2006/customXml" ds:itemID="{D7E9DCE9-0DA0-4A5D-AF00-69BF42ADE111}">
  <ds:schemaRefs/>
</ds:datastoreItem>
</file>

<file path=customXml/itemProps25.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2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7.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8.xml><?xml version="1.0" encoding="utf-8"?>
<ds:datastoreItem xmlns:ds="http://schemas.openxmlformats.org/officeDocument/2006/customXml" ds:itemID="{A849B9D7-188B-48DA-AB5B-54583621621D}">
  <ds:schemaRefs/>
</ds:datastoreItem>
</file>

<file path=customXml/itemProps29.xml><?xml version="1.0" encoding="utf-8"?>
<ds:datastoreItem xmlns:ds="http://schemas.openxmlformats.org/officeDocument/2006/customXml" ds:itemID="{921600D5-C528-4F77-BA88-1963C63E993C}">
  <ds:schemaRefs/>
</ds:datastoreItem>
</file>

<file path=customXml/itemProps30.xml><?xml version="1.0" encoding="utf-8"?>
<ds:datastoreItem xmlns:ds="http://schemas.openxmlformats.org/officeDocument/2006/customXml" ds:itemID="{F2145A25-FC67-4E71-99E4-ED21FC90E8A2}">
  <ds:schemaRefs/>
</ds:datastoreItem>
</file>

<file path=customXml/itemProps31.xml><?xml version="1.0" encoding="utf-8"?>
<ds:datastoreItem xmlns:ds="http://schemas.openxmlformats.org/officeDocument/2006/customXml" ds:itemID="{339EBD31-34FE-48FA-B11C-5697D02F64AC}">
  <ds:schemaRefs/>
</ds:datastoreItem>
</file>

<file path=customXml/itemProps32.xml><?xml version="1.0" encoding="utf-8"?>
<ds:datastoreItem xmlns:ds="http://schemas.openxmlformats.org/officeDocument/2006/customXml" ds:itemID="{2C9CC992-EC0C-4200-865B-A4059F2340A6}">
  <ds:schemaRefs/>
</ds:datastoreItem>
</file>

<file path=customXml/itemProps33.xml><?xml version="1.0" encoding="utf-8"?>
<ds:datastoreItem xmlns:ds="http://schemas.openxmlformats.org/officeDocument/2006/customXml" ds:itemID="{E745100C-1AC8-468E-84F7-3659A806CA45}">
  <ds:schemaRefs/>
</ds:datastoreItem>
</file>

<file path=customXml/itemProps34.xml><?xml version="1.0" encoding="utf-8"?>
<ds:datastoreItem xmlns:ds="http://schemas.openxmlformats.org/officeDocument/2006/customXml" ds:itemID="{33BFCAE0-8CBE-4C1C-BB72-272DFFB7588D}">
  <ds:schemaRefs/>
</ds:datastoreItem>
</file>

<file path=customXml/itemProps35.xml><?xml version="1.0" encoding="utf-8"?>
<ds:datastoreItem xmlns:ds="http://schemas.openxmlformats.org/officeDocument/2006/customXml" ds:itemID="{9DC923F4-1EC5-4B94-BAB9-67A144899A21}">
  <ds:schemaRefs/>
</ds:datastoreItem>
</file>

<file path=customXml/itemProps3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37.xml><?xml version="1.0" encoding="utf-8"?>
<ds:datastoreItem xmlns:ds="http://schemas.openxmlformats.org/officeDocument/2006/customXml" ds:itemID="{21C78F33-EDA8-4986-95A6-4E56FC7C8E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98</vt:i4>
      </vt:variant>
    </vt:vector>
  </HeadingPairs>
  <TitlesOfParts>
    <vt:vector size="101" baseType="lpstr">
      <vt:lpstr>EULA</vt:lpstr>
      <vt:lpstr>Contents</vt:lpstr>
      <vt:lpstr>Code</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2025-07-08T00:49:57Z</dcterms:modified>
  <cp:category/>
  <cp:contentStatus/>
</cp:coreProperties>
</file>